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orativo\SGT\REAJUSTE\Permissionárias de Distribuição\2022\05- MAIO\00 - Arquivos Finais Disponibilizados\2 Cercos\"/>
    </mc:Choice>
  </mc:AlternateContent>
  <xr:revisionPtr revIDLastSave="0" documentId="13_ncr:1_{7BFB9A5E-78FC-4F9A-B956-629D4CBE2864}" xr6:coauthVersionLast="47" xr6:coauthVersionMax="47" xr10:uidLastSave="{00000000-0000-0000-0000-000000000000}"/>
  <bookViews>
    <workbookView xWindow="-120" yWindow="-120" windowWidth="20730" windowHeight="11160" firstSheet="21" activeTab="27" xr2:uid="{D6E979D4-6F3F-4543-AC0F-FA68EDD1266F}"/>
  </bookViews>
  <sheets>
    <sheet name="Mercado_Receita" sheetId="1" r:id="rId1"/>
    <sheet name="EVENTOS" sheetId="2" r:id="rId2"/>
    <sheet name="TAR FIN" sheetId="15" r:id="rId3"/>
    <sheet name="MERCADO TUSD" sheetId="3" r:id="rId4"/>
    <sheet name="MERCADO TE" sheetId="4" r:id="rId5"/>
    <sheet name="CUSTOS" sheetId="5" r:id="rId6"/>
    <sheet name="TRANSICAO" sheetId="14" r:id="rId7"/>
    <sheet name="TR TUSD" sheetId="6" r:id="rId8"/>
    <sheet name="TUSD BE" sheetId="7" r:id="rId9"/>
    <sheet name="TUSD BF" sheetId="8" r:id="rId10"/>
    <sheet name="TUSD CVA" sheetId="9" r:id="rId11"/>
    <sheet name="TR TE" sheetId="10" r:id="rId12"/>
    <sheet name="TE BE" sheetId="11" r:id="rId13"/>
    <sheet name="TE BF" sheetId="12" r:id="rId14"/>
    <sheet name="TE CVA" sheetId="13" r:id="rId15"/>
    <sheet name="EFEITO" sheetId="16" r:id="rId16"/>
    <sheet name="SUBSIDIO" sheetId="17" r:id="rId17"/>
    <sheet name="TabDinEfeito" sheetId="18" r:id="rId18"/>
    <sheet name="TabDinSubsidio" sheetId="19" r:id="rId19"/>
    <sheet name="TABELAS REH" sheetId="36" r:id="rId20"/>
    <sheet name="CONSISTENCIA" sheetId="27" r:id="rId21"/>
    <sheet name="TUSD" sheetId="29" r:id="rId22"/>
    <sheet name="TE" sheetId="30" r:id="rId23"/>
    <sheet name="RESUMO TUSD" sheetId="31" r:id="rId24"/>
    <sheet name="RESUMO TE" sheetId="32" r:id="rId25"/>
    <sheet name="Descontos" sheetId="20" r:id="rId26"/>
    <sheet name="ERD" sheetId="35" r:id="rId27"/>
    <sheet name="TA - Aplicação" sheetId="37" r:id="rId28"/>
    <sheet name="TA - BE" sheetId="38" r:id="rId29"/>
    <sheet name="TA - CVA" sheetId="39" r:id="rId30"/>
  </sheets>
  <definedNames>
    <definedName name="DadosExternos_1" localSheetId="27" hidden="1">'TA - Aplicação'!$B$3:$AQ$50</definedName>
    <definedName name="DadosExternos_1" localSheetId="28" hidden="1">'TA - BE'!$B$3:$AQ$50</definedName>
    <definedName name="DadosExternos_1" localSheetId="29" hidden="1">'TA - CVA'!$B$3:$AQ$50</definedName>
  </definedNames>
  <calcPr calcId="191029" iterate="1"/>
  <pivotCaches>
    <pivotCache cacheId="0" r:id="rId31"/>
    <pivotCache cacheId="1" r:id="rId3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33" i="36" l="1"/>
  <c r="V32" i="36"/>
  <c r="V31" i="36"/>
  <c r="V30" i="36"/>
  <c r="V29" i="36"/>
  <c r="V28" i="36"/>
  <c r="V27" i="36"/>
  <c r="V26" i="36"/>
  <c r="V21" i="36"/>
  <c r="V16" i="36"/>
  <c r="V25" i="36"/>
  <c r="V20" i="36"/>
  <c r="V15" i="36"/>
  <c r="V24" i="36"/>
  <c r="V23" i="36"/>
  <c r="V22" i="36"/>
  <c r="V19" i="36"/>
  <c r="V18" i="36"/>
  <c r="V17" i="36"/>
  <c r="V14" i="36"/>
  <c r="V13" i="36"/>
  <c r="V12" i="36"/>
  <c r="V11" i="36"/>
  <c r="V9" i="36"/>
  <c r="V10" i="36"/>
  <c r="V8" i="36"/>
  <c r="V7" i="36"/>
  <c r="V6" i="36"/>
  <c r="V5" i="36"/>
  <c r="J11" i="36"/>
  <c r="J10" i="36"/>
  <c r="J6" i="36"/>
  <c r="J5" i="36"/>
  <c r="I3" i="35"/>
  <c r="I2" i="35" s="1"/>
  <c r="B2" i="35"/>
  <c r="C2" i="35"/>
  <c r="D2" i="35"/>
  <c r="E2" i="35"/>
  <c r="F2" i="35"/>
  <c r="G2" i="35"/>
  <c r="H2" i="35"/>
  <c r="J2" i="35"/>
  <c r="K2" i="35"/>
  <c r="L2" i="35"/>
  <c r="B11" i="35"/>
  <c r="K5" i="32" l="1"/>
  <c r="J5" i="32"/>
  <c r="I5" i="32"/>
  <c r="H5" i="32"/>
  <c r="G5" i="32"/>
  <c r="F5" i="32"/>
  <c r="E5" i="32"/>
  <c r="D5" i="32"/>
  <c r="C5" i="32"/>
  <c r="B5" i="32"/>
  <c r="I2" i="32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B5" i="31"/>
  <c r="I2" i="31"/>
  <c r="AE13" i="27"/>
  <c r="AD13" i="27"/>
  <c r="AC13" i="27"/>
  <c r="AB13" i="27"/>
  <c r="AA13" i="27"/>
  <c r="W13" i="27"/>
  <c r="V13" i="27"/>
  <c r="U13" i="27"/>
  <c r="AI13" i="27" s="1"/>
  <c r="T13" i="27"/>
  <c r="S13" i="27"/>
  <c r="R13" i="27"/>
  <c r="X13" i="27" s="1"/>
  <c r="AF13" i="27" s="1"/>
  <c r="AE12" i="27"/>
  <c r="AD12" i="27"/>
  <c r="AE8" i="27"/>
  <c r="AD8" i="27"/>
  <c r="AC8" i="27"/>
  <c r="AB8" i="27"/>
  <c r="AA8" i="27"/>
  <c r="W8" i="27"/>
  <c r="V8" i="27"/>
  <c r="U8" i="27"/>
  <c r="AI8" i="27" s="1"/>
  <c r="T8" i="27"/>
  <c r="S8" i="27"/>
  <c r="R8" i="27"/>
  <c r="X8" i="27" s="1"/>
  <c r="AF8" i="27" s="1"/>
  <c r="AE7" i="27"/>
  <c r="AD7" i="27"/>
  <c r="AE6" i="27"/>
  <c r="AD6" i="27"/>
  <c r="AC6" i="27"/>
  <c r="AB6" i="27"/>
  <c r="AA6" i="27"/>
  <c r="W6" i="27"/>
  <c r="V6" i="27"/>
  <c r="U6" i="27"/>
  <c r="T6" i="27"/>
  <c r="S6" i="27"/>
  <c r="Y6" i="27" s="1"/>
  <c r="AG6" i="27" s="1"/>
  <c r="R6" i="27"/>
  <c r="X6" i="27" s="1"/>
  <c r="AF6" i="27" s="1"/>
  <c r="AE5" i="27"/>
  <c r="AD5" i="27"/>
  <c r="AC5" i="27"/>
  <c r="AB5" i="27"/>
  <c r="AA5" i="27"/>
  <c r="W5" i="27"/>
  <c r="V5" i="27"/>
  <c r="U5" i="27"/>
  <c r="AI5" i="27" s="1"/>
  <c r="T5" i="27"/>
  <c r="S5" i="27"/>
  <c r="R5" i="27"/>
  <c r="X5" i="27" s="1"/>
  <c r="AF5" i="27" s="1"/>
  <c r="AE4" i="27"/>
  <c r="AD4" i="27"/>
  <c r="AC4" i="27"/>
  <c r="AB4" i="27"/>
  <c r="AA4" i="27"/>
  <c r="W4" i="27"/>
  <c r="V4" i="27"/>
  <c r="U4" i="27"/>
  <c r="AI4" i="27" s="1"/>
  <c r="T4" i="27"/>
  <c r="S4" i="27"/>
  <c r="R4" i="27"/>
  <c r="AE3" i="27"/>
  <c r="AD3" i="27"/>
  <c r="AC3" i="27"/>
  <c r="AB3" i="27"/>
  <c r="AA3" i="27"/>
  <c r="W3" i="27"/>
  <c r="V3" i="27"/>
  <c r="U3" i="27"/>
  <c r="AI3" i="27" s="1"/>
  <c r="T3" i="27"/>
  <c r="S3" i="27"/>
  <c r="Y3" i="27" s="1"/>
  <c r="AG3" i="27" s="1"/>
  <c r="R3" i="27"/>
  <c r="J320" i="27"/>
  <c r="J319" i="27"/>
  <c r="M319" i="27" s="1"/>
  <c r="J318" i="27"/>
  <c r="J317" i="27"/>
  <c r="J316" i="27"/>
  <c r="J315" i="27"/>
  <c r="M315" i="27" s="1"/>
  <c r="J314" i="27"/>
  <c r="J313" i="27"/>
  <c r="J312" i="27"/>
  <c r="J311" i="27"/>
  <c r="M311" i="27" s="1"/>
  <c r="J310" i="27"/>
  <c r="J309" i="27"/>
  <c r="J332" i="27"/>
  <c r="M332" i="27" s="1"/>
  <c r="J331" i="27"/>
  <c r="M331" i="27" s="1"/>
  <c r="J330" i="27"/>
  <c r="M330" i="27" s="1"/>
  <c r="J329" i="27"/>
  <c r="M329" i="27" s="1"/>
  <c r="M328" i="27"/>
  <c r="J328" i="27"/>
  <c r="J327" i="27"/>
  <c r="M327" i="27" s="1"/>
  <c r="M326" i="27"/>
  <c r="J326" i="27"/>
  <c r="J325" i="27"/>
  <c r="M325" i="27" s="1"/>
  <c r="J324" i="27"/>
  <c r="M324" i="27" s="1"/>
  <c r="J323" i="27"/>
  <c r="M323" i="27" s="1"/>
  <c r="J322" i="27"/>
  <c r="M322" i="27" s="1"/>
  <c r="J321" i="27"/>
  <c r="M320" i="27"/>
  <c r="M318" i="27"/>
  <c r="M317" i="27"/>
  <c r="M316" i="27"/>
  <c r="M314" i="27"/>
  <c r="M313" i="27"/>
  <c r="M312" i="27"/>
  <c r="M310" i="27"/>
  <c r="M309" i="27"/>
  <c r="J308" i="27"/>
  <c r="M308" i="27" s="1"/>
  <c r="J307" i="27"/>
  <c r="M307" i="27" s="1"/>
  <c r="J306" i="27"/>
  <c r="M306" i="27" s="1"/>
  <c r="M305" i="27"/>
  <c r="J305" i="27"/>
  <c r="J304" i="27"/>
  <c r="M304" i="27" s="1"/>
  <c r="M303" i="27"/>
  <c r="J303" i="27"/>
  <c r="J302" i="27"/>
  <c r="M302" i="27" s="1"/>
  <c r="J301" i="27"/>
  <c r="M301" i="27" s="1"/>
  <c r="J300" i="27"/>
  <c r="M300" i="27" s="1"/>
  <c r="J299" i="27"/>
  <c r="M299" i="27" s="1"/>
  <c r="J298" i="27"/>
  <c r="M298" i="27" s="1"/>
  <c r="M297" i="27"/>
  <c r="J297" i="27"/>
  <c r="J296" i="27"/>
  <c r="M296" i="27" s="1"/>
  <c r="M295" i="27"/>
  <c r="J295" i="27"/>
  <c r="J294" i="27"/>
  <c r="M294" i="27" s="1"/>
  <c r="J293" i="27"/>
  <c r="M293" i="27" s="1"/>
  <c r="J292" i="27"/>
  <c r="M292" i="27" s="1"/>
  <c r="J291" i="27"/>
  <c r="M291" i="27" s="1"/>
  <c r="J290" i="27"/>
  <c r="M290" i="27" s="1"/>
  <c r="M289" i="27"/>
  <c r="J289" i="27"/>
  <c r="J288" i="27"/>
  <c r="M288" i="27" s="1"/>
  <c r="M287" i="27"/>
  <c r="J287" i="27"/>
  <c r="J286" i="27"/>
  <c r="M286" i="27" s="1"/>
  <c r="J285" i="27"/>
  <c r="M285" i="27" s="1"/>
  <c r="J284" i="27"/>
  <c r="M284" i="27" s="1"/>
  <c r="J283" i="27"/>
  <c r="M283" i="27" s="1"/>
  <c r="J282" i="27"/>
  <c r="M282" i="27" s="1"/>
  <c r="M281" i="27"/>
  <c r="J281" i="27"/>
  <c r="J280" i="27"/>
  <c r="M280" i="27" s="1"/>
  <c r="M279" i="27"/>
  <c r="J279" i="27"/>
  <c r="J278" i="27"/>
  <c r="M278" i="27" s="1"/>
  <c r="J277" i="27"/>
  <c r="M277" i="27" s="1"/>
  <c r="J276" i="27"/>
  <c r="M276" i="27" s="1"/>
  <c r="J275" i="27"/>
  <c r="M275" i="27" s="1"/>
  <c r="J274" i="27"/>
  <c r="M274" i="27" s="1"/>
  <c r="M273" i="27"/>
  <c r="J273" i="27"/>
  <c r="J272" i="27"/>
  <c r="M272" i="27" s="1"/>
  <c r="M271" i="27"/>
  <c r="J271" i="27"/>
  <c r="J270" i="27"/>
  <c r="M270" i="27" s="1"/>
  <c r="J269" i="27"/>
  <c r="M269" i="27" s="1"/>
  <c r="J268" i="27"/>
  <c r="M268" i="27" s="1"/>
  <c r="J267" i="27"/>
  <c r="M267" i="27" s="1"/>
  <c r="J266" i="27"/>
  <c r="M266" i="27" s="1"/>
  <c r="M265" i="27"/>
  <c r="J265" i="27"/>
  <c r="J264" i="27"/>
  <c r="M264" i="27" s="1"/>
  <c r="M263" i="27"/>
  <c r="J263" i="27"/>
  <c r="J262" i="27"/>
  <c r="M262" i="27" s="1"/>
  <c r="J261" i="27"/>
  <c r="M261" i="27" s="1"/>
  <c r="J260" i="27"/>
  <c r="M260" i="27" s="1"/>
  <c r="J259" i="27"/>
  <c r="M259" i="27" s="1"/>
  <c r="J258" i="27"/>
  <c r="M258" i="27" s="1"/>
  <c r="J257" i="27"/>
  <c r="M257" i="27" s="1"/>
  <c r="J256" i="27"/>
  <c r="M256" i="27" s="1"/>
  <c r="J255" i="27"/>
  <c r="M255" i="27" s="1"/>
  <c r="M254" i="27"/>
  <c r="J254" i="27"/>
  <c r="J253" i="27"/>
  <c r="M253" i="27" s="1"/>
  <c r="J252" i="27"/>
  <c r="M252" i="27" s="1"/>
  <c r="J251" i="27"/>
  <c r="M251" i="27" s="1"/>
  <c r="J250" i="27"/>
  <c r="M250" i="27" s="1"/>
  <c r="J249" i="27"/>
  <c r="M249" i="27" s="1"/>
  <c r="J248" i="27"/>
  <c r="M248" i="27" s="1"/>
  <c r="J247" i="27"/>
  <c r="M247" i="27" s="1"/>
  <c r="J246" i="27"/>
  <c r="M246" i="27" s="1"/>
  <c r="J245" i="27"/>
  <c r="M245" i="27" s="1"/>
  <c r="M244" i="27"/>
  <c r="J244" i="27"/>
  <c r="J243" i="27"/>
  <c r="M243" i="27" s="1"/>
  <c r="J242" i="27"/>
  <c r="M242" i="27" s="1"/>
  <c r="J241" i="27"/>
  <c r="M241" i="27" s="1"/>
  <c r="J240" i="27"/>
  <c r="M240" i="27" s="1"/>
  <c r="J239" i="27"/>
  <c r="M239" i="27" s="1"/>
  <c r="M238" i="27"/>
  <c r="J238" i="27"/>
  <c r="J237" i="27"/>
  <c r="M237" i="27" s="1"/>
  <c r="J236" i="27"/>
  <c r="M236" i="27" s="1"/>
  <c r="J235" i="27"/>
  <c r="M235" i="27" s="1"/>
  <c r="J234" i="27"/>
  <c r="M234" i="27" s="1"/>
  <c r="J233" i="27"/>
  <c r="M233" i="27" s="1"/>
  <c r="J232" i="27"/>
  <c r="M232" i="27" s="1"/>
  <c r="J231" i="27"/>
  <c r="M231" i="27" s="1"/>
  <c r="J230" i="27"/>
  <c r="M230" i="27" s="1"/>
  <c r="J229" i="27"/>
  <c r="M229" i="27" s="1"/>
  <c r="M228" i="27"/>
  <c r="J228" i="27"/>
  <c r="J227" i="27"/>
  <c r="M227" i="27" s="1"/>
  <c r="J226" i="27"/>
  <c r="M226" i="27" s="1"/>
  <c r="J225" i="27"/>
  <c r="M225" i="27" s="1"/>
  <c r="J224" i="27"/>
  <c r="M224" i="27" s="1"/>
  <c r="J223" i="27"/>
  <c r="M223" i="27" s="1"/>
  <c r="M222" i="27"/>
  <c r="J222" i="27"/>
  <c r="J221" i="27"/>
  <c r="M221" i="27" s="1"/>
  <c r="J220" i="27"/>
  <c r="M220" i="27" s="1"/>
  <c r="J219" i="27"/>
  <c r="M219" i="27" s="1"/>
  <c r="J218" i="27"/>
  <c r="M218" i="27" s="1"/>
  <c r="J217" i="27"/>
  <c r="M217" i="27" s="1"/>
  <c r="J216" i="27"/>
  <c r="M216" i="27" s="1"/>
  <c r="J215" i="27"/>
  <c r="M215" i="27" s="1"/>
  <c r="J214" i="27"/>
  <c r="M214" i="27" s="1"/>
  <c r="J213" i="27"/>
  <c r="J212" i="27"/>
  <c r="M212" i="27" s="1"/>
  <c r="J211" i="27"/>
  <c r="M211" i="27" s="1"/>
  <c r="J210" i="27"/>
  <c r="M210" i="27" s="1"/>
  <c r="M209" i="27"/>
  <c r="J209" i="27"/>
  <c r="J208" i="27"/>
  <c r="M208" i="27" s="1"/>
  <c r="M207" i="27"/>
  <c r="J207" i="27"/>
  <c r="J206" i="27"/>
  <c r="M206" i="27" s="1"/>
  <c r="J205" i="27"/>
  <c r="M205" i="27" s="1"/>
  <c r="J204" i="27"/>
  <c r="M204" i="27" s="1"/>
  <c r="J203" i="27"/>
  <c r="M203" i="27" s="1"/>
  <c r="J202" i="27"/>
  <c r="M202" i="27" s="1"/>
  <c r="M201" i="27"/>
  <c r="J201" i="27"/>
  <c r="J200" i="27"/>
  <c r="M200" i="27" s="1"/>
  <c r="M199" i="27"/>
  <c r="J199" i="27"/>
  <c r="J198" i="27"/>
  <c r="M198" i="27" s="1"/>
  <c r="J197" i="27"/>
  <c r="M197" i="27" s="1"/>
  <c r="J196" i="27"/>
  <c r="M196" i="27" s="1"/>
  <c r="J195" i="27"/>
  <c r="M195" i="27" s="1"/>
  <c r="J194" i="27"/>
  <c r="M194" i="27" s="1"/>
  <c r="M193" i="27"/>
  <c r="J193" i="27"/>
  <c r="J192" i="27"/>
  <c r="M192" i="27" s="1"/>
  <c r="M191" i="27"/>
  <c r="J191" i="27"/>
  <c r="J190" i="27"/>
  <c r="M190" i="27" s="1"/>
  <c r="J189" i="27"/>
  <c r="M189" i="27" s="1"/>
  <c r="J188" i="27"/>
  <c r="M188" i="27" s="1"/>
  <c r="J187" i="27"/>
  <c r="M187" i="27" s="1"/>
  <c r="J186" i="27"/>
  <c r="M186" i="27" s="1"/>
  <c r="M185" i="27"/>
  <c r="J185" i="27"/>
  <c r="J184" i="27"/>
  <c r="M184" i="27" s="1"/>
  <c r="M183" i="27"/>
  <c r="J183" i="27"/>
  <c r="J182" i="27"/>
  <c r="M182" i="27" s="1"/>
  <c r="J181" i="27"/>
  <c r="M181" i="27" s="1"/>
  <c r="J180" i="27"/>
  <c r="M180" i="27" s="1"/>
  <c r="J179" i="27"/>
  <c r="M179" i="27" s="1"/>
  <c r="J178" i="27"/>
  <c r="M178" i="27" s="1"/>
  <c r="M177" i="27"/>
  <c r="J177" i="27"/>
  <c r="J176" i="27"/>
  <c r="M176" i="27" s="1"/>
  <c r="M175" i="27"/>
  <c r="J175" i="27"/>
  <c r="J174" i="27"/>
  <c r="M174" i="27" s="1"/>
  <c r="J173" i="27"/>
  <c r="M173" i="27" s="1"/>
  <c r="J172" i="27"/>
  <c r="M172" i="27" s="1"/>
  <c r="J171" i="27"/>
  <c r="M171" i="27" s="1"/>
  <c r="J170" i="27"/>
  <c r="M170" i="27" s="1"/>
  <c r="M169" i="27"/>
  <c r="J169" i="27"/>
  <c r="J168" i="27"/>
  <c r="M168" i="27" s="1"/>
  <c r="M167" i="27"/>
  <c r="J167" i="27"/>
  <c r="J166" i="27"/>
  <c r="M166" i="27" s="1"/>
  <c r="J165" i="27"/>
  <c r="M165" i="27" s="1"/>
  <c r="J154" i="27"/>
  <c r="M154" i="27" s="1"/>
  <c r="J149" i="27"/>
  <c r="M149" i="27" s="1"/>
  <c r="J137" i="27"/>
  <c r="M137" i="27" s="1"/>
  <c r="J131" i="27"/>
  <c r="M131" i="27" s="1"/>
  <c r="J123" i="27"/>
  <c r="M123" i="27" s="1"/>
  <c r="J117" i="27"/>
  <c r="M117" i="27" s="1"/>
  <c r="J116" i="27"/>
  <c r="M116" i="27" s="1"/>
  <c r="J115" i="27"/>
  <c r="M115" i="27" s="1"/>
  <c r="J114" i="27"/>
  <c r="M114" i="27" s="1"/>
  <c r="J113" i="27"/>
  <c r="M113" i="27" s="1"/>
  <c r="J112" i="27"/>
  <c r="M112" i="27" s="1"/>
  <c r="J111" i="27"/>
  <c r="M111" i="27" s="1"/>
  <c r="J110" i="27"/>
  <c r="M110" i="27" s="1"/>
  <c r="J109" i="27"/>
  <c r="M109" i="27" s="1"/>
  <c r="J108" i="27"/>
  <c r="M108" i="27" s="1"/>
  <c r="J107" i="27"/>
  <c r="M107" i="27" s="1"/>
  <c r="J106" i="27"/>
  <c r="M106" i="27" s="1"/>
  <c r="J105" i="27"/>
  <c r="M105" i="27" s="1"/>
  <c r="J104" i="27"/>
  <c r="M104" i="27" s="1"/>
  <c r="J103" i="27"/>
  <c r="M103" i="27" s="1"/>
  <c r="J102" i="27"/>
  <c r="M102" i="27" s="1"/>
  <c r="J101" i="27"/>
  <c r="M101" i="27" s="1"/>
  <c r="J100" i="27"/>
  <c r="M100" i="27" s="1"/>
  <c r="J99" i="27"/>
  <c r="M99" i="27" s="1"/>
  <c r="J98" i="27"/>
  <c r="M98" i="27" s="1"/>
  <c r="J97" i="27"/>
  <c r="M97" i="27" s="1"/>
  <c r="J96" i="27"/>
  <c r="M96" i="27" s="1"/>
  <c r="J95" i="27"/>
  <c r="M95" i="27" s="1"/>
  <c r="J94" i="27"/>
  <c r="M94" i="27" s="1"/>
  <c r="J93" i="27"/>
  <c r="M93" i="27" s="1"/>
  <c r="J92" i="27"/>
  <c r="M92" i="27" s="1"/>
  <c r="J91" i="27"/>
  <c r="M91" i="27" s="1"/>
  <c r="J90" i="27"/>
  <c r="M90" i="27" s="1"/>
  <c r="J89" i="27"/>
  <c r="M89" i="27" s="1"/>
  <c r="J88" i="27"/>
  <c r="M88" i="27" s="1"/>
  <c r="J87" i="27"/>
  <c r="M87" i="27" s="1"/>
  <c r="J86" i="27"/>
  <c r="M86" i="27" s="1"/>
  <c r="J85" i="27"/>
  <c r="M85" i="27" s="1"/>
  <c r="J84" i="27"/>
  <c r="M84" i="27" s="1"/>
  <c r="J83" i="27"/>
  <c r="M83" i="27" s="1"/>
  <c r="J82" i="27"/>
  <c r="M82" i="27" s="1"/>
  <c r="J81" i="27"/>
  <c r="M81" i="27" s="1"/>
  <c r="J80" i="27"/>
  <c r="M80" i="27" s="1"/>
  <c r="J79" i="27"/>
  <c r="M79" i="27" s="1"/>
  <c r="J78" i="27"/>
  <c r="M78" i="27" s="1"/>
  <c r="J77" i="27"/>
  <c r="M77" i="27" s="1"/>
  <c r="J76" i="27"/>
  <c r="M76" i="27" s="1"/>
  <c r="J75" i="27"/>
  <c r="M75" i="27" s="1"/>
  <c r="J74" i="27"/>
  <c r="M74" i="27" s="1"/>
  <c r="J73" i="27"/>
  <c r="M73" i="27" s="1"/>
  <c r="J72" i="27"/>
  <c r="M72" i="27" s="1"/>
  <c r="J71" i="27"/>
  <c r="M71" i="27" s="1"/>
  <c r="J70" i="27"/>
  <c r="M70" i="27" s="1"/>
  <c r="J69" i="27"/>
  <c r="M69" i="27" s="1"/>
  <c r="J68" i="27"/>
  <c r="M68" i="27" s="1"/>
  <c r="J67" i="27"/>
  <c r="M67" i="27" s="1"/>
  <c r="J66" i="27"/>
  <c r="M66" i="27" s="1"/>
  <c r="J65" i="27"/>
  <c r="M65" i="27" s="1"/>
  <c r="J64" i="27"/>
  <c r="M64" i="27" s="1"/>
  <c r="J63" i="27"/>
  <c r="M63" i="27" s="1"/>
  <c r="M62" i="27"/>
  <c r="J62" i="27"/>
  <c r="J61" i="27"/>
  <c r="M61" i="27" s="1"/>
  <c r="J60" i="27"/>
  <c r="M60" i="27" s="1"/>
  <c r="J59" i="27"/>
  <c r="M59" i="27" s="1"/>
  <c r="J58" i="27"/>
  <c r="M58" i="27" s="1"/>
  <c r="J57" i="27"/>
  <c r="M57" i="27" s="1"/>
  <c r="J56" i="27"/>
  <c r="M56" i="27" s="1"/>
  <c r="J55" i="27"/>
  <c r="M55" i="27" s="1"/>
  <c r="J54" i="27"/>
  <c r="M54" i="27" s="1"/>
  <c r="J53" i="27"/>
  <c r="M53" i="27" s="1"/>
  <c r="J52" i="27"/>
  <c r="M52" i="27" s="1"/>
  <c r="J51" i="27"/>
  <c r="M51" i="27" s="1"/>
  <c r="J50" i="27"/>
  <c r="M50" i="27" s="1"/>
  <c r="J49" i="27"/>
  <c r="M49" i="27" s="1"/>
  <c r="J48" i="27"/>
  <c r="M48" i="27" s="1"/>
  <c r="J47" i="27"/>
  <c r="M47" i="27" s="1"/>
  <c r="M46" i="27"/>
  <c r="J46" i="27"/>
  <c r="J45" i="27"/>
  <c r="M45" i="27" s="1"/>
  <c r="J44" i="27"/>
  <c r="M44" i="27" s="1"/>
  <c r="J43" i="27"/>
  <c r="M43" i="27" s="1"/>
  <c r="J42" i="27"/>
  <c r="M42" i="27" s="1"/>
  <c r="J41" i="27"/>
  <c r="M41" i="27" s="1"/>
  <c r="J40" i="27"/>
  <c r="M40" i="27" s="1"/>
  <c r="J39" i="27"/>
  <c r="M39" i="27" s="1"/>
  <c r="J38" i="27"/>
  <c r="M38" i="27" s="1"/>
  <c r="J37" i="27"/>
  <c r="M37" i="27" s="1"/>
  <c r="J36" i="27"/>
  <c r="M36" i="27" s="1"/>
  <c r="J35" i="27"/>
  <c r="M35" i="27" s="1"/>
  <c r="J34" i="27"/>
  <c r="M34" i="27" s="1"/>
  <c r="J33" i="27"/>
  <c r="M33" i="27" s="1"/>
  <c r="M32" i="27"/>
  <c r="J32" i="27"/>
  <c r="J31" i="27"/>
  <c r="M31" i="27" s="1"/>
  <c r="J30" i="27"/>
  <c r="M30" i="27" s="1"/>
  <c r="J29" i="27"/>
  <c r="M29" i="27" s="1"/>
  <c r="J28" i="27"/>
  <c r="M28" i="27" s="1"/>
  <c r="J27" i="27"/>
  <c r="M27" i="27" s="1"/>
  <c r="J26" i="27"/>
  <c r="M26" i="27" s="1"/>
  <c r="L25" i="27"/>
  <c r="O25" i="27" s="1"/>
  <c r="K25" i="27"/>
  <c r="N25" i="27" s="1"/>
  <c r="L24" i="27"/>
  <c r="O24" i="27" s="1"/>
  <c r="K24" i="27"/>
  <c r="N24" i="27" s="1"/>
  <c r="L23" i="27"/>
  <c r="O23" i="27" s="1"/>
  <c r="K23" i="27"/>
  <c r="N23" i="27" s="1"/>
  <c r="N22" i="27"/>
  <c r="L22" i="27"/>
  <c r="O22" i="27" s="1"/>
  <c r="K22" i="27"/>
  <c r="N21" i="27"/>
  <c r="L21" i="27"/>
  <c r="O21" i="27" s="1"/>
  <c r="K21" i="27"/>
  <c r="L20" i="27"/>
  <c r="O20" i="27" s="1"/>
  <c r="K20" i="27"/>
  <c r="N20" i="27" s="1"/>
  <c r="L19" i="27"/>
  <c r="O19" i="27" s="1"/>
  <c r="K19" i="27"/>
  <c r="N19" i="27" s="1"/>
  <c r="N18" i="27"/>
  <c r="L18" i="27"/>
  <c r="O18" i="27" s="1"/>
  <c r="K18" i="27"/>
  <c r="N17" i="27"/>
  <c r="L17" i="27"/>
  <c r="O17" i="27" s="1"/>
  <c r="K17" i="27"/>
  <c r="L16" i="27"/>
  <c r="O16" i="27" s="1"/>
  <c r="K16" i="27"/>
  <c r="N16" i="27" s="1"/>
  <c r="N15" i="27"/>
  <c r="L15" i="27"/>
  <c r="O15" i="27" s="1"/>
  <c r="K15" i="27"/>
  <c r="O14" i="27"/>
  <c r="L14" i="27"/>
  <c r="K14" i="27"/>
  <c r="N14" i="27" s="1"/>
  <c r="J13" i="27"/>
  <c r="M13" i="27" s="1"/>
  <c r="J12" i="27"/>
  <c r="M12" i="27" s="1"/>
  <c r="M11" i="27"/>
  <c r="J11" i="27"/>
  <c r="J10" i="27"/>
  <c r="M10" i="27" s="1"/>
  <c r="J9" i="27"/>
  <c r="M9" i="27" s="1"/>
  <c r="J8" i="27"/>
  <c r="M8" i="27" s="1"/>
  <c r="M7" i="27"/>
  <c r="J7" i="27"/>
  <c r="J6" i="27"/>
  <c r="M6" i="27" s="1"/>
  <c r="J5" i="27"/>
  <c r="M5" i="27" s="1"/>
  <c r="J4" i="27"/>
  <c r="M4" i="27" s="1"/>
  <c r="M3" i="27"/>
  <c r="J3" i="27"/>
  <c r="J2" i="27"/>
  <c r="M2" i="27" s="1"/>
  <c r="P11" i="5"/>
  <c r="R11" i="5" s="1"/>
  <c r="P10" i="5"/>
  <c r="R10" i="5" s="1"/>
  <c r="P9" i="5"/>
  <c r="R9" i="5"/>
  <c r="F43" i="5"/>
  <c r="E43" i="5"/>
  <c r="D43" i="5"/>
  <c r="F26" i="5"/>
  <c r="E26" i="5"/>
  <c r="D26" i="5"/>
  <c r="F25" i="5"/>
  <c r="E25" i="5"/>
  <c r="D25" i="5"/>
  <c r="F24" i="5"/>
  <c r="E24" i="5"/>
  <c r="D24" i="5"/>
  <c r="D13" i="5"/>
  <c r="F38" i="5"/>
  <c r="F17" i="5"/>
  <c r="F16" i="5"/>
  <c r="F12" i="5"/>
  <c r="F11" i="5"/>
  <c r="M15" i="5"/>
  <c r="M7" i="5"/>
  <c r="D35" i="5" s="1"/>
  <c r="X320" i="16"/>
  <c r="W320" i="16"/>
  <c r="X319" i="16"/>
  <c r="W319" i="16"/>
  <c r="X318" i="16"/>
  <c r="W318" i="16"/>
  <c r="X317" i="16"/>
  <c r="W317" i="16"/>
  <c r="X316" i="16"/>
  <c r="W316" i="16"/>
  <c r="X315" i="16"/>
  <c r="W315" i="16"/>
  <c r="X314" i="16"/>
  <c r="W314" i="16"/>
  <c r="X313" i="16"/>
  <c r="W313" i="16"/>
  <c r="X312" i="16"/>
  <c r="W312" i="16"/>
  <c r="X311" i="16"/>
  <c r="W311" i="16"/>
  <c r="X310" i="16"/>
  <c r="W310" i="16"/>
  <c r="X309" i="16"/>
  <c r="W309" i="16"/>
  <c r="AD157" i="17"/>
  <c r="AB157" i="17"/>
  <c r="X157" i="17"/>
  <c r="W157" i="17"/>
  <c r="AC157" i="17" s="1"/>
  <c r="AD156" i="17"/>
  <c r="X156" i="17"/>
  <c r="W156" i="17"/>
  <c r="AC156" i="17" s="1"/>
  <c r="AD155" i="17"/>
  <c r="AB155" i="17"/>
  <c r="X155" i="17"/>
  <c r="W155" i="17"/>
  <c r="AC155" i="17" s="1"/>
  <c r="AD154" i="17"/>
  <c r="X154" i="17"/>
  <c r="W154" i="17"/>
  <c r="AC154" i="17" s="1"/>
  <c r="AD153" i="17"/>
  <c r="AB153" i="17"/>
  <c r="X153" i="17"/>
  <c r="W153" i="17"/>
  <c r="AC153" i="17" s="1"/>
  <c r="AD152" i="17"/>
  <c r="X152" i="17"/>
  <c r="W152" i="17"/>
  <c r="AC152" i="17" s="1"/>
  <c r="AD151" i="17"/>
  <c r="AB151" i="17"/>
  <c r="X151" i="17"/>
  <c r="W151" i="17"/>
  <c r="AC151" i="17" s="1"/>
  <c r="AD150" i="17"/>
  <c r="X150" i="17"/>
  <c r="W150" i="17"/>
  <c r="AC150" i="17" s="1"/>
  <c r="AD149" i="17"/>
  <c r="AB149" i="17"/>
  <c r="X149" i="17"/>
  <c r="W149" i="17"/>
  <c r="AC149" i="17" s="1"/>
  <c r="AD148" i="17"/>
  <c r="X148" i="17"/>
  <c r="W148" i="17"/>
  <c r="AC148" i="17" s="1"/>
  <c r="AD147" i="17"/>
  <c r="AB147" i="17"/>
  <c r="X147" i="17"/>
  <c r="W147" i="17"/>
  <c r="AC147" i="17" s="1"/>
  <c r="AD146" i="17"/>
  <c r="AD11" i="27" s="1"/>
  <c r="X146" i="17"/>
  <c r="W146" i="17"/>
  <c r="AC146" i="17" s="1"/>
  <c r="M40" i="5"/>
  <c r="M39" i="5"/>
  <c r="M38" i="5"/>
  <c r="AJ9" i="17"/>
  <c r="AI9" i="17"/>
  <c r="AJ4" i="17"/>
  <c r="AI4" i="17"/>
  <c r="AJ3" i="17"/>
  <c r="AI3" i="17"/>
  <c r="AJ2" i="17"/>
  <c r="AI2" i="17"/>
  <c r="AD145" i="17"/>
  <c r="AD144" i="17"/>
  <c r="AD143" i="17"/>
  <c r="AD142" i="17"/>
  <c r="AB142" i="17"/>
  <c r="AD141" i="17"/>
  <c r="AD140" i="17"/>
  <c r="AD139" i="17"/>
  <c r="AD138" i="17"/>
  <c r="AD137" i="17"/>
  <c r="AD136" i="17"/>
  <c r="AD135" i="17"/>
  <c r="AD134" i="17"/>
  <c r="AD133" i="17"/>
  <c r="AD132" i="17"/>
  <c r="AD131" i="17"/>
  <c r="AD130" i="17"/>
  <c r="AD129" i="17"/>
  <c r="AD128" i="17"/>
  <c r="AD127" i="17"/>
  <c r="AD126" i="17"/>
  <c r="AD125" i="17"/>
  <c r="AD124" i="17"/>
  <c r="AD123" i="17"/>
  <c r="AD122" i="17"/>
  <c r="AD121" i="17"/>
  <c r="AD120" i="17"/>
  <c r="AD119" i="17"/>
  <c r="AD118" i="17"/>
  <c r="AD117" i="17"/>
  <c r="AD116" i="17"/>
  <c r="AD115" i="17"/>
  <c r="AD114" i="17"/>
  <c r="AD113" i="17"/>
  <c r="AD112" i="17"/>
  <c r="AD111" i="17"/>
  <c r="AD110" i="17"/>
  <c r="AD109" i="17"/>
  <c r="AD108" i="17"/>
  <c r="AD107" i="17"/>
  <c r="AD106" i="17"/>
  <c r="AD105" i="17"/>
  <c r="AD104" i="17"/>
  <c r="AD103" i="17"/>
  <c r="AD102" i="17"/>
  <c r="AD101" i="17"/>
  <c r="AD100" i="17"/>
  <c r="AD99" i="17"/>
  <c r="AD98" i="17"/>
  <c r="AD97" i="17"/>
  <c r="AD96" i="17"/>
  <c r="AD95" i="17"/>
  <c r="AD94" i="17"/>
  <c r="AD93" i="17"/>
  <c r="AD92" i="17"/>
  <c r="AD91" i="17"/>
  <c r="AD90" i="17"/>
  <c r="AD89" i="17"/>
  <c r="AD88" i="17"/>
  <c r="AD87" i="17"/>
  <c r="AD86" i="17"/>
  <c r="AD85" i="17"/>
  <c r="AD84" i="17"/>
  <c r="AD83" i="17"/>
  <c r="AD82" i="17"/>
  <c r="AD81" i="17"/>
  <c r="AD80" i="17"/>
  <c r="AD79" i="17"/>
  <c r="AD78" i="17"/>
  <c r="AD77" i="17"/>
  <c r="AD76" i="17"/>
  <c r="AD75" i="17"/>
  <c r="AD74" i="17"/>
  <c r="AD73" i="17"/>
  <c r="AD72" i="17"/>
  <c r="AD71" i="17"/>
  <c r="AD70" i="17"/>
  <c r="AD69" i="17"/>
  <c r="AD68" i="17"/>
  <c r="AD67" i="17"/>
  <c r="AD66" i="17"/>
  <c r="AD65" i="17"/>
  <c r="AD64" i="17"/>
  <c r="AD63" i="17"/>
  <c r="AD62" i="17"/>
  <c r="AD61" i="17"/>
  <c r="AD60" i="17"/>
  <c r="AD59" i="17"/>
  <c r="AD58" i="17"/>
  <c r="AD57" i="17"/>
  <c r="AD56" i="17"/>
  <c r="AD55" i="17"/>
  <c r="AD54" i="17"/>
  <c r="AD53" i="17"/>
  <c r="AD52" i="17"/>
  <c r="AD51" i="17"/>
  <c r="AD50" i="17"/>
  <c r="AD49" i="17"/>
  <c r="AD48" i="17"/>
  <c r="AD47" i="17"/>
  <c r="AD46" i="17"/>
  <c r="AD45" i="17"/>
  <c r="AD44" i="17"/>
  <c r="AD43" i="17"/>
  <c r="AD42" i="17"/>
  <c r="AD41" i="17"/>
  <c r="AD40" i="17"/>
  <c r="AD39" i="17"/>
  <c r="AD38" i="17"/>
  <c r="AD37" i="17"/>
  <c r="AD36" i="17"/>
  <c r="AD35" i="17"/>
  <c r="AD34" i="17"/>
  <c r="AD33" i="17"/>
  <c r="AD32" i="17"/>
  <c r="AD31" i="17"/>
  <c r="AD30" i="17"/>
  <c r="AD29" i="17"/>
  <c r="AD28" i="17"/>
  <c r="AD27" i="17"/>
  <c r="AD26" i="17"/>
  <c r="AD25" i="17"/>
  <c r="AD24" i="17"/>
  <c r="AD23" i="17"/>
  <c r="AD22" i="17"/>
  <c r="AD21" i="17"/>
  <c r="AD20" i="17"/>
  <c r="AD19" i="17"/>
  <c r="AD18" i="17"/>
  <c r="AD17" i="17"/>
  <c r="AD16" i="17"/>
  <c r="AD15" i="17"/>
  <c r="AD14" i="17"/>
  <c r="AD13" i="17"/>
  <c r="AD12" i="17"/>
  <c r="AD11" i="17"/>
  <c r="AD10" i="17"/>
  <c r="AD9" i="17"/>
  <c r="AD8" i="17"/>
  <c r="AD7" i="17"/>
  <c r="AD6" i="17"/>
  <c r="AD5" i="17"/>
  <c r="AD4" i="17"/>
  <c r="AD3" i="17"/>
  <c r="AD2" i="17"/>
  <c r="AD9" i="27" s="1"/>
  <c r="V157" i="17"/>
  <c r="V156" i="17"/>
  <c r="AB156" i="17" s="1"/>
  <c r="V155" i="17"/>
  <c r="V154" i="17"/>
  <c r="AB154" i="17" s="1"/>
  <c r="V153" i="17"/>
  <c r="V152" i="17"/>
  <c r="AB152" i="17" s="1"/>
  <c r="V151" i="17"/>
  <c r="V150" i="17"/>
  <c r="AB150" i="17" s="1"/>
  <c r="V149" i="17"/>
  <c r="V148" i="17"/>
  <c r="AB148" i="17" s="1"/>
  <c r="V147" i="17"/>
  <c r="V146" i="17"/>
  <c r="AB146" i="17" s="1"/>
  <c r="X145" i="17"/>
  <c r="W145" i="17"/>
  <c r="V145" i="17"/>
  <c r="AB145" i="17" s="1"/>
  <c r="X144" i="17"/>
  <c r="W144" i="17"/>
  <c r="V144" i="17"/>
  <c r="AB144" i="17" s="1"/>
  <c r="X143" i="17"/>
  <c r="W143" i="17"/>
  <c r="V143" i="17"/>
  <c r="AB143" i="17" s="1"/>
  <c r="X142" i="17"/>
  <c r="W142" i="17"/>
  <c r="V142" i="17"/>
  <c r="X141" i="17"/>
  <c r="W141" i="17"/>
  <c r="V141" i="17"/>
  <c r="AB141" i="17" s="1"/>
  <c r="X140" i="17"/>
  <c r="W140" i="17"/>
  <c r="V140" i="17"/>
  <c r="AB140" i="17" s="1"/>
  <c r="X139" i="17"/>
  <c r="W139" i="17"/>
  <c r="V139" i="17"/>
  <c r="AB139" i="17" s="1"/>
  <c r="X138" i="17"/>
  <c r="W138" i="17"/>
  <c r="V138" i="17"/>
  <c r="AB138" i="17" s="1"/>
  <c r="X137" i="17"/>
  <c r="W137" i="17"/>
  <c r="V137" i="17"/>
  <c r="AB137" i="17" s="1"/>
  <c r="X136" i="17"/>
  <c r="W136" i="17"/>
  <c r="V136" i="17"/>
  <c r="AB136" i="17" s="1"/>
  <c r="X135" i="17"/>
  <c r="W135" i="17"/>
  <c r="V135" i="17"/>
  <c r="AB135" i="17" s="1"/>
  <c r="X134" i="17"/>
  <c r="W134" i="17"/>
  <c r="V134" i="17"/>
  <c r="AB134" i="17" s="1"/>
  <c r="X133" i="17"/>
  <c r="W133" i="17"/>
  <c r="V133" i="17"/>
  <c r="AB133" i="17" s="1"/>
  <c r="X132" i="17"/>
  <c r="W132" i="17"/>
  <c r="V132" i="17"/>
  <c r="AB132" i="17" s="1"/>
  <c r="X131" i="17"/>
  <c r="W131" i="17"/>
  <c r="V131" i="17"/>
  <c r="AB131" i="17" s="1"/>
  <c r="X130" i="17"/>
  <c r="W130" i="17"/>
  <c r="V130" i="17"/>
  <c r="AB130" i="17" s="1"/>
  <c r="X129" i="17"/>
  <c r="W129" i="17"/>
  <c r="V129" i="17"/>
  <c r="AB129" i="17" s="1"/>
  <c r="X128" i="17"/>
  <c r="W128" i="17"/>
  <c r="V128" i="17"/>
  <c r="AB128" i="17" s="1"/>
  <c r="X127" i="17"/>
  <c r="W127" i="17"/>
  <c r="V127" i="17"/>
  <c r="AB127" i="17" s="1"/>
  <c r="X126" i="17"/>
  <c r="W126" i="17"/>
  <c r="V126" i="17"/>
  <c r="AB126" i="17" s="1"/>
  <c r="X125" i="17"/>
  <c r="W125" i="17"/>
  <c r="V125" i="17"/>
  <c r="AB125" i="17" s="1"/>
  <c r="X124" i="17"/>
  <c r="W124" i="17"/>
  <c r="V124" i="17"/>
  <c r="AB124" i="17" s="1"/>
  <c r="X123" i="17"/>
  <c r="W123" i="17"/>
  <c r="V123" i="17"/>
  <c r="AB123" i="17" s="1"/>
  <c r="X122" i="17"/>
  <c r="W122" i="17"/>
  <c r="V122" i="17"/>
  <c r="AB122" i="17" s="1"/>
  <c r="X121" i="17"/>
  <c r="W121" i="17"/>
  <c r="V121" i="17"/>
  <c r="AB121" i="17" s="1"/>
  <c r="X120" i="17"/>
  <c r="W120" i="17"/>
  <c r="V120" i="17"/>
  <c r="AB120" i="17" s="1"/>
  <c r="X119" i="17"/>
  <c r="W119" i="17"/>
  <c r="V119" i="17"/>
  <c r="AB119" i="17" s="1"/>
  <c r="X118" i="17"/>
  <c r="W118" i="17"/>
  <c r="V118" i="17"/>
  <c r="AB118" i="17" s="1"/>
  <c r="X117" i="17"/>
  <c r="W117" i="17"/>
  <c r="V117" i="17"/>
  <c r="AB117" i="17" s="1"/>
  <c r="X116" i="17"/>
  <c r="W116" i="17"/>
  <c r="V116" i="17"/>
  <c r="AB116" i="17" s="1"/>
  <c r="X115" i="17"/>
  <c r="W115" i="17"/>
  <c r="V115" i="17"/>
  <c r="AB115" i="17" s="1"/>
  <c r="X114" i="17"/>
  <c r="W114" i="17"/>
  <c r="V114" i="17"/>
  <c r="AB114" i="17" s="1"/>
  <c r="X113" i="17"/>
  <c r="W113" i="17"/>
  <c r="V113" i="17"/>
  <c r="AB113" i="17" s="1"/>
  <c r="X112" i="17"/>
  <c r="W112" i="17"/>
  <c r="V112" i="17"/>
  <c r="AB112" i="17" s="1"/>
  <c r="X111" i="17"/>
  <c r="W111" i="17"/>
  <c r="V111" i="17"/>
  <c r="AB111" i="17" s="1"/>
  <c r="X110" i="17"/>
  <c r="W110" i="17"/>
  <c r="V110" i="17"/>
  <c r="AB110" i="17" s="1"/>
  <c r="X109" i="17"/>
  <c r="W109" i="17"/>
  <c r="V109" i="17"/>
  <c r="AB109" i="17" s="1"/>
  <c r="X108" i="17"/>
  <c r="W108" i="17"/>
  <c r="V108" i="17"/>
  <c r="AB108" i="17" s="1"/>
  <c r="X107" i="17"/>
  <c r="W107" i="17"/>
  <c r="V107" i="17"/>
  <c r="AB107" i="17" s="1"/>
  <c r="X106" i="17"/>
  <c r="W106" i="17"/>
  <c r="V106" i="17"/>
  <c r="AB106" i="17" s="1"/>
  <c r="X105" i="17"/>
  <c r="W105" i="17"/>
  <c r="V105" i="17"/>
  <c r="AB105" i="17" s="1"/>
  <c r="X104" i="17"/>
  <c r="W104" i="17"/>
  <c r="V104" i="17"/>
  <c r="AB104" i="17" s="1"/>
  <c r="X103" i="17"/>
  <c r="W103" i="17"/>
  <c r="V103" i="17"/>
  <c r="AB103" i="17" s="1"/>
  <c r="X102" i="17"/>
  <c r="W102" i="17"/>
  <c r="V102" i="17"/>
  <c r="AB102" i="17" s="1"/>
  <c r="X101" i="17"/>
  <c r="W101" i="17"/>
  <c r="V101" i="17"/>
  <c r="AB101" i="17" s="1"/>
  <c r="X100" i="17"/>
  <c r="W100" i="17"/>
  <c r="V100" i="17"/>
  <c r="AB100" i="17" s="1"/>
  <c r="X99" i="17"/>
  <c r="W99" i="17"/>
  <c r="V99" i="17"/>
  <c r="AB99" i="17" s="1"/>
  <c r="X98" i="17"/>
  <c r="W98" i="17"/>
  <c r="V98" i="17"/>
  <c r="AB98" i="17" s="1"/>
  <c r="X97" i="17"/>
  <c r="W97" i="17"/>
  <c r="V97" i="17"/>
  <c r="AB97" i="17" s="1"/>
  <c r="X96" i="17"/>
  <c r="W96" i="17"/>
  <c r="V96" i="17"/>
  <c r="AB96" i="17" s="1"/>
  <c r="X95" i="17"/>
  <c r="W95" i="17"/>
  <c r="AC95" i="17" s="1"/>
  <c r="V95" i="17"/>
  <c r="AB95" i="17" s="1"/>
  <c r="X94" i="17"/>
  <c r="W94" i="17"/>
  <c r="V94" i="17"/>
  <c r="AB94" i="17" s="1"/>
  <c r="X93" i="17"/>
  <c r="W93" i="17"/>
  <c r="V93" i="17"/>
  <c r="AB93" i="17" s="1"/>
  <c r="X92" i="17"/>
  <c r="W92" i="17"/>
  <c r="V92" i="17"/>
  <c r="AB92" i="17" s="1"/>
  <c r="X91" i="17"/>
  <c r="W91" i="17"/>
  <c r="AC91" i="17" s="1"/>
  <c r="V91" i="17"/>
  <c r="AB91" i="17" s="1"/>
  <c r="X90" i="17"/>
  <c r="W90" i="17"/>
  <c r="V90" i="17"/>
  <c r="AB90" i="17" s="1"/>
  <c r="X89" i="17"/>
  <c r="W89" i="17"/>
  <c r="V89" i="17"/>
  <c r="AB89" i="17" s="1"/>
  <c r="X88" i="17"/>
  <c r="W88" i="17"/>
  <c r="V88" i="17"/>
  <c r="AB88" i="17" s="1"/>
  <c r="X87" i="17"/>
  <c r="W87" i="17"/>
  <c r="AC87" i="17" s="1"/>
  <c r="V87" i="17"/>
  <c r="AB87" i="17" s="1"/>
  <c r="X86" i="17"/>
  <c r="W86" i="17"/>
  <c r="V86" i="17"/>
  <c r="AB86" i="17" s="1"/>
  <c r="X85" i="17"/>
  <c r="W85" i="17"/>
  <c r="V85" i="17"/>
  <c r="AB85" i="17" s="1"/>
  <c r="X84" i="17"/>
  <c r="W84" i="17"/>
  <c r="V84" i="17"/>
  <c r="AB84" i="17" s="1"/>
  <c r="X83" i="17"/>
  <c r="W83" i="17"/>
  <c r="AC83" i="17" s="1"/>
  <c r="V83" i="17"/>
  <c r="AB83" i="17" s="1"/>
  <c r="X82" i="17"/>
  <c r="W82" i="17"/>
  <c r="V82" i="17"/>
  <c r="AB82" i="17" s="1"/>
  <c r="X81" i="17"/>
  <c r="W81" i="17"/>
  <c r="V81" i="17"/>
  <c r="AB81" i="17" s="1"/>
  <c r="X80" i="17"/>
  <c r="W80" i="17"/>
  <c r="V80" i="17"/>
  <c r="AB80" i="17" s="1"/>
  <c r="X79" i="17"/>
  <c r="W79" i="17"/>
  <c r="AC79" i="17" s="1"/>
  <c r="V79" i="17"/>
  <c r="AB79" i="17" s="1"/>
  <c r="X78" i="17"/>
  <c r="W78" i="17"/>
  <c r="V78" i="17"/>
  <c r="AB78" i="17" s="1"/>
  <c r="X77" i="17"/>
  <c r="W77" i="17"/>
  <c r="V77" i="17"/>
  <c r="AB77" i="17" s="1"/>
  <c r="X76" i="17"/>
  <c r="W76" i="17"/>
  <c r="V76" i="17"/>
  <c r="AB76" i="17" s="1"/>
  <c r="X75" i="17"/>
  <c r="W75" i="17"/>
  <c r="AC75" i="17" s="1"/>
  <c r="V75" i="17"/>
  <c r="AB75" i="17" s="1"/>
  <c r="X74" i="17"/>
  <c r="W74" i="17"/>
  <c r="V74" i="17"/>
  <c r="AB74" i="17" s="1"/>
  <c r="X73" i="17"/>
  <c r="W73" i="17"/>
  <c r="V73" i="17"/>
  <c r="AB73" i="17" s="1"/>
  <c r="X72" i="17"/>
  <c r="W72" i="17"/>
  <c r="V72" i="17"/>
  <c r="AB72" i="17" s="1"/>
  <c r="X71" i="17"/>
  <c r="W71" i="17"/>
  <c r="AC71" i="17" s="1"/>
  <c r="V71" i="17"/>
  <c r="AB71" i="17" s="1"/>
  <c r="X70" i="17"/>
  <c r="W70" i="17"/>
  <c r="V70" i="17"/>
  <c r="AB70" i="17" s="1"/>
  <c r="X69" i="17"/>
  <c r="W69" i="17"/>
  <c r="V69" i="17"/>
  <c r="AB69" i="17" s="1"/>
  <c r="X68" i="17"/>
  <c r="W68" i="17"/>
  <c r="V68" i="17"/>
  <c r="AB68" i="17" s="1"/>
  <c r="X67" i="17"/>
  <c r="W67" i="17"/>
  <c r="AC67" i="17" s="1"/>
  <c r="V67" i="17"/>
  <c r="AB67" i="17" s="1"/>
  <c r="X66" i="17"/>
  <c r="W66" i="17"/>
  <c r="V66" i="17"/>
  <c r="AB66" i="17" s="1"/>
  <c r="X65" i="17"/>
  <c r="W65" i="17"/>
  <c r="V65" i="17"/>
  <c r="AB65" i="17" s="1"/>
  <c r="X64" i="17"/>
  <c r="W64" i="17"/>
  <c r="V64" i="17"/>
  <c r="AB64" i="17" s="1"/>
  <c r="X63" i="17"/>
  <c r="W63" i="17"/>
  <c r="AC63" i="17" s="1"/>
  <c r="V63" i="17"/>
  <c r="AB63" i="17" s="1"/>
  <c r="X62" i="17"/>
  <c r="W62" i="17"/>
  <c r="V62" i="17"/>
  <c r="AB62" i="17" s="1"/>
  <c r="X61" i="17"/>
  <c r="W61" i="17"/>
  <c r="V61" i="17"/>
  <c r="AB61" i="17" s="1"/>
  <c r="X60" i="17"/>
  <c r="W60" i="17"/>
  <c r="V60" i="17"/>
  <c r="AB60" i="17" s="1"/>
  <c r="X59" i="17"/>
  <c r="W59" i="17"/>
  <c r="AC59" i="17" s="1"/>
  <c r="V59" i="17"/>
  <c r="AB59" i="17" s="1"/>
  <c r="X58" i="17"/>
  <c r="W58" i="17"/>
  <c r="V58" i="17"/>
  <c r="AB58" i="17" s="1"/>
  <c r="X57" i="17"/>
  <c r="W57" i="17"/>
  <c r="V57" i="17"/>
  <c r="AB57" i="17" s="1"/>
  <c r="X56" i="17"/>
  <c r="W56" i="17"/>
  <c r="V56" i="17"/>
  <c r="AB56" i="17" s="1"/>
  <c r="X55" i="17"/>
  <c r="W55" i="17"/>
  <c r="AC55" i="17" s="1"/>
  <c r="V55" i="17"/>
  <c r="AB55" i="17" s="1"/>
  <c r="X54" i="17"/>
  <c r="W54" i="17"/>
  <c r="V54" i="17"/>
  <c r="AB54" i="17" s="1"/>
  <c r="X53" i="17"/>
  <c r="W53" i="17"/>
  <c r="V53" i="17"/>
  <c r="AB53" i="17" s="1"/>
  <c r="X52" i="17"/>
  <c r="W52" i="17"/>
  <c r="V52" i="17"/>
  <c r="AB52" i="17" s="1"/>
  <c r="X51" i="17"/>
  <c r="W51" i="17"/>
  <c r="AC51" i="17" s="1"/>
  <c r="V51" i="17"/>
  <c r="AB51" i="17" s="1"/>
  <c r="X50" i="17"/>
  <c r="W50" i="17"/>
  <c r="V50" i="17"/>
  <c r="AB50" i="17" s="1"/>
  <c r="X49" i="17"/>
  <c r="W49" i="17"/>
  <c r="V49" i="17"/>
  <c r="AB49" i="17" s="1"/>
  <c r="X48" i="17"/>
  <c r="W48" i="17"/>
  <c r="V48" i="17"/>
  <c r="AB48" i="17" s="1"/>
  <c r="X47" i="17"/>
  <c r="W47" i="17"/>
  <c r="V47" i="17"/>
  <c r="AB47" i="17" s="1"/>
  <c r="X46" i="17"/>
  <c r="W46" i="17"/>
  <c r="V46" i="17"/>
  <c r="AB46" i="17" s="1"/>
  <c r="X45" i="17"/>
  <c r="W45" i="17"/>
  <c r="V45" i="17"/>
  <c r="AB45" i="17" s="1"/>
  <c r="X44" i="17"/>
  <c r="W44" i="17"/>
  <c r="V44" i="17"/>
  <c r="AB44" i="17" s="1"/>
  <c r="X43" i="17"/>
  <c r="W43" i="17"/>
  <c r="V43" i="17"/>
  <c r="AB43" i="17" s="1"/>
  <c r="X42" i="17"/>
  <c r="W42" i="17"/>
  <c r="V42" i="17"/>
  <c r="AB42" i="17" s="1"/>
  <c r="X41" i="17"/>
  <c r="W41" i="17"/>
  <c r="V41" i="17"/>
  <c r="AB41" i="17" s="1"/>
  <c r="X40" i="17"/>
  <c r="W40" i="17"/>
  <c r="V40" i="17"/>
  <c r="AB40" i="17" s="1"/>
  <c r="X39" i="17"/>
  <c r="W39" i="17"/>
  <c r="AC39" i="17" s="1"/>
  <c r="V39" i="17"/>
  <c r="AB39" i="17" s="1"/>
  <c r="X38" i="17"/>
  <c r="W38" i="17"/>
  <c r="V38" i="17"/>
  <c r="AB38" i="17" s="1"/>
  <c r="X37" i="17"/>
  <c r="W37" i="17"/>
  <c r="V37" i="17"/>
  <c r="AB37" i="17" s="1"/>
  <c r="X36" i="17"/>
  <c r="W36" i="17"/>
  <c r="V36" i="17"/>
  <c r="AB36" i="17" s="1"/>
  <c r="X35" i="17"/>
  <c r="W35" i="17"/>
  <c r="AC35" i="17" s="1"/>
  <c r="V35" i="17"/>
  <c r="AB35" i="17" s="1"/>
  <c r="X34" i="17"/>
  <c r="W34" i="17"/>
  <c r="V34" i="17"/>
  <c r="AB34" i="17" s="1"/>
  <c r="X33" i="17"/>
  <c r="W33" i="17"/>
  <c r="V33" i="17"/>
  <c r="AB33" i="17" s="1"/>
  <c r="X32" i="17"/>
  <c r="W32" i="17"/>
  <c r="V32" i="17"/>
  <c r="AB32" i="17" s="1"/>
  <c r="X31" i="17"/>
  <c r="W31" i="17"/>
  <c r="AC31" i="17" s="1"/>
  <c r="V31" i="17"/>
  <c r="AB31" i="17" s="1"/>
  <c r="X30" i="17"/>
  <c r="W30" i="17"/>
  <c r="V30" i="17"/>
  <c r="AB30" i="17" s="1"/>
  <c r="X29" i="17"/>
  <c r="W29" i="17"/>
  <c r="AC29" i="17" s="1"/>
  <c r="V29" i="17"/>
  <c r="AB29" i="17" s="1"/>
  <c r="X28" i="17"/>
  <c r="W28" i="17"/>
  <c r="V28" i="17"/>
  <c r="AB28" i="17" s="1"/>
  <c r="X27" i="17"/>
  <c r="W27" i="17"/>
  <c r="AC27" i="17" s="1"/>
  <c r="V27" i="17"/>
  <c r="AB27" i="17" s="1"/>
  <c r="X26" i="17"/>
  <c r="W26" i="17"/>
  <c r="V26" i="17"/>
  <c r="AB26" i="17" s="1"/>
  <c r="X25" i="17"/>
  <c r="W25" i="17"/>
  <c r="V25" i="17"/>
  <c r="AB25" i="17" s="1"/>
  <c r="X24" i="17"/>
  <c r="W24" i="17"/>
  <c r="V24" i="17"/>
  <c r="AB24" i="17" s="1"/>
  <c r="X23" i="17"/>
  <c r="W23" i="17"/>
  <c r="AC23" i="17" s="1"/>
  <c r="V23" i="17"/>
  <c r="AB23" i="17" s="1"/>
  <c r="X22" i="17"/>
  <c r="W22" i="17"/>
  <c r="V22" i="17"/>
  <c r="AB22" i="17" s="1"/>
  <c r="X21" i="17"/>
  <c r="W21" i="17"/>
  <c r="AC21" i="17" s="1"/>
  <c r="V21" i="17"/>
  <c r="AB21" i="17" s="1"/>
  <c r="X20" i="17"/>
  <c r="W20" i="17"/>
  <c r="V20" i="17"/>
  <c r="AB20" i="17" s="1"/>
  <c r="X19" i="17"/>
  <c r="W19" i="17"/>
  <c r="AC19" i="17" s="1"/>
  <c r="V19" i="17"/>
  <c r="AB19" i="17" s="1"/>
  <c r="X18" i="17"/>
  <c r="W18" i="17"/>
  <c r="V18" i="17"/>
  <c r="AB18" i="17" s="1"/>
  <c r="X17" i="17"/>
  <c r="W17" i="17"/>
  <c r="AC17" i="17" s="1"/>
  <c r="V17" i="17"/>
  <c r="AB17" i="17" s="1"/>
  <c r="X16" i="17"/>
  <c r="W16" i="17"/>
  <c r="V16" i="17"/>
  <c r="AB16" i="17" s="1"/>
  <c r="X15" i="17"/>
  <c r="W15" i="17"/>
  <c r="V15" i="17"/>
  <c r="AB15" i="17" s="1"/>
  <c r="X14" i="17"/>
  <c r="W14" i="17"/>
  <c r="V14" i="17"/>
  <c r="AB14" i="17" s="1"/>
  <c r="X13" i="17"/>
  <c r="W13" i="17"/>
  <c r="AC13" i="17" s="1"/>
  <c r="V13" i="17"/>
  <c r="AB13" i="17" s="1"/>
  <c r="X12" i="17"/>
  <c r="W12" i="17"/>
  <c r="V12" i="17"/>
  <c r="AB12" i="17" s="1"/>
  <c r="X11" i="17"/>
  <c r="W11" i="17"/>
  <c r="V11" i="17"/>
  <c r="AB11" i="17" s="1"/>
  <c r="X10" i="17"/>
  <c r="W10" i="17"/>
  <c r="V10" i="17"/>
  <c r="AB10" i="17" s="1"/>
  <c r="X9" i="17"/>
  <c r="W9" i="17"/>
  <c r="AC9" i="17" s="1"/>
  <c r="V9" i="17"/>
  <c r="AB9" i="17" s="1"/>
  <c r="X8" i="17"/>
  <c r="W8" i="17"/>
  <c r="V8" i="17"/>
  <c r="AB8" i="17" s="1"/>
  <c r="X7" i="17"/>
  <c r="W7" i="17"/>
  <c r="V7" i="17"/>
  <c r="AB7" i="17" s="1"/>
  <c r="X6" i="17"/>
  <c r="W6" i="17"/>
  <c r="V6" i="17"/>
  <c r="AB6" i="17" s="1"/>
  <c r="X5" i="17"/>
  <c r="W5" i="17"/>
  <c r="AC5" i="17" s="1"/>
  <c r="V5" i="17"/>
  <c r="AB5" i="17" s="1"/>
  <c r="X4" i="17"/>
  <c r="W4" i="17"/>
  <c r="V4" i="17"/>
  <c r="AB4" i="17" s="1"/>
  <c r="X3" i="17"/>
  <c r="W3" i="17"/>
  <c r="AC3" i="17" s="1"/>
  <c r="V3" i="17"/>
  <c r="AB3" i="17" s="1"/>
  <c r="X2" i="17"/>
  <c r="W2" i="17"/>
  <c r="V2" i="17"/>
  <c r="AB2" i="17" s="1"/>
  <c r="AE332" i="16"/>
  <c r="AD332" i="16"/>
  <c r="AE331" i="16"/>
  <c r="AB331" i="16"/>
  <c r="AE330" i="16"/>
  <c r="AE329" i="16"/>
  <c r="AE328" i="16"/>
  <c r="AD328" i="16"/>
  <c r="AE327" i="16"/>
  <c r="AB327" i="16"/>
  <c r="AE326" i="16"/>
  <c r="AE325" i="16"/>
  <c r="AE324" i="16"/>
  <c r="AD324" i="16"/>
  <c r="AE323" i="16"/>
  <c r="AB323" i="16"/>
  <c r="AE322" i="16"/>
  <c r="AE321" i="16"/>
  <c r="AA12" i="27" s="1"/>
  <c r="AE320" i="16"/>
  <c r="AD320" i="16"/>
  <c r="AC320" i="16"/>
  <c r="AE319" i="16"/>
  <c r="AD319" i="16"/>
  <c r="AC319" i="16"/>
  <c r="AB319" i="16"/>
  <c r="AE318" i="16"/>
  <c r="AD318" i="16"/>
  <c r="AC318" i="16"/>
  <c r="AE317" i="16"/>
  <c r="AD317" i="16"/>
  <c r="AC317" i="16"/>
  <c r="AE316" i="16"/>
  <c r="AD316" i="16"/>
  <c r="AC316" i="16"/>
  <c r="AE315" i="16"/>
  <c r="AD315" i="16"/>
  <c r="AC315" i="16"/>
  <c r="AB315" i="16"/>
  <c r="AE314" i="16"/>
  <c r="AD314" i="16"/>
  <c r="AC314" i="16"/>
  <c r="AE313" i="16"/>
  <c r="AD313" i="16"/>
  <c r="AC313" i="16"/>
  <c r="AE312" i="16"/>
  <c r="AD312" i="16"/>
  <c r="AC312" i="16"/>
  <c r="AE311" i="16"/>
  <c r="AD311" i="16"/>
  <c r="AC311" i="16"/>
  <c r="AB311" i="16"/>
  <c r="AE310" i="16"/>
  <c r="AD310" i="16"/>
  <c r="AC310" i="16"/>
  <c r="AE309" i="16"/>
  <c r="AD309" i="16"/>
  <c r="AC309" i="16"/>
  <c r="AE308" i="16"/>
  <c r="AD308" i="16"/>
  <c r="AE307" i="16"/>
  <c r="AB307" i="16"/>
  <c r="AE306" i="16"/>
  <c r="AB306" i="16"/>
  <c r="AE305" i="16"/>
  <c r="AE304" i="16"/>
  <c r="AD304" i="16"/>
  <c r="AE303" i="16"/>
  <c r="AB303" i="16"/>
  <c r="AE302" i="16"/>
  <c r="AB302" i="16"/>
  <c r="AE301" i="16"/>
  <c r="AE300" i="16"/>
  <c r="AD300" i="16"/>
  <c r="AE299" i="16"/>
  <c r="AB299" i="16"/>
  <c r="AE298" i="16"/>
  <c r="AB298" i="16"/>
  <c r="AE297" i="16"/>
  <c r="AE296" i="16"/>
  <c r="AD296" i="16"/>
  <c r="AE295" i="16"/>
  <c r="AB295" i="16"/>
  <c r="AE294" i="16"/>
  <c r="AB294" i="16"/>
  <c r="AE293" i="16"/>
  <c r="AE292" i="16"/>
  <c r="AD292" i="16"/>
  <c r="AE291" i="16"/>
  <c r="AB291" i="16"/>
  <c r="AE290" i="16"/>
  <c r="AE289" i="16"/>
  <c r="AE288" i="16"/>
  <c r="AD288" i="16"/>
  <c r="AE287" i="16"/>
  <c r="AB287" i="16"/>
  <c r="AE286" i="16"/>
  <c r="AE285" i="16"/>
  <c r="AE284" i="16"/>
  <c r="AD284" i="16"/>
  <c r="AE283" i="16"/>
  <c r="AB283" i="16"/>
  <c r="AE282" i="16"/>
  <c r="AE281" i="16"/>
  <c r="AE280" i="16"/>
  <c r="AD280" i="16"/>
  <c r="AE279" i="16"/>
  <c r="AB279" i="16"/>
  <c r="AE278" i="16"/>
  <c r="AE277" i="16"/>
  <c r="AE276" i="16"/>
  <c r="AD276" i="16"/>
  <c r="AE275" i="16"/>
  <c r="AB275" i="16"/>
  <c r="AE274" i="16"/>
  <c r="AE273" i="16"/>
  <c r="AE272" i="16"/>
  <c r="AD272" i="16"/>
  <c r="AE271" i="16"/>
  <c r="AB271" i="16"/>
  <c r="AE270" i="16"/>
  <c r="AE269" i="16"/>
  <c r="AE268" i="16"/>
  <c r="AD268" i="16"/>
  <c r="AE267" i="16"/>
  <c r="AE266" i="16"/>
  <c r="AE265" i="16"/>
  <c r="AE264" i="16"/>
  <c r="AD264" i="16"/>
  <c r="AE263" i="16"/>
  <c r="AE262" i="16"/>
  <c r="AE261" i="16"/>
  <c r="AE260" i="16"/>
  <c r="AD260" i="16"/>
  <c r="AE259" i="16"/>
  <c r="AE258" i="16"/>
  <c r="AE257" i="16"/>
  <c r="AE256" i="16"/>
  <c r="AD256" i="16"/>
  <c r="AE255" i="16"/>
  <c r="AE254" i="16"/>
  <c r="AE253" i="16"/>
  <c r="AE252" i="16"/>
  <c r="AD252" i="16"/>
  <c r="AE251" i="16"/>
  <c r="AE250" i="16"/>
  <c r="AE249" i="16"/>
  <c r="AE248" i="16"/>
  <c r="AD248" i="16"/>
  <c r="AE247" i="16"/>
  <c r="AE246" i="16"/>
  <c r="AE245" i="16"/>
  <c r="AE244" i="16"/>
  <c r="AD244" i="16"/>
  <c r="AE243" i="16"/>
  <c r="AE242" i="16"/>
  <c r="AE241" i="16"/>
  <c r="AE240" i="16"/>
  <c r="AD240" i="16"/>
  <c r="AE239" i="16"/>
  <c r="AE238" i="16"/>
  <c r="AE237" i="16"/>
  <c r="AE236" i="16"/>
  <c r="AD236" i="16"/>
  <c r="AE235" i="16"/>
  <c r="AE234" i="16"/>
  <c r="AE233" i="16"/>
  <c r="AE232" i="16"/>
  <c r="AD232" i="16"/>
  <c r="AE231" i="16"/>
  <c r="AE230" i="16"/>
  <c r="AE229" i="16"/>
  <c r="AE228" i="16"/>
  <c r="AE227" i="16"/>
  <c r="AE226" i="16"/>
  <c r="AE225" i="16"/>
  <c r="AE224" i="16"/>
  <c r="AE223" i="16"/>
  <c r="AE222" i="16"/>
  <c r="AE221" i="16"/>
  <c r="AE220" i="16"/>
  <c r="AE219" i="16"/>
  <c r="AE218" i="16"/>
  <c r="AE217" i="16"/>
  <c r="AE216" i="16"/>
  <c r="AE215" i="16"/>
  <c r="AE214" i="16"/>
  <c r="AE213" i="16"/>
  <c r="AA11" i="27" s="1"/>
  <c r="AE212" i="16"/>
  <c r="AE211" i="16"/>
  <c r="AE210" i="16"/>
  <c r="AE209" i="16"/>
  <c r="AE208" i="16"/>
  <c r="AE207" i="16"/>
  <c r="AE206" i="16"/>
  <c r="AE205" i="16"/>
  <c r="AE204" i="16"/>
  <c r="AE203" i="16"/>
  <c r="AE202" i="16"/>
  <c r="AE201" i="16"/>
  <c r="AE200" i="16"/>
  <c r="AE199" i="16"/>
  <c r="AE198" i="16"/>
  <c r="AE197" i="16"/>
  <c r="AE196" i="16"/>
  <c r="AE195" i="16"/>
  <c r="AE194" i="16"/>
  <c r="AE193" i="16"/>
  <c r="AE192" i="16"/>
  <c r="AE191" i="16"/>
  <c r="AE190" i="16"/>
  <c r="AE189" i="16"/>
  <c r="AE188" i="16"/>
  <c r="AE187" i="16"/>
  <c r="AE186" i="16"/>
  <c r="AE185" i="16"/>
  <c r="AE184" i="16"/>
  <c r="AE183" i="16"/>
  <c r="AE182" i="16"/>
  <c r="AE181" i="16"/>
  <c r="AE180" i="16"/>
  <c r="AE179" i="16"/>
  <c r="AE178" i="16"/>
  <c r="AE177" i="16"/>
  <c r="AE176" i="16"/>
  <c r="AE175" i="16"/>
  <c r="AE174" i="16"/>
  <c r="AE173" i="16"/>
  <c r="AE172" i="16"/>
  <c r="AE171" i="16"/>
  <c r="AE170" i="16"/>
  <c r="AE169" i="16"/>
  <c r="AE168" i="16"/>
  <c r="AE167" i="16"/>
  <c r="AE166" i="16"/>
  <c r="AE165" i="16"/>
  <c r="AE164" i="16"/>
  <c r="AE163" i="16"/>
  <c r="AE162" i="16"/>
  <c r="AE161" i="16"/>
  <c r="AE160" i="16"/>
  <c r="AE159" i="16"/>
  <c r="AE158" i="16"/>
  <c r="AE157" i="16"/>
  <c r="AE156" i="16"/>
  <c r="AE155" i="16"/>
  <c r="AE154" i="16"/>
  <c r="AE153" i="16"/>
  <c r="AE152" i="16"/>
  <c r="AE151" i="16"/>
  <c r="AE150" i="16"/>
  <c r="AE149" i="16"/>
  <c r="AE148" i="16"/>
  <c r="AE147" i="16"/>
  <c r="AE146" i="16"/>
  <c r="AE145" i="16"/>
  <c r="AE144" i="16"/>
  <c r="AE143" i="16"/>
  <c r="AE142" i="16"/>
  <c r="AE141" i="16"/>
  <c r="AE140" i="16"/>
  <c r="AE139" i="16"/>
  <c r="AE138" i="16"/>
  <c r="AE137" i="16"/>
  <c r="AE136" i="16"/>
  <c r="AE135" i="16"/>
  <c r="AE134" i="16"/>
  <c r="AE133" i="16"/>
  <c r="AE132" i="16"/>
  <c r="AE131" i="16"/>
  <c r="AE130" i="16"/>
  <c r="AE129" i="16"/>
  <c r="AE128" i="16"/>
  <c r="AE127" i="16"/>
  <c r="AE126" i="16"/>
  <c r="AE125" i="16"/>
  <c r="AE124" i="16"/>
  <c r="AE123" i="16"/>
  <c r="AE122" i="16"/>
  <c r="AE121" i="16"/>
  <c r="AE120" i="16"/>
  <c r="AE119" i="16"/>
  <c r="AE118" i="16"/>
  <c r="AA10" i="27" s="1"/>
  <c r="AE117" i="16"/>
  <c r="AE116" i="16"/>
  <c r="AE115" i="16"/>
  <c r="AE114" i="16"/>
  <c r="AE113" i="16"/>
  <c r="AE112" i="16"/>
  <c r="AE111" i="16"/>
  <c r="AE110" i="16"/>
  <c r="AE109" i="16"/>
  <c r="AE108" i="16"/>
  <c r="AE107" i="16"/>
  <c r="AE106" i="16"/>
  <c r="AE105" i="16"/>
  <c r="AE104" i="16"/>
  <c r="AE103" i="16"/>
  <c r="AE102" i="16"/>
  <c r="AE101" i="16"/>
  <c r="AE100" i="16"/>
  <c r="AE99" i="16"/>
  <c r="AE98" i="16"/>
  <c r="AE97" i="16"/>
  <c r="AE96" i="16"/>
  <c r="AE95" i="16"/>
  <c r="AE94" i="16"/>
  <c r="AE93" i="16"/>
  <c r="AE92" i="16"/>
  <c r="AE91" i="16"/>
  <c r="AE90" i="16"/>
  <c r="AE89" i="16"/>
  <c r="AE88" i="16"/>
  <c r="AE87" i="16"/>
  <c r="AE86" i="16"/>
  <c r="AE85" i="16"/>
  <c r="AE84" i="16"/>
  <c r="AE83" i="16"/>
  <c r="AE82" i="16"/>
  <c r="AE81" i="16"/>
  <c r="AE80" i="16"/>
  <c r="AE79" i="16"/>
  <c r="AE78" i="16"/>
  <c r="AE77" i="16"/>
  <c r="AE76" i="16"/>
  <c r="AE75" i="16"/>
  <c r="AE74" i="16"/>
  <c r="AE73" i="16"/>
  <c r="AE72" i="16"/>
  <c r="AE71" i="16"/>
  <c r="AE70" i="16"/>
  <c r="AE69" i="16"/>
  <c r="AE68" i="16"/>
  <c r="AE67" i="16"/>
  <c r="AE66" i="16"/>
  <c r="AE65" i="16"/>
  <c r="AE64" i="16"/>
  <c r="AE63" i="16"/>
  <c r="AE62" i="16"/>
  <c r="AE61" i="16"/>
  <c r="AE60" i="16"/>
  <c r="AE59" i="16"/>
  <c r="AE58" i="16"/>
  <c r="AE57" i="16"/>
  <c r="AE56" i="16"/>
  <c r="AE55" i="16"/>
  <c r="AE54" i="16"/>
  <c r="AE53" i="16"/>
  <c r="AE52" i="16"/>
  <c r="AE51" i="16"/>
  <c r="AE50" i="16"/>
  <c r="AE49" i="16"/>
  <c r="AE48" i="16"/>
  <c r="AE47" i="16"/>
  <c r="AE46" i="16"/>
  <c r="AE45" i="16"/>
  <c r="AE44" i="16"/>
  <c r="AE43" i="16"/>
  <c r="AE42" i="16"/>
  <c r="AE41" i="16"/>
  <c r="AE40" i="16"/>
  <c r="AE39" i="16"/>
  <c r="AE38" i="16"/>
  <c r="AA9" i="27" s="1"/>
  <c r="AE37" i="16"/>
  <c r="AE36" i="16"/>
  <c r="AE35" i="16"/>
  <c r="AE34" i="16"/>
  <c r="AE33" i="16"/>
  <c r="AE32" i="16"/>
  <c r="AE31" i="16"/>
  <c r="AE30" i="16"/>
  <c r="AE29" i="16"/>
  <c r="AE28" i="16"/>
  <c r="AE27" i="16"/>
  <c r="AE26" i="16"/>
  <c r="AG25" i="16"/>
  <c r="AF25" i="16"/>
  <c r="AG24" i="16"/>
  <c r="AF24" i="16"/>
  <c r="AG23" i="16"/>
  <c r="AF23" i="16"/>
  <c r="AG22" i="16"/>
  <c r="AF22" i="16"/>
  <c r="AG21" i="16"/>
  <c r="AF21" i="16"/>
  <c r="AG20" i="16"/>
  <c r="AF20" i="16"/>
  <c r="AC20" i="16"/>
  <c r="AG19" i="16"/>
  <c r="AF19" i="16"/>
  <c r="AB19" i="16"/>
  <c r="AG18" i="16"/>
  <c r="AF18" i="16"/>
  <c r="AG17" i="16"/>
  <c r="AF17" i="16"/>
  <c r="AG16" i="16"/>
  <c r="AF16" i="16"/>
  <c r="AG15" i="16"/>
  <c r="AF15" i="16"/>
  <c r="AG14" i="16"/>
  <c r="AF14" i="16"/>
  <c r="AE13" i="16"/>
  <c r="AE12" i="16"/>
  <c r="AE11" i="16"/>
  <c r="AE10" i="16"/>
  <c r="AE9" i="16"/>
  <c r="AE8" i="16"/>
  <c r="AE7" i="16"/>
  <c r="AE6" i="16"/>
  <c r="AE5" i="16"/>
  <c r="AE4" i="16"/>
  <c r="AE3" i="16"/>
  <c r="AE2" i="16"/>
  <c r="X332" i="16"/>
  <c r="W332" i="16"/>
  <c r="AC332" i="16" s="1"/>
  <c r="V332" i="16"/>
  <c r="AB332" i="16" s="1"/>
  <c r="X331" i="16"/>
  <c r="AD331" i="16" s="1"/>
  <c r="W331" i="16"/>
  <c r="AC331" i="16" s="1"/>
  <c r="V331" i="16"/>
  <c r="X330" i="16"/>
  <c r="AD330" i="16" s="1"/>
  <c r="W330" i="16"/>
  <c r="AC330" i="16" s="1"/>
  <c r="V330" i="16"/>
  <c r="AB330" i="16" s="1"/>
  <c r="X329" i="16"/>
  <c r="AD329" i="16" s="1"/>
  <c r="W329" i="16"/>
  <c r="AC329" i="16" s="1"/>
  <c r="V329" i="16"/>
  <c r="AB329" i="16" s="1"/>
  <c r="X328" i="16"/>
  <c r="W328" i="16"/>
  <c r="AC328" i="16" s="1"/>
  <c r="V328" i="16"/>
  <c r="AB328" i="16" s="1"/>
  <c r="X327" i="16"/>
  <c r="AD327" i="16" s="1"/>
  <c r="W327" i="16"/>
  <c r="AC327" i="16" s="1"/>
  <c r="V327" i="16"/>
  <c r="X326" i="16"/>
  <c r="AD326" i="16" s="1"/>
  <c r="W326" i="16"/>
  <c r="AC326" i="16" s="1"/>
  <c r="V326" i="16"/>
  <c r="AB326" i="16" s="1"/>
  <c r="X325" i="16"/>
  <c r="AD325" i="16" s="1"/>
  <c r="W325" i="16"/>
  <c r="AC325" i="16" s="1"/>
  <c r="V325" i="16"/>
  <c r="AB325" i="16" s="1"/>
  <c r="X324" i="16"/>
  <c r="W324" i="16"/>
  <c r="AC324" i="16" s="1"/>
  <c r="V324" i="16"/>
  <c r="AB324" i="16" s="1"/>
  <c r="X323" i="16"/>
  <c r="AD323" i="16" s="1"/>
  <c r="W323" i="16"/>
  <c r="AC323" i="16" s="1"/>
  <c r="V323" i="16"/>
  <c r="X322" i="16"/>
  <c r="AD322" i="16" s="1"/>
  <c r="W322" i="16"/>
  <c r="AC322" i="16" s="1"/>
  <c r="V322" i="16"/>
  <c r="AB322" i="16" s="1"/>
  <c r="X321" i="16"/>
  <c r="AD321" i="16" s="1"/>
  <c r="W321" i="16"/>
  <c r="AC321" i="16" s="1"/>
  <c r="V321" i="16"/>
  <c r="AB321" i="16" s="1"/>
  <c r="V320" i="16"/>
  <c r="AB320" i="16" s="1"/>
  <c r="V319" i="16"/>
  <c r="V318" i="16"/>
  <c r="AB318" i="16" s="1"/>
  <c r="V317" i="16"/>
  <c r="AB317" i="16" s="1"/>
  <c r="V316" i="16"/>
  <c r="AB316" i="16" s="1"/>
  <c r="V315" i="16"/>
  <c r="V314" i="16"/>
  <c r="AB314" i="16" s="1"/>
  <c r="V313" i="16"/>
  <c r="AB313" i="16" s="1"/>
  <c r="V312" i="16"/>
  <c r="AB312" i="16" s="1"/>
  <c r="V311" i="16"/>
  <c r="V310" i="16"/>
  <c r="AB310" i="16" s="1"/>
  <c r="V309" i="16"/>
  <c r="AB309" i="16" s="1"/>
  <c r="X308" i="16"/>
  <c r="W308" i="16"/>
  <c r="AC308" i="16" s="1"/>
  <c r="V308" i="16"/>
  <c r="AB308" i="16" s="1"/>
  <c r="X307" i="16"/>
  <c r="AD307" i="16" s="1"/>
  <c r="W307" i="16"/>
  <c r="AC307" i="16" s="1"/>
  <c r="V307" i="16"/>
  <c r="X306" i="16"/>
  <c r="AD306" i="16" s="1"/>
  <c r="W306" i="16"/>
  <c r="AC306" i="16" s="1"/>
  <c r="V306" i="16"/>
  <c r="X305" i="16"/>
  <c r="AD305" i="16" s="1"/>
  <c r="W305" i="16"/>
  <c r="AC305" i="16" s="1"/>
  <c r="V305" i="16"/>
  <c r="AB305" i="16" s="1"/>
  <c r="X304" i="16"/>
  <c r="W304" i="16"/>
  <c r="AC304" i="16" s="1"/>
  <c r="V304" i="16"/>
  <c r="AB304" i="16" s="1"/>
  <c r="X303" i="16"/>
  <c r="AD303" i="16" s="1"/>
  <c r="W303" i="16"/>
  <c r="AC303" i="16" s="1"/>
  <c r="V303" i="16"/>
  <c r="X302" i="16"/>
  <c r="AD302" i="16" s="1"/>
  <c r="W302" i="16"/>
  <c r="AC302" i="16" s="1"/>
  <c r="V302" i="16"/>
  <c r="X301" i="16"/>
  <c r="AD301" i="16" s="1"/>
  <c r="W301" i="16"/>
  <c r="AC301" i="16" s="1"/>
  <c r="V301" i="16"/>
  <c r="AB301" i="16" s="1"/>
  <c r="X300" i="16"/>
  <c r="W300" i="16"/>
  <c r="AC300" i="16" s="1"/>
  <c r="V300" i="16"/>
  <c r="AB300" i="16" s="1"/>
  <c r="X299" i="16"/>
  <c r="AD299" i="16" s="1"/>
  <c r="W299" i="16"/>
  <c r="AC299" i="16" s="1"/>
  <c r="V299" i="16"/>
  <c r="X298" i="16"/>
  <c r="AD298" i="16" s="1"/>
  <c r="W298" i="16"/>
  <c r="AC298" i="16" s="1"/>
  <c r="V298" i="16"/>
  <c r="X297" i="16"/>
  <c r="AD297" i="16" s="1"/>
  <c r="W297" i="16"/>
  <c r="AC297" i="16" s="1"/>
  <c r="V297" i="16"/>
  <c r="AB297" i="16" s="1"/>
  <c r="X296" i="16"/>
  <c r="W296" i="16"/>
  <c r="AC296" i="16" s="1"/>
  <c r="V296" i="16"/>
  <c r="AB296" i="16" s="1"/>
  <c r="X295" i="16"/>
  <c r="AD295" i="16" s="1"/>
  <c r="W295" i="16"/>
  <c r="AC295" i="16" s="1"/>
  <c r="V295" i="16"/>
  <c r="X294" i="16"/>
  <c r="AD294" i="16" s="1"/>
  <c r="W294" i="16"/>
  <c r="AC294" i="16" s="1"/>
  <c r="V294" i="16"/>
  <c r="X293" i="16"/>
  <c r="AD293" i="16" s="1"/>
  <c r="W293" i="16"/>
  <c r="AC293" i="16" s="1"/>
  <c r="V293" i="16"/>
  <c r="AB293" i="16" s="1"/>
  <c r="X292" i="16"/>
  <c r="W292" i="16"/>
  <c r="AC292" i="16" s="1"/>
  <c r="V292" i="16"/>
  <c r="AB292" i="16" s="1"/>
  <c r="X291" i="16"/>
  <c r="AD291" i="16" s="1"/>
  <c r="W291" i="16"/>
  <c r="AC291" i="16" s="1"/>
  <c r="V291" i="16"/>
  <c r="X290" i="16"/>
  <c r="AD290" i="16" s="1"/>
  <c r="W290" i="16"/>
  <c r="AC290" i="16" s="1"/>
  <c r="V290" i="16"/>
  <c r="AB290" i="16" s="1"/>
  <c r="X289" i="16"/>
  <c r="AD289" i="16" s="1"/>
  <c r="W289" i="16"/>
  <c r="AC289" i="16" s="1"/>
  <c r="V289" i="16"/>
  <c r="AB289" i="16" s="1"/>
  <c r="X288" i="16"/>
  <c r="W288" i="16"/>
  <c r="AC288" i="16" s="1"/>
  <c r="V288" i="16"/>
  <c r="AB288" i="16" s="1"/>
  <c r="X287" i="16"/>
  <c r="AD287" i="16" s="1"/>
  <c r="W287" i="16"/>
  <c r="AC287" i="16" s="1"/>
  <c r="V287" i="16"/>
  <c r="X286" i="16"/>
  <c r="AD286" i="16" s="1"/>
  <c r="W286" i="16"/>
  <c r="AC286" i="16" s="1"/>
  <c r="V286" i="16"/>
  <c r="AB286" i="16" s="1"/>
  <c r="X285" i="16"/>
  <c r="AD285" i="16" s="1"/>
  <c r="W285" i="16"/>
  <c r="AC285" i="16" s="1"/>
  <c r="V285" i="16"/>
  <c r="AB285" i="16" s="1"/>
  <c r="X284" i="16"/>
  <c r="W284" i="16"/>
  <c r="AC284" i="16" s="1"/>
  <c r="V284" i="16"/>
  <c r="AB284" i="16" s="1"/>
  <c r="X283" i="16"/>
  <c r="AD283" i="16" s="1"/>
  <c r="W283" i="16"/>
  <c r="AC283" i="16" s="1"/>
  <c r="V283" i="16"/>
  <c r="X282" i="16"/>
  <c r="AD282" i="16" s="1"/>
  <c r="W282" i="16"/>
  <c r="AC282" i="16" s="1"/>
  <c r="V282" i="16"/>
  <c r="AB282" i="16" s="1"/>
  <c r="X281" i="16"/>
  <c r="AD281" i="16" s="1"/>
  <c r="W281" i="16"/>
  <c r="AC281" i="16" s="1"/>
  <c r="V281" i="16"/>
  <c r="AB281" i="16" s="1"/>
  <c r="X280" i="16"/>
  <c r="W280" i="16"/>
  <c r="AC280" i="16" s="1"/>
  <c r="V280" i="16"/>
  <c r="AB280" i="16" s="1"/>
  <c r="X279" i="16"/>
  <c r="AD279" i="16" s="1"/>
  <c r="W279" i="16"/>
  <c r="AC279" i="16" s="1"/>
  <c r="V279" i="16"/>
  <c r="X278" i="16"/>
  <c r="AD278" i="16" s="1"/>
  <c r="W278" i="16"/>
  <c r="AC278" i="16" s="1"/>
  <c r="V278" i="16"/>
  <c r="AB278" i="16" s="1"/>
  <c r="X277" i="16"/>
  <c r="AD277" i="16" s="1"/>
  <c r="W277" i="16"/>
  <c r="AC277" i="16" s="1"/>
  <c r="V277" i="16"/>
  <c r="AB277" i="16" s="1"/>
  <c r="X276" i="16"/>
  <c r="W276" i="16"/>
  <c r="AC276" i="16" s="1"/>
  <c r="V276" i="16"/>
  <c r="AB276" i="16" s="1"/>
  <c r="X275" i="16"/>
  <c r="AD275" i="16" s="1"/>
  <c r="W275" i="16"/>
  <c r="AC275" i="16" s="1"/>
  <c r="V275" i="16"/>
  <c r="X274" i="16"/>
  <c r="AD274" i="16" s="1"/>
  <c r="W274" i="16"/>
  <c r="AC274" i="16" s="1"/>
  <c r="V274" i="16"/>
  <c r="AB274" i="16" s="1"/>
  <c r="X273" i="16"/>
  <c r="AD273" i="16" s="1"/>
  <c r="W273" i="16"/>
  <c r="AC273" i="16" s="1"/>
  <c r="V273" i="16"/>
  <c r="AB273" i="16" s="1"/>
  <c r="X272" i="16"/>
  <c r="W272" i="16"/>
  <c r="AC272" i="16" s="1"/>
  <c r="V272" i="16"/>
  <c r="AB272" i="16" s="1"/>
  <c r="X271" i="16"/>
  <c r="AD271" i="16" s="1"/>
  <c r="W271" i="16"/>
  <c r="AC271" i="16" s="1"/>
  <c r="V271" i="16"/>
  <c r="X270" i="16"/>
  <c r="AD270" i="16" s="1"/>
  <c r="W270" i="16"/>
  <c r="AC270" i="16" s="1"/>
  <c r="V270" i="16"/>
  <c r="AB270" i="16" s="1"/>
  <c r="X269" i="16"/>
  <c r="AD269" i="16" s="1"/>
  <c r="W269" i="16"/>
  <c r="AC269" i="16" s="1"/>
  <c r="V269" i="16"/>
  <c r="AB269" i="16" s="1"/>
  <c r="X268" i="16"/>
  <c r="W268" i="16"/>
  <c r="AC268" i="16" s="1"/>
  <c r="V268" i="16"/>
  <c r="AB268" i="16" s="1"/>
  <c r="X267" i="16"/>
  <c r="AD267" i="16" s="1"/>
  <c r="W267" i="16"/>
  <c r="AC267" i="16" s="1"/>
  <c r="V267" i="16"/>
  <c r="AB267" i="16" s="1"/>
  <c r="X266" i="16"/>
  <c r="AD266" i="16" s="1"/>
  <c r="W266" i="16"/>
  <c r="AC266" i="16" s="1"/>
  <c r="V266" i="16"/>
  <c r="AB266" i="16" s="1"/>
  <c r="X265" i="16"/>
  <c r="AD265" i="16" s="1"/>
  <c r="W265" i="16"/>
  <c r="AC265" i="16" s="1"/>
  <c r="V265" i="16"/>
  <c r="AB265" i="16" s="1"/>
  <c r="X264" i="16"/>
  <c r="W264" i="16"/>
  <c r="AC264" i="16" s="1"/>
  <c r="V264" i="16"/>
  <c r="AB264" i="16" s="1"/>
  <c r="X263" i="16"/>
  <c r="AD263" i="16" s="1"/>
  <c r="W263" i="16"/>
  <c r="AC263" i="16" s="1"/>
  <c r="V263" i="16"/>
  <c r="AB263" i="16" s="1"/>
  <c r="X262" i="16"/>
  <c r="AD262" i="16" s="1"/>
  <c r="W262" i="16"/>
  <c r="AC262" i="16" s="1"/>
  <c r="V262" i="16"/>
  <c r="AB262" i="16" s="1"/>
  <c r="X261" i="16"/>
  <c r="AD261" i="16" s="1"/>
  <c r="W261" i="16"/>
  <c r="AC261" i="16" s="1"/>
  <c r="V261" i="16"/>
  <c r="AB261" i="16" s="1"/>
  <c r="X260" i="16"/>
  <c r="W260" i="16"/>
  <c r="AC260" i="16" s="1"/>
  <c r="V260" i="16"/>
  <c r="AB260" i="16" s="1"/>
  <c r="X259" i="16"/>
  <c r="AD259" i="16" s="1"/>
  <c r="W259" i="16"/>
  <c r="AC259" i="16" s="1"/>
  <c r="V259" i="16"/>
  <c r="AB259" i="16" s="1"/>
  <c r="X258" i="16"/>
  <c r="AD258" i="16" s="1"/>
  <c r="W258" i="16"/>
  <c r="AC258" i="16" s="1"/>
  <c r="V258" i="16"/>
  <c r="AB258" i="16" s="1"/>
  <c r="X257" i="16"/>
  <c r="AD257" i="16" s="1"/>
  <c r="W257" i="16"/>
  <c r="AC257" i="16" s="1"/>
  <c r="V257" i="16"/>
  <c r="AB257" i="16" s="1"/>
  <c r="X256" i="16"/>
  <c r="W256" i="16"/>
  <c r="AC256" i="16" s="1"/>
  <c r="V256" i="16"/>
  <c r="AB256" i="16" s="1"/>
  <c r="X255" i="16"/>
  <c r="AD255" i="16" s="1"/>
  <c r="W255" i="16"/>
  <c r="AC255" i="16" s="1"/>
  <c r="V255" i="16"/>
  <c r="AB255" i="16" s="1"/>
  <c r="X254" i="16"/>
  <c r="AD254" i="16" s="1"/>
  <c r="W254" i="16"/>
  <c r="AC254" i="16" s="1"/>
  <c r="V254" i="16"/>
  <c r="AB254" i="16" s="1"/>
  <c r="X253" i="16"/>
  <c r="AD253" i="16" s="1"/>
  <c r="W253" i="16"/>
  <c r="AC253" i="16" s="1"/>
  <c r="V253" i="16"/>
  <c r="AB253" i="16" s="1"/>
  <c r="X252" i="16"/>
  <c r="W252" i="16"/>
  <c r="AC252" i="16" s="1"/>
  <c r="V252" i="16"/>
  <c r="AB252" i="16" s="1"/>
  <c r="X251" i="16"/>
  <c r="AD251" i="16" s="1"/>
  <c r="W251" i="16"/>
  <c r="AC251" i="16" s="1"/>
  <c r="V251" i="16"/>
  <c r="AB251" i="16" s="1"/>
  <c r="X250" i="16"/>
  <c r="AD250" i="16" s="1"/>
  <c r="W250" i="16"/>
  <c r="AC250" i="16" s="1"/>
  <c r="V250" i="16"/>
  <c r="AB250" i="16" s="1"/>
  <c r="X249" i="16"/>
  <c r="AD249" i="16" s="1"/>
  <c r="W249" i="16"/>
  <c r="AC249" i="16" s="1"/>
  <c r="V249" i="16"/>
  <c r="AB249" i="16" s="1"/>
  <c r="X248" i="16"/>
  <c r="W248" i="16"/>
  <c r="AC248" i="16" s="1"/>
  <c r="V248" i="16"/>
  <c r="AB248" i="16" s="1"/>
  <c r="X247" i="16"/>
  <c r="AD247" i="16" s="1"/>
  <c r="W247" i="16"/>
  <c r="AC247" i="16" s="1"/>
  <c r="V247" i="16"/>
  <c r="AB247" i="16" s="1"/>
  <c r="X246" i="16"/>
  <c r="AD246" i="16" s="1"/>
  <c r="W246" i="16"/>
  <c r="AC246" i="16" s="1"/>
  <c r="V246" i="16"/>
  <c r="AB246" i="16" s="1"/>
  <c r="X245" i="16"/>
  <c r="AD245" i="16" s="1"/>
  <c r="W245" i="16"/>
  <c r="AC245" i="16" s="1"/>
  <c r="V245" i="16"/>
  <c r="AB245" i="16" s="1"/>
  <c r="X244" i="16"/>
  <c r="W244" i="16"/>
  <c r="AC244" i="16" s="1"/>
  <c r="V244" i="16"/>
  <c r="AB244" i="16" s="1"/>
  <c r="X243" i="16"/>
  <c r="AD243" i="16" s="1"/>
  <c r="W243" i="16"/>
  <c r="AC243" i="16" s="1"/>
  <c r="V243" i="16"/>
  <c r="AB243" i="16" s="1"/>
  <c r="X242" i="16"/>
  <c r="AD242" i="16" s="1"/>
  <c r="W242" i="16"/>
  <c r="AC242" i="16" s="1"/>
  <c r="V242" i="16"/>
  <c r="AB242" i="16" s="1"/>
  <c r="X241" i="16"/>
  <c r="AD241" i="16" s="1"/>
  <c r="W241" i="16"/>
  <c r="AC241" i="16" s="1"/>
  <c r="V241" i="16"/>
  <c r="AB241" i="16" s="1"/>
  <c r="X240" i="16"/>
  <c r="W240" i="16"/>
  <c r="AC240" i="16" s="1"/>
  <c r="V240" i="16"/>
  <c r="AB240" i="16" s="1"/>
  <c r="X239" i="16"/>
  <c r="AD239" i="16" s="1"/>
  <c r="W239" i="16"/>
  <c r="AC239" i="16" s="1"/>
  <c r="V239" i="16"/>
  <c r="AB239" i="16" s="1"/>
  <c r="X238" i="16"/>
  <c r="AD238" i="16" s="1"/>
  <c r="W238" i="16"/>
  <c r="AC238" i="16" s="1"/>
  <c r="V238" i="16"/>
  <c r="AB238" i="16" s="1"/>
  <c r="X237" i="16"/>
  <c r="AD237" i="16" s="1"/>
  <c r="W237" i="16"/>
  <c r="AC237" i="16" s="1"/>
  <c r="V237" i="16"/>
  <c r="AB237" i="16" s="1"/>
  <c r="X236" i="16"/>
  <c r="W236" i="16"/>
  <c r="AC236" i="16" s="1"/>
  <c r="V236" i="16"/>
  <c r="AB236" i="16" s="1"/>
  <c r="X235" i="16"/>
  <c r="AD235" i="16" s="1"/>
  <c r="W235" i="16"/>
  <c r="AC235" i="16" s="1"/>
  <c r="V235" i="16"/>
  <c r="AB235" i="16" s="1"/>
  <c r="X234" i="16"/>
  <c r="AD234" i="16" s="1"/>
  <c r="W234" i="16"/>
  <c r="AC234" i="16" s="1"/>
  <c r="V234" i="16"/>
  <c r="AB234" i="16" s="1"/>
  <c r="X233" i="16"/>
  <c r="AD233" i="16" s="1"/>
  <c r="W233" i="16"/>
  <c r="AC233" i="16" s="1"/>
  <c r="V233" i="16"/>
  <c r="AB233" i="16" s="1"/>
  <c r="X232" i="16"/>
  <c r="W232" i="16"/>
  <c r="AC232" i="16" s="1"/>
  <c r="V232" i="16"/>
  <c r="AB232" i="16" s="1"/>
  <c r="X231" i="16"/>
  <c r="AD231" i="16" s="1"/>
  <c r="W231" i="16"/>
  <c r="AC231" i="16" s="1"/>
  <c r="V231" i="16"/>
  <c r="AB231" i="16" s="1"/>
  <c r="X230" i="16"/>
  <c r="AD230" i="16" s="1"/>
  <c r="W230" i="16"/>
  <c r="AC230" i="16" s="1"/>
  <c r="V230" i="16"/>
  <c r="AB230" i="16" s="1"/>
  <c r="X229" i="16"/>
  <c r="AD229" i="16" s="1"/>
  <c r="W229" i="16"/>
  <c r="AC229" i="16" s="1"/>
  <c r="V229" i="16"/>
  <c r="AB229" i="16" s="1"/>
  <c r="X228" i="16"/>
  <c r="AD228" i="16" s="1"/>
  <c r="W228" i="16"/>
  <c r="AC228" i="16" s="1"/>
  <c r="V228" i="16"/>
  <c r="AB228" i="16" s="1"/>
  <c r="X227" i="16"/>
  <c r="AD227" i="16" s="1"/>
  <c r="W227" i="16"/>
  <c r="AC227" i="16" s="1"/>
  <c r="V227" i="16"/>
  <c r="AB227" i="16" s="1"/>
  <c r="X226" i="16"/>
  <c r="AD226" i="16" s="1"/>
  <c r="W226" i="16"/>
  <c r="AC226" i="16" s="1"/>
  <c r="V226" i="16"/>
  <c r="AB226" i="16" s="1"/>
  <c r="X225" i="16"/>
  <c r="AD225" i="16" s="1"/>
  <c r="W225" i="16"/>
  <c r="AC225" i="16" s="1"/>
  <c r="V225" i="16"/>
  <c r="AB225" i="16" s="1"/>
  <c r="X224" i="16"/>
  <c r="AD224" i="16" s="1"/>
  <c r="W224" i="16"/>
  <c r="AC224" i="16" s="1"/>
  <c r="V224" i="16"/>
  <c r="AB224" i="16" s="1"/>
  <c r="X223" i="16"/>
  <c r="AD223" i="16" s="1"/>
  <c r="W223" i="16"/>
  <c r="AC223" i="16" s="1"/>
  <c r="V223" i="16"/>
  <c r="AB223" i="16" s="1"/>
  <c r="X222" i="16"/>
  <c r="AD222" i="16" s="1"/>
  <c r="W222" i="16"/>
  <c r="AC222" i="16" s="1"/>
  <c r="V222" i="16"/>
  <c r="AB222" i="16" s="1"/>
  <c r="X221" i="16"/>
  <c r="AD221" i="16" s="1"/>
  <c r="W221" i="16"/>
  <c r="AC221" i="16" s="1"/>
  <c r="V221" i="16"/>
  <c r="AB221" i="16" s="1"/>
  <c r="X220" i="16"/>
  <c r="AD220" i="16" s="1"/>
  <c r="W220" i="16"/>
  <c r="AC220" i="16" s="1"/>
  <c r="V220" i="16"/>
  <c r="AB220" i="16" s="1"/>
  <c r="X219" i="16"/>
  <c r="AD219" i="16" s="1"/>
  <c r="W219" i="16"/>
  <c r="AC219" i="16" s="1"/>
  <c r="V219" i="16"/>
  <c r="AB219" i="16" s="1"/>
  <c r="X218" i="16"/>
  <c r="AD218" i="16" s="1"/>
  <c r="W218" i="16"/>
  <c r="AC218" i="16" s="1"/>
  <c r="V218" i="16"/>
  <c r="AB218" i="16" s="1"/>
  <c r="X217" i="16"/>
  <c r="AD217" i="16" s="1"/>
  <c r="W217" i="16"/>
  <c r="AC217" i="16" s="1"/>
  <c r="V217" i="16"/>
  <c r="AB217" i="16" s="1"/>
  <c r="X216" i="16"/>
  <c r="AD216" i="16" s="1"/>
  <c r="W216" i="16"/>
  <c r="AC216" i="16" s="1"/>
  <c r="V216" i="16"/>
  <c r="AB216" i="16" s="1"/>
  <c r="X215" i="16"/>
  <c r="AD215" i="16" s="1"/>
  <c r="W215" i="16"/>
  <c r="AC215" i="16" s="1"/>
  <c r="V215" i="16"/>
  <c r="AB215" i="16" s="1"/>
  <c r="X214" i="16"/>
  <c r="AD214" i="16" s="1"/>
  <c r="W214" i="16"/>
  <c r="AC214" i="16" s="1"/>
  <c r="V214" i="16"/>
  <c r="AB214" i="16" s="1"/>
  <c r="X213" i="16"/>
  <c r="AD213" i="16" s="1"/>
  <c r="W213" i="16"/>
  <c r="AC213" i="16" s="1"/>
  <c r="V213" i="16"/>
  <c r="AB213" i="16" s="1"/>
  <c r="X212" i="16"/>
  <c r="AD212" i="16" s="1"/>
  <c r="W212" i="16"/>
  <c r="AC212" i="16" s="1"/>
  <c r="V212" i="16"/>
  <c r="AB212" i="16" s="1"/>
  <c r="X211" i="16"/>
  <c r="AD211" i="16" s="1"/>
  <c r="W211" i="16"/>
  <c r="AC211" i="16" s="1"/>
  <c r="V211" i="16"/>
  <c r="AB211" i="16" s="1"/>
  <c r="X210" i="16"/>
  <c r="AD210" i="16" s="1"/>
  <c r="W210" i="16"/>
  <c r="AC210" i="16" s="1"/>
  <c r="V210" i="16"/>
  <c r="AB210" i="16" s="1"/>
  <c r="X209" i="16"/>
  <c r="AD209" i="16" s="1"/>
  <c r="W209" i="16"/>
  <c r="AC209" i="16" s="1"/>
  <c r="V209" i="16"/>
  <c r="AB209" i="16" s="1"/>
  <c r="X208" i="16"/>
  <c r="AD208" i="16" s="1"/>
  <c r="W208" i="16"/>
  <c r="AC208" i="16" s="1"/>
  <c r="V208" i="16"/>
  <c r="AB208" i="16" s="1"/>
  <c r="X207" i="16"/>
  <c r="AD207" i="16" s="1"/>
  <c r="W207" i="16"/>
  <c r="AC207" i="16" s="1"/>
  <c r="V207" i="16"/>
  <c r="AB207" i="16" s="1"/>
  <c r="X206" i="16"/>
  <c r="AD206" i="16" s="1"/>
  <c r="W206" i="16"/>
  <c r="AC206" i="16" s="1"/>
  <c r="V206" i="16"/>
  <c r="AB206" i="16" s="1"/>
  <c r="X205" i="16"/>
  <c r="AD205" i="16" s="1"/>
  <c r="W205" i="16"/>
  <c r="AC205" i="16" s="1"/>
  <c r="V205" i="16"/>
  <c r="AB205" i="16" s="1"/>
  <c r="X204" i="16"/>
  <c r="AD204" i="16" s="1"/>
  <c r="W204" i="16"/>
  <c r="AC204" i="16" s="1"/>
  <c r="V204" i="16"/>
  <c r="AB204" i="16" s="1"/>
  <c r="X203" i="16"/>
  <c r="AD203" i="16" s="1"/>
  <c r="W203" i="16"/>
  <c r="AC203" i="16" s="1"/>
  <c r="V203" i="16"/>
  <c r="AB203" i="16" s="1"/>
  <c r="X202" i="16"/>
  <c r="AD202" i="16" s="1"/>
  <c r="W202" i="16"/>
  <c r="AC202" i="16" s="1"/>
  <c r="V202" i="16"/>
  <c r="AB202" i="16" s="1"/>
  <c r="X201" i="16"/>
  <c r="AD201" i="16" s="1"/>
  <c r="W201" i="16"/>
  <c r="AC201" i="16" s="1"/>
  <c r="V201" i="16"/>
  <c r="AB201" i="16" s="1"/>
  <c r="X200" i="16"/>
  <c r="AD200" i="16" s="1"/>
  <c r="W200" i="16"/>
  <c r="AC200" i="16" s="1"/>
  <c r="V200" i="16"/>
  <c r="AB200" i="16" s="1"/>
  <c r="X199" i="16"/>
  <c r="AD199" i="16" s="1"/>
  <c r="W199" i="16"/>
  <c r="AC199" i="16" s="1"/>
  <c r="V199" i="16"/>
  <c r="AB199" i="16" s="1"/>
  <c r="X198" i="16"/>
  <c r="AD198" i="16" s="1"/>
  <c r="W198" i="16"/>
  <c r="AC198" i="16" s="1"/>
  <c r="V198" i="16"/>
  <c r="AB198" i="16" s="1"/>
  <c r="X197" i="16"/>
  <c r="AD197" i="16" s="1"/>
  <c r="W197" i="16"/>
  <c r="AC197" i="16" s="1"/>
  <c r="V197" i="16"/>
  <c r="AB197" i="16" s="1"/>
  <c r="X196" i="16"/>
  <c r="AD196" i="16" s="1"/>
  <c r="W196" i="16"/>
  <c r="AC196" i="16" s="1"/>
  <c r="V196" i="16"/>
  <c r="AB196" i="16" s="1"/>
  <c r="X195" i="16"/>
  <c r="AD195" i="16" s="1"/>
  <c r="W195" i="16"/>
  <c r="AC195" i="16" s="1"/>
  <c r="V195" i="16"/>
  <c r="AB195" i="16" s="1"/>
  <c r="X194" i="16"/>
  <c r="AD194" i="16" s="1"/>
  <c r="W194" i="16"/>
  <c r="AC194" i="16" s="1"/>
  <c r="V194" i="16"/>
  <c r="AB194" i="16" s="1"/>
  <c r="X193" i="16"/>
  <c r="AD193" i="16" s="1"/>
  <c r="W193" i="16"/>
  <c r="AC193" i="16" s="1"/>
  <c r="V193" i="16"/>
  <c r="AB193" i="16" s="1"/>
  <c r="X192" i="16"/>
  <c r="AD192" i="16" s="1"/>
  <c r="W192" i="16"/>
  <c r="AC192" i="16" s="1"/>
  <c r="V192" i="16"/>
  <c r="AB192" i="16" s="1"/>
  <c r="X191" i="16"/>
  <c r="AD191" i="16" s="1"/>
  <c r="W191" i="16"/>
  <c r="AC191" i="16" s="1"/>
  <c r="V191" i="16"/>
  <c r="AB191" i="16" s="1"/>
  <c r="X190" i="16"/>
  <c r="AD190" i="16" s="1"/>
  <c r="W190" i="16"/>
  <c r="AC190" i="16" s="1"/>
  <c r="V190" i="16"/>
  <c r="AB190" i="16" s="1"/>
  <c r="X189" i="16"/>
  <c r="AD189" i="16" s="1"/>
  <c r="W189" i="16"/>
  <c r="AC189" i="16" s="1"/>
  <c r="V189" i="16"/>
  <c r="AB189" i="16" s="1"/>
  <c r="X188" i="16"/>
  <c r="AD188" i="16" s="1"/>
  <c r="W188" i="16"/>
  <c r="AC188" i="16" s="1"/>
  <c r="V188" i="16"/>
  <c r="AB188" i="16" s="1"/>
  <c r="X187" i="16"/>
  <c r="AD187" i="16" s="1"/>
  <c r="W187" i="16"/>
  <c r="AC187" i="16" s="1"/>
  <c r="V187" i="16"/>
  <c r="AB187" i="16" s="1"/>
  <c r="X186" i="16"/>
  <c r="AD186" i="16" s="1"/>
  <c r="W186" i="16"/>
  <c r="AC186" i="16" s="1"/>
  <c r="V186" i="16"/>
  <c r="AB186" i="16" s="1"/>
  <c r="X185" i="16"/>
  <c r="AD185" i="16" s="1"/>
  <c r="W185" i="16"/>
  <c r="AC185" i="16" s="1"/>
  <c r="V185" i="16"/>
  <c r="AB185" i="16" s="1"/>
  <c r="X184" i="16"/>
  <c r="AD184" i="16" s="1"/>
  <c r="W184" i="16"/>
  <c r="AC184" i="16" s="1"/>
  <c r="V184" i="16"/>
  <c r="AB184" i="16" s="1"/>
  <c r="X183" i="16"/>
  <c r="AD183" i="16" s="1"/>
  <c r="W183" i="16"/>
  <c r="AC183" i="16" s="1"/>
  <c r="V183" i="16"/>
  <c r="AB183" i="16" s="1"/>
  <c r="X182" i="16"/>
  <c r="AD182" i="16" s="1"/>
  <c r="W182" i="16"/>
  <c r="AC182" i="16" s="1"/>
  <c r="V182" i="16"/>
  <c r="AB182" i="16" s="1"/>
  <c r="X181" i="16"/>
  <c r="AD181" i="16" s="1"/>
  <c r="W181" i="16"/>
  <c r="AC181" i="16" s="1"/>
  <c r="V181" i="16"/>
  <c r="AB181" i="16" s="1"/>
  <c r="X180" i="16"/>
  <c r="AD180" i="16" s="1"/>
  <c r="W180" i="16"/>
  <c r="AC180" i="16" s="1"/>
  <c r="V180" i="16"/>
  <c r="AB180" i="16" s="1"/>
  <c r="X179" i="16"/>
  <c r="AD179" i="16" s="1"/>
  <c r="W179" i="16"/>
  <c r="AC179" i="16" s="1"/>
  <c r="V179" i="16"/>
  <c r="AB179" i="16" s="1"/>
  <c r="X178" i="16"/>
  <c r="AD178" i="16" s="1"/>
  <c r="W178" i="16"/>
  <c r="AC178" i="16" s="1"/>
  <c r="V178" i="16"/>
  <c r="AB178" i="16" s="1"/>
  <c r="X177" i="16"/>
  <c r="AD177" i="16" s="1"/>
  <c r="W177" i="16"/>
  <c r="AC177" i="16" s="1"/>
  <c r="V177" i="16"/>
  <c r="AB177" i="16" s="1"/>
  <c r="X176" i="16"/>
  <c r="AD176" i="16" s="1"/>
  <c r="W176" i="16"/>
  <c r="AC176" i="16" s="1"/>
  <c r="V176" i="16"/>
  <c r="AB176" i="16" s="1"/>
  <c r="X175" i="16"/>
  <c r="AD175" i="16" s="1"/>
  <c r="W175" i="16"/>
  <c r="AC175" i="16" s="1"/>
  <c r="V175" i="16"/>
  <c r="AB175" i="16" s="1"/>
  <c r="X174" i="16"/>
  <c r="AD174" i="16" s="1"/>
  <c r="W174" i="16"/>
  <c r="AC174" i="16" s="1"/>
  <c r="V174" i="16"/>
  <c r="AB174" i="16" s="1"/>
  <c r="X173" i="16"/>
  <c r="AD173" i="16" s="1"/>
  <c r="W173" i="16"/>
  <c r="AC173" i="16" s="1"/>
  <c r="V173" i="16"/>
  <c r="AB173" i="16" s="1"/>
  <c r="X172" i="16"/>
  <c r="AD172" i="16" s="1"/>
  <c r="W172" i="16"/>
  <c r="AC172" i="16" s="1"/>
  <c r="V172" i="16"/>
  <c r="AB172" i="16" s="1"/>
  <c r="X171" i="16"/>
  <c r="AD171" i="16" s="1"/>
  <c r="W171" i="16"/>
  <c r="AC171" i="16" s="1"/>
  <c r="V171" i="16"/>
  <c r="AB171" i="16" s="1"/>
  <c r="X170" i="16"/>
  <c r="AD170" i="16" s="1"/>
  <c r="W170" i="16"/>
  <c r="AC170" i="16" s="1"/>
  <c r="V170" i="16"/>
  <c r="AB170" i="16" s="1"/>
  <c r="X169" i="16"/>
  <c r="AD169" i="16" s="1"/>
  <c r="W169" i="16"/>
  <c r="AC169" i="16" s="1"/>
  <c r="V169" i="16"/>
  <c r="AB169" i="16" s="1"/>
  <c r="X168" i="16"/>
  <c r="AD168" i="16" s="1"/>
  <c r="W168" i="16"/>
  <c r="AC168" i="16" s="1"/>
  <c r="V168" i="16"/>
  <c r="AB168" i="16" s="1"/>
  <c r="X167" i="16"/>
  <c r="AD167" i="16" s="1"/>
  <c r="W167" i="16"/>
  <c r="AC167" i="16" s="1"/>
  <c r="V167" i="16"/>
  <c r="AB167" i="16" s="1"/>
  <c r="X166" i="16"/>
  <c r="AD166" i="16" s="1"/>
  <c r="W166" i="16"/>
  <c r="AC166" i="16" s="1"/>
  <c r="V166" i="16"/>
  <c r="AB166" i="16" s="1"/>
  <c r="X165" i="16"/>
  <c r="AD165" i="16" s="1"/>
  <c r="W165" i="16"/>
  <c r="AC165" i="16" s="1"/>
  <c r="V165" i="16"/>
  <c r="AB165" i="16" s="1"/>
  <c r="X164" i="16"/>
  <c r="AD164" i="16" s="1"/>
  <c r="W164" i="16"/>
  <c r="AC164" i="16" s="1"/>
  <c r="V164" i="16"/>
  <c r="AB164" i="16" s="1"/>
  <c r="X163" i="16"/>
  <c r="AD163" i="16" s="1"/>
  <c r="W163" i="16"/>
  <c r="AC163" i="16" s="1"/>
  <c r="V163" i="16"/>
  <c r="AB163" i="16" s="1"/>
  <c r="X162" i="16"/>
  <c r="AD162" i="16" s="1"/>
  <c r="W162" i="16"/>
  <c r="AC162" i="16" s="1"/>
  <c r="V162" i="16"/>
  <c r="AB162" i="16" s="1"/>
  <c r="X161" i="16"/>
  <c r="AD161" i="16" s="1"/>
  <c r="W161" i="16"/>
  <c r="AC161" i="16" s="1"/>
  <c r="V161" i="16"/>
  <c r="AB161" i="16" s="1"/>
  <c r="X160" i="16"/>
  <c r="AD160" i="16" s="1"/>
  <c r="W160" i="16"/>
  <c r="AC160" i="16" s="1"/>
  <c r="V160" i="16"/>
  <c r="AB160" i="16" s="1"/>
  <c r="X159" i="16"/>
  <c r="AD159" i="16" s="1"/>
  <c r="W159" i="16"/>
  <c r="AC159" i="16" s="1"/>
  <c r="V159" i="16"/>
  <c r="AB159" i="16" s="1"/>
  <c r="X158" i="16"/>
  <c r="AD158" i="16" s="1"/>
  <c r="W158" i="16"/>
  <c r="AC158" i="16" s="1"/>
  <c r="V158" i="16"/>
  <c r="AB158" i="16" s="1"/>
  <c r="X157" i="16"/>
  <c r="AD157" i="16" s="1"/>
  <c r="W157" i="16"/>
  <c r="AC157" i="16" s="1"/>
  <c r="V157" i="16"/>
  <c r="AB157" i="16" s="1"/>
  <c r="X156" i="16"/>
  <c r="AD156" i="16" s="1"/>
  <c r="W156" i="16"/>
  <c r="AC156" i="16" s="1"/>
  <c r="V156" i="16"/>
  <c r="AB156" i="16" s="1"/>
  <c r="X155" i="16"/>
  <c r="AD155" i="16" s="1"/>
  <c r="W155" i="16"/>
  <c r="AC155" i="16" s="1"/>
  <c r="V155" i="16"/>
  <c r="AB155" i="16" s="1"/>
  <c r="X154" i="16"/>
  <c r="AD154" i="16" s="1"/>
  <c r="W154" i="16"/>
  <c r="AC154" i="16" s="1"/>
  <c r="V154" i="16"/>
  <c r="AB154" i="16" s="1"/>
  <c r="X153" i="16"/>
  <c r="AD153" i="16" s="1"/>
  <c r="W153" i="16"/>
  <c r="AC153" i="16" s="1"/>
  <c r="V153" i="16"/>
  <c r="AB153" i="16" s="1"/>
  <c r="X152" i="16"/>
  <c r="AD152" i="16" s="1"/>
  <c r="W152" i="16"/>
  <c r="AC152" i="16" s="1"/>
  <c r="V152" i="16"/>
  <c r="AB152" i="16" s="1"/>
  <c r="X151" i="16"/>
  <c r="AD151" i="16" s="1"/>
  <c r="W151" i="16"/>
  <c r="AC151" i="16" s="1"/>
  <c r="V151" i="16"/>
  <c r="AB151" i="16" s="1"/>
  <c r="X150" i="16"/>
  <c r="AD150" i="16" s="1"/>
  <c r="W150" i="16"/>
  <c r="AC150" i="16" s="1"/>
  <c r="V150" i="16"/>
  <c r="AB150" i="16" s="1"/>
  <c r="X149" i="16"/>
  <c r="AD149" i="16" s="1"/>
  <c r="W149" i="16"/>
  <c r="AC149" i="16" s="1"/>
  <c r="V149" i="16"/>
  <c r="AB149" i="16" s="1"/>
  <c r="X148" i="16"/>
  <c r="AD148" i="16" s="1"/>
  <c r="W148" i="16"/>
  <c r="AC148" i="16" s="1"/>
  <c r="V148" i="16"/>
  <c r="AB148" i="16" s="1"/>
  <c r="X147" i="16"/>
  <c r="AD147" i="16" s="1"/>
  <c r="W147" i="16"/>
  <c r="AC147" i="16" s="1"/>
  <c r="V147" i="16"/>
  <c r="AB147" i="16" s="1"/>
  <c r="X146" i="16"/>
  <c r="AD146" i="16" s="1"/>
  <c r="W146" i="16"/>
  <c r="AC146" i="16" s="1"/>
  <c r="V146" i="16"/>
  <c r="AB146" i="16" s="1"/>
  <c r="X145" i="16"/>
  <c r="AD145" i="16" s="1"/>
  <c r="W145" i="16"/>
  <c r="AC145" i="16" s="1"/>
  <c r="V145" i="16"/>
  <c r="AB145" i="16" s="1"/>
  <c r="X144" i="16"/>
  <c r="AD144" i="16" s="1"/>
  <c r="W144" i="16"/>
  <c r="AC144" i="16" s="1"/>
  <c r="V144" i="16"/>
  <c r="AB144" i="16" s="1"/>
  <c r="X143" i="16"/>
  <c r="AD143" i="16" s="1"/>
  <c r="W143" i="16"/>
  <c r="AC143" i="16" s="1"/>
  <c r="V143" i="16"/>
  <c r="AB143" i="16" s="1"/>
  <c r="X142" i="16"/>
  <c r="AD142" i="16" s="1"/>
  <c r="W142" i="16"/>
  <c r="AC142" i="16" s="1"/>
  <c r="V142" i="16"/>
  <c r="AB142" i="16" s="1"/>
  <c r="X141" i="16"/>
  <c r="AD141" i="16" s="1"/>
  <c r="W141" i="16"/>
  <c r="AC141" i="16" s="1"/>
  <c r="V141" i="16"/>
  <c r="AB141" i="16" s="1"/>
  <c r="X140" i="16"/>
  <c r="AD140" i="16" s="1"/>
  <c r="W140" i="16"/>
  <c r="AC140" i="16" s="1"/>
  <c r="V140" i="16"/>
  <c r="AB140" i="16" s="1"/>
  <c r="X139" i="16"/>
  <c r="AD139" i="16" s="1"/>
  <c r="W139" i="16"/>
  <c r="AC139" i="16" s="1"/>
  <c r="V139" i="16"/>
  <c r="AB139" i="16" s="1"/>
  <c r="X138" i="16"/>
  <c r="AD138" i="16" s="1"/>
  <c r="W138" i="16"/>
  <c r="AC138" i="16" s="1"/>
  <c r="V138" i="16"/>
  <c r="AB138" i="16" s="1"/>
  <c r="X137" i="16"/>
  <c r="AD137" i="16" s="1"/>
  <c r="W137" i="16"/>
  <c r="AC137" i="16" s="1"/>
  <c r="V137" i="16"/>
  <c r="AB137" i="16" s="1"/>
  <c r="X136" i="16"/>
  <c r="AD136" i="16" s="1"/>
  <c r="W136" i="16"/>
  <c r="AC136" i="16" s="1"/>
  <c r="V136" i="16"/>
  <c r="AB136" i="16" s="1"/>
  <c r="X135" i="16"/>
  <c r="AD135" i="16" s="1"/>
  <c r="W135" i="16"/>
  <c r="AC135" i="16" s="1"/>
  <c r="V135" i="16"/>
  <c r="AB135" i="16" s="1"/>
  <c r="X134" i="16"/>
  <c r="AD134" i="16" s="1"/>
  <c r="W134" i="16"/>
  <c r="AC134" i="16" s="1"/>
  <c r="V134" i="16"/>
  <c r="AB134" i="16" s="1"/>
  <c r="X133" i="16"/>
  <c r="AD133" i="16" s="1"/>
  <c r="W133" i="16"/>
  <c r="AC133" i="16" s="1"/>
  <c r="V133" i="16"/>
  <c r="AB133" i="16" s="1"/>
  <c r="X132" i="16"/>
  <c r="AD132" i="16" s="1"/>
  <c r="W132" i="16"/>
  <c r="AC132" i="16" s="1"/>
  <c r="V132" i="16"/>
  <c r="AB132" i="16" s="1"/>
  <c r="X131" i="16"/>
  <c r="AD131" i="16" s="1"/>
  <c r="W131" i="16"/>
  <c r="AC131" i="16" s="1"/>
  <c r="V131" i="16"/>
  <c r="AB131" i="16" s="1"/>
  <c r="X130" i="16"/>
  <c r="AD130" i="16" s="1"/>
  <c r="W130" i="16"/>
  <c r="AC130" i="16" s="1"/>
  <c r="V130" i="16"/>
  <c r="AB130" i="16" s="1"/>
  <c r="X129" i="16"/>
  <c r="AD129" i="16" s="1"/>
  <c r="W129" i="16"/>
  <c r="AC129" i="16" s="1"/>
  <c r="V129" i="16"/>
  <c r="AB129" i="16" s="1"/>
  <c r="X128" i="16"/>
  <c r="AD128" i="16" s="1"/>
  <c r="W128" i="16"/>
  <c r="AC128" i="16" s="1"/>
  <c r="V128" i="16"/>
  <c r="AB128" i="16" s="1"/>
  <c r="X127" i="16"/>
  <c r="AD127" i="16" s="1"/>
  <c r="W127" i="16"/>
  <c r="AC127" i="16" s="1"/>
  <c r="V127" i="16"/>
  <c r="AB127" i="16" s="1"/>
  <c r="X126" i="16"/>
  <c r="AD126" i="16" s="1"/>
  <c r="W126" i="16"/>
  <c r="AC126" i="16" s="1"/>
  <c r="V126" i="16"/>
  <c r="AB126" i="16" s="1"/>
  <c r="X125" i="16"/>
  <c r="AD125" i="16" s="1"/>
  <c r="W125" i="16"/>
  <c r="AC125" i="16" s="1"/>
  <c r="V125" i="16"/>
  <c r="AB125" i="16" s="1"/>
  <c r="X124" i="16"/>
  <c r="AD124" i="16" s="1"/>
  <c r="W124" i="16"/>
  <c r="AC124" i="16" s="1"/>
  <c r="V124" i="16"/>
  <c r="AB124" i="16" s="1"/>
  <c r="X123" i="16"/>
  <c r="AD123" i="16" s="1"/>
  <c r="W123" i="16"/>
  <c r="AC123" i="16" s="1"/>
  <c r="V123" i="16"/>
  <c r="AB123" i="16" s="1"/>
  <c r="X122" i="16"/>
  <c r="AD122" i="16" s="1"/>
  <c r="W122" i="16"/>
  <c r="AC122" i="16" s="1"/>
  <c r="V122" i="16"/>
  <c r="AB122" i="16" s="1"/>
  <c r="X121" i="16"/>
  <c r="AD121" i="16" s="1"/>
  <c r="W121" i="16"/>
  <c r="AC121" i="16" s="1"/>
  <c r="V121" i="16"/>
  <c r="AB121" i="16" s="1"/>
  <c r="X120" i="16"/>
  <c r="AD120" i="16" s="1"/>
  <c r="W120" i="16"/>
  <c r="AC120" i="16" s="1"/>
  <c r="V120" i="16"/>
  <c r="AB120" i="16" s="1"/>
  <c r="X119" i="16"/>
  <c r="AD119" i="16" s="1"/>
  <c r="W119" i="16"/>
  <c r="AC119" i="16" s="1"/>
  <c r="V119" i="16"/>
  <c r="AB119" i="16" s="1"/>
  <c r="X118" i="16"/>
  <c r="AD118" i="16" s="1"/>
  <c r="AO4" i="16" s="1"/>
  <c r="W118" i="16"/>
  <c r="AC118" i="16" s="1"/>
  <c r="V118" i="16"/>
  <c r="AB118" i="16" s="1"/>
  <c r="X117" i="16"/>
  <c r="AD117" i="16" s="1"/>
  <c r="W117" i="16"/>
  <c r="AC117" i="16" s="1"/>
  <c r="V117" i="16"/>
  <c r="AB117" i="16" s="1"/>
  <c r="X116" i="16"/>
  <c r="AD116" i="16" s="1"/>
  <c r="W116" i="16"/>
  <c r="AC116" i="16" s="1"/>
  <c r="V116" i="16"/>
  <c r="AB116" i="16" s="1"/>
  <c r="X115" i="16"/>
  <c r="AD115" i="16" s="1"/>
  <c r="W115" i="16"/>
  <c r="AC115" i="16" s="1"/>
  <c r="V115" i="16"/>
  <c r="AB115" i="16" s="1"/>
  <c r="X114" i="16"/>
  <c r="AD114" i="16" s="1"/>
  <c r="W114" i="16"/>
  <c r="AC114" i="16" s="1"/>
  <c r="V114" i="16"/>
  <c r="AB114" i="16" s="1"/>
  <c r="X113" i="16"/>
  <c r="AD113" i="16" s="1"/>
  <c r="W113" i="16"/>
  <c r="AC113" i="16" s="1"/>
  <c r="V113" i="16"/>
  <c r="AB113" i="16" s="1"/>
  <c r="X112" i="16"/>
  <c r="AD112" i="16" s="1"/>
  <c r="W112" i="16"/>
  <c r="AC112" i="16" s="1"/>
  <c r="V112" i="16"/>
  <c r="AB112" i="16" s="1"/>
  <c r="X111" i="16"/>
  <c r="AD111" i="16" s="1"/>
  <c r="W111" i="16"/>
  <c r="AC111" i="16" s="1"/>
  <c r="V111" i="16"/>
  <c r="AB111" i="16" s="1"/>
  <c r="X110" i="16"/>
  <c r="AD110" i="16" s="1"/>
  <c r="W110" i="16"/>
  <c r="AC110" i="16" s="1"/>
  <c r="V110" i="16"/>
  <c r="AB110" i="16" s="1"/>
  <c r="X109" i="16"/>
  <c r="AD109" i="16" s="1"/>
  <c r="W109" i="16"/>
  <c r="AC109" i="16" s="1"/>
  <c r="V109" i="16"/>
  <c r="AB109" i="16" s="1"/>
  <c r="X108" i="16"/>
  <c r="AD108" i="16" s="1"/>
  <c r="W108" i="16"/>
  <c r="AC108" i="16" s="1"/>
  <c r="V108" i="16"/>
  <c r="AB108" i="16" s="1"/>
  <c r="X107" i="16"/>
  <c r="AD107" i="16" s="1"/>
  <c r="W107" i="16"/>
  <c r="AC107" i="16" s="1"/>
  <c r="V107" i="16"/>
  <c r="AB107" i="16" s="1"/>
  <c r="X106" i="16"/>
  <c r="AD106" i="16" s="1"/>
  <c r="W106" i="16"/>
  <c r="AC106" i="16" s="1"/>
  <c r="V106" i="16"/>
  <c r="AB106" i="16" s="1"/>
  <c r="X105" i="16"/>
  <c r="AD105" i="16" s="1"/>
  <c r="W105" i="16"/>
  <c r="AC105" i="16" s="1"/>
  <c r="V105" i="16"/>
  <c r="AB105" i="16" s="1"/>
  <c r="X104" i="16"/>
  <c r="AD104" i="16" s="1"/>
  <c r="W104" i="16"/>
  <c r="AC104" i="16" s="1"/>
  <c r="V104" i="16"/>
  <c r="AB104" i="16" s="1"/>
  <c r="X103" i="16"/>
  <c r="AD103" i="16" s="1"/>
  <c r="W103" i="16"/>
  <c r="AC103" i="16" s="1"/>
  <c r="V103" i="16"/>
  <c r="AB103" i="16" s="1"/>
  <c r="X102" i="16"/>
  <c r="AD102" i="16" s="1"/>
  <c r="W102" i="16"/>
  <c r="AC102" i="16" s="1"/>
  <c r="V102" i="16"/>
  <c r="AB102" i="16" s="1"/>
  <c r="X101" i="16"/>
  <c r="AD101" i="16" s="1"/>
  <c r="W101" i="16"/>
  <c r="AC101" i="16" s="1"/>
  <c r="V101" i="16"/>
  <c r="AB101" i="16" s="1"/>
  <c r="X100" i="16"/>
  <c r="AD100" i="16" s="1"/>
  <c r="W100" i="16"/>
  <c r="AC100" i="16" s="1"/>
  <c r="V100" i="16"/>
  <c r="AB100" i="16" s="1"/>
  <c r="X99" i="16"/>
  <c r="AD99" i="16" s="1"/>
  <c r="W99" i="16"/>
  <c r="AC99" i="16" s="1"/>
  <c r="V99" i="16"/>
  <c r="AB99" i="16" s="1"/>
  <c r="X98" i="16"/>
  <c r="AD98" i="16" s="1"/>
  <c r="W98" i="16"/>
  <c r="AC98" i="16" s="1"/>
  <c r="V98" i="16"/>
  <c r="AB98" i="16" s="1"/>
  <c r="X97" i="16"/>
  <c r="AD97" i="16" s="1"/>
  <c r="W97" i="16"/>
  <c r="AC97" i="16" s="1"/>
  <c r="V97" i="16"/>
  <c r="AB97" i="16" s="1"/>
  <c r="X96" i="16"/>
  <c r="AD96" i="16" s="1"/>
  <c r="W96" i="16"/>
  <c r="AC96" i="16" s="1"/>
  <c r="V96" i="16"/>
  <c r="AB96" i="16" s="1"/>
  <c r="X95" i="16"/>
  <c r="AD95" i="16" s="1"/>
  <c r="W95" i="16"/>
  <c r="AC95" i="16" s="1"/>
  <c r="V95" i="16"/>
  <c r="AB95" i="16" s="1"/>
  <c r="X94" i="16"/>
  <c r="AD94" i="16" s="1"/>
  <c r="W94" i="16"/>
  <c r="AC94" i="16" s="1"/>
  <c r="V94" i="16"/>
  <c r="AB94" i="16" s="1"/>
  <c r="X93" i="16"/>
  <c r="AD93" i="16" s="1"/>
  <c r="W93" i="16"/>
  <c r="AC93" i="16" s="1"/>
  <c r="V93" i="16"/>
  <c r="AB93" i="16" s="1"/>
  <c r="X92" i="16"/>
  <c r="AD92" i="16" s="1"/>
  <c r="W92" i="16"/>
  <c r="AC92" i="16" s="1"/>
  <c r="V92" i="16"/>
  <c r="AB92" i="16" s="1"/>
  <c r="X91" i="16"/>
  <c r="AD91" i="16" s="1"/>
  <c r="W91" i="16"/>
  <c r="AC91" i="16" s="1"/>
  <c r="V91" i="16"/>
  <c r="AB91" i="16" s="1"/>
  <c r="X90" i="16"/>
  <c r="AD90" i="16" s="1"/>
  <c r="W90" i="16"/>
  <c r="AC90" i="16" s="1"/>
  <c r="V90" i="16"/>
  <c r="AB90" i="16" s="1"/>
  <c r="X89" i="16"/>
  <c r="AD89" i="16" s="1"/>
  <c r="W89" i="16"/>
  <c r="AC89" i="16" s="1"/>
  <c r="V89" i="16"/>
  <c r="AB89" i="16" s="1"/>
  <c r="X88" i="16"/>
  <c r="AD88" i="16" s="1"/>
  <c r="W88" i="16"/>
  <c r="AC88" i="16" s="1"/>
  <c r="V88" i="16"/>
  <c r="AB88" i="16" s="1"/>
  <c r="X87" i="16"/>
  <c r="AD87" i="16" s="1"/>
  <c r="W87" i="16"/>
  <c r="AC87" i="16" s="1"/>
  <c r="V87" i="16"/>
  <c r="AB87" i="16" s="1"/>
  <c r="X86" i="16"/>
  <c r="AD86" i="16" s="1"/>
  <c r="W86" i="16"/>
  <c r="AC86" i="16" s="1"/>
  <c r="V86" i="16"/>
  <c r="AB86" i="16" s="1"/>
  <c r="X85" i="16"/>
  <c r="AD85" i="16" s="1"/>
  <c r="W85" i="16"/>
  <c r="AC85" i="16" s="1"/>
  <c r="V85" i="16"/>
  <c r="AB85" i="16" s="1"/>
  <c r="X84" i="16"/>
  <c r="AD84" i="16" s="1"/>
  <c r="W84" i="16"/>
  <c r="AC84" i="16" s="1"/>
  <c r="V84" i="16"/>
  <c r="AB84" i="16" s="1"/>
  <c r="X83" i="16"/>
  <c r="AD83" i="16" s="1"/>
  <c r="W83" i="16"/>
  <c r="AC83" i="16" s="1"/>
  <c r="V83" i="16"/>
  <c r="AB83" i="16" s="1"/>
  <c r="X82" i="16"/>
  <c r="AD82" i="16" s="1"/>
  <c r="W82" i="16"/>
  <c r="AC82" i="16" s="1"/>
  <c r="V82" i="16"/>
  <c r="AB82" i="16" s="1"/>
  <c r="X81" i="16"/>
  <c r="AD81" i="16" s="1"/>
  <c r="W81" i="16"/>
  <c r="AC81" i="16" s="1"/>
  <c r="V81" i="16"/>
  <c r="AB81" i="16" s="1"/>
  <c r="X80" i="16"/>
  <c r="AD80" i="16" s="1"/>
  <c r="W80" i="16"/>
  <c r="AC80" i="16" s="1"/>
  <c r="V80" i="16"/>
  <c r="AB80" i="16" s="1"/>
  <c r="X79" i="16"/>
  <c r="AD79" i="16" s="1"/>
  <c r="W79" i="16"/>
  <c r="AC79" i="16" s="1"/>
  <c r="V79" i="16"/>
  <c r="AB79" i="16" s="1"/>
  <c r="X78" i="16"/>
  <c r="AD78" i="16" s="1"/>
  <c r="W78" i="16"/>
  <c r="AC78" i="16" s="1"/>
  <c r="V78" i="16"/>
  <c r="AB78" i="16" s="1"/>
  <c r="X77" i="16"/>
  <c r="AD77" i="16" s="1"/>
  <c r="W77" i="16"/>
  <c r="AC77" i="16" s="1"/>
  <c r="V77" i="16"/>
  <c r="AB77" i="16" s="1"/>
  <c r="X76" i="16"/>
  <c r="AD76" i="16" s="1"/>
  <c r="W76" i="16"/>
  <c r="AC76" i="16" s="1"/>
  <c r="V76" i="16"/>
  <c r="AB76" i="16" s="1"/>
  <c r="X75" i="16"/>
  <c r="AD75" i="16" s="1"/>
  <c r="W75" i="16"/>
  <c r="AC75" i="16" s="1"/>
  <c r="V75" i="16"/>
  <c r="AB75" i="16" s="1"/>
  <c r="X74" i="16"/>
  <c r="AD74" i="16" s="1"/>
  <c r="W74" i="16"/>
  <c r="AC74" i="16" s="1"/>
  <c r="V74" i="16"/>
  <c r="AB74" i="16" s="1"/>
  <c r="X73" i="16"/>
  <c r="AD73" i="16" s="1"/>
  <c r="W73" i="16"/>
  <c r="AC73" i="16" s="1"/>
  <c r="V73" i="16"/>
  <c r="AB73" i="16" s="1"/>
  <c r="X72" i="16"/>
  <c r="AD72" i="16" s="1"/>
  <c r="W72" i="16"/>
  <c r="AC72" i="16" s="1"/>
  <c r="V72" i="16"/>
  <c r="AB72" i="16" s="1"/>
  <c r="X71" i="16"/>
  <c r="AD71" i="16" s="1"/>
  <c r="W71" i="16"/>
  <c r="AC71" i="16" s="1"/>
  <c r="V71" i="16"/>
  <c r="AB71" i="16" s="1"/>
  <c r="X70" i="16"/>
  <c r="AD70" i="16" s="1"/>
  <c r="W70" i="16"/>
  <c r="AC70" i="16" s="1"/>
  <c r="V70" i="16"/>
  <c r="AB70" i="16" s="1"/>
  <c r="X69" i="16"/>
  <c r="AD69" i="16" s="1"/>
  <c r="W69" i="16"/>
  <c r="AC69" i="16" s="1"/>
  <c r="V69" i="16"/>
  <c r="AB69" i="16" s="1"/>
  <c r="X68" i="16"/>
  <c r="AD68" i="16" s="1"/>
  <c r="W68" i="16"/>
  <c r="AC68" i="16" s="1"/>
  <c r="V68" i="16"/>
  <c r="AB68" i="16" s="1"/>
  <c r="X67" i="16"/>
  <c r="AD67" i="16" s="1"/>
  <c r="W67" i="16"/>
  <c r="AC67" i="16" s="1"/>
  <c r="V67" i="16"/>
  <c r="AB67" i="16" s="1"/>
  <c r="X66" i="16"/>
  <c r="AD66" i="16" s="1"/>
  <c r="W66" i="16"/>
  <c r="AC66" i="16" s="1"/>
  <c r="V66" i="16"/>
  <c r="AB66" i="16" s="1"/>
  <c r="X65" i="16"/>
  <c r="AD65" i="16" s="1"/>
  <c r="W65" i="16"/>
  <c r="AC65" i="16" s="1"/>
  <c r="V65" i="16"/>
  <c r="AB65" i="16" s="1"/>
  <c r="X64" i="16"/>
  <c r="AD64" i="16" s="1"/>
  <c r="W64" i="16"/>
  <c r="AC64" i="16" s="1"/>
  <c r="V64" i="16"/>
  <c r="AB64" i="16" s="1"/>
  <c r="X63" i="16"/>
  <c r="AD63" i="16" s="1"/>
  <c r="W63" i="16"/>
  <c r="AC63" i="16" s="1"/>
  <c r="V63" i="16"/>
  <c r="AB63" i="16" s="1"/>
  <c r="X62" i="16"/>
  <c r="AD62" i="16" s="1"/>
  <c r="W62" i="16"/>
  <c r="AC62" i="16" s="1"/>
  <c r="V62" i="16"/>
  <c r="AB62" i="16" s="1"/>
  <c r="X61" i="16"/>
  <c r="AD61" i="16" s="1"/>
  <c r="W61" i="16"/>
  <c r="AC61" i="16" s="1"/>
  <c r="V61" i="16"/>
  <c r="AB61" i="16" s="1"/>
  <c r="X60" i="16"/>
  <c r="AD60" i="16" s="1"/>
  <c r="W60" i="16"/>
  <c r="AC60" i="16" s="1"/>
  <c r="V60" i="16"/>
  <c r="AB60" i="16" s="1"/>
  <c r="X59" i="16"/>
  <c r="AD59" i="16" s="1"/>
  <c r="W59" i="16"/>
  <c r="AC59" i="16" s="1"/>
  <c r="V59" i="16"/>
  <c r="AB59" i="16" s="1"/>
  <c r="X58" i="16"/>
  <c r="AD58" i="16" s="1"/>
  <c r="W58" i="16"/>
  <c r="AC58" i="16" s="1"/>
  <c r="V58" i="16"/>
  <c r="AB58" i="16" s="1"/>
  <c r="X57" i="16"/>
  <c r="AD57" i="16" s="1"/>
  <c r="W57" i="16"/>
  <c r="AC57" i="16" s="1"/>
  <c r="V57" i="16"/>
  <c r="AB57" i="16" s="1"/>
  <c r="X56" i="16"/>
  <c r="AD56" i="16" s="1"/>
  <c r="W56" i="16"/>
  <c r="AC56" i="16" s="1"/>
  <c r="V56" i="16"/>
  <c r="AB56" i="16" s="1"/>
  <c r="X55" i="16"/>
  <c r="AD55" i="16" s="1"/>
  <c r="W55" i="16"/>
  <c r="AC55" i="16" s="1"/>
  <c r="V55" i="16"/>
  <c r="AB55" i="16" s="1"/>
  <c r="X54" i="16"/>
  <c r="AD54" i="16" s="1"/>
  <c r="W54" i="16"/>
  <c r="AC54" i="16" s="1"/>
  <c r="V54" i="16"/>
  <c r="AB54" i="16" s="1"/>
  <c r="X53" i="16"/>
  <c r="AD53" i="16" s="1"/>
  <c r="W53" i="16"/>
  <c r="AC53" i="16" s="1"/>
  <c r="V53" i="16"/>
  <c r="AB53" i="16" s="1"/>
  <c r="X52" i="16"/>
  <c r="AD52" i="16" s="1"/>
  <c r="W52" i="16"/>
  <c r="AC52" i="16" s="1"/>
  <c r="V52" i="16"/>
  <c r="AB52" i="16" s="1"/>
  <c r="X51" i="16"/>
  <c r="AD51" i="16" s="1"/>
  <c r="W51" i="16"/>
  <c r="AC51" i="16" s="1"/>
  <c r="V51" i="16"/>
  <c r="AB51" i="16" s="1"/>
  <c r="X50" i="16"/>
  <c r="AD50" i="16" s="1"/>
  <c r="W50" i="16"/>
  <c r="AC50" i="16" s="1"/>
  <c r="V50" i="16"/>
  <c r="AB50" i="16" s="1"/>
  <c r="X49" i="16"/>
  <c r="AD49" i="16" s="1"/>
  <c r="W49" i="16"/>
  <c r="AC49" i="16" s="1"/>
  <c r="V49" i="16"/>
  <c r="AB49" i="16" s="1"/>
  <c r="X48" i="16"/>
  <c r="AD48" i="16" s="1"/>
  <c r="W48" i="16"/>
  <c r="AC48" i="16" s="1"/>
  <c r="V48" i="16"/>
  <c r="AB48" i="16" s="1"/>
  <c r="X47" i="16"/>
  <c r="AD47" i="16" s="1"/>
  <c r="W47" i="16"/>
  <c r="AC47" i="16" s="1"/>
  <c r="V47" i="16"/>
  <c r="AB47" i="16" s="1"/>
  <c r="X46" i="16"/>
  <c r="AD46" i="16" s="1"/>
  <c r="W46" i="16"/>
  <c r="AC46" i="16" s="1"/>
  <c r="V46" i="16"/>
  <c r="AB46" i="16" s="1"/>
  <c r="X45" i="16"/>
  <c r="AD45" i="16" s="1"/>
  <c r="W45" i="16"/>
  <c r="AC45" i="16" s="1"/>
  <c r="V45" i="16"/>
  <c r="AB45" i="16" s="1"/>
  <c r="X44" i="16"/>
  <c r="AD44" i="16" s="1"/>
  <c r="W44" i="16"/>
  <c r="AC44" i="16" s="1"/>
  <c r="V44" i="16"/>
  <c r="AB44" i="16" s="1"/>
  <c r="X43" i="16"/>
  <c r="AD43" i="16" s="1"/>
  <c r="W43" i="16"/>
  <c r="AC43" i="16" s="1"/>
  <c r="V43" i="16"/>
  <c r="AB43" i="16" s="1"/>
  <c r="X42" i="16"/>
  <c r="AD42" i="16" s="1"/>
  <c r="W42" i="16"/>
  <c r="AC42" i="16" s="1"/>
  <c r="V42" i="16"/>
  <c r="AB42" i="16" s="1"/>
  <c r="X41" i="16"/>
  <c r="AD41" i="16" s="1"/>
  <c r="W41" i="16"/>
  <c r="AC41" i="16" s="1"/>
  <c r="V41" i="16"/>
  <c r="AB41" i="16" s="1"/>
  <c r="X40" i="16"/>
  <c r="AD40" i="16" s="1"/>
  <c r="W40" i="16"/>
  <c r="AC40" i="16" s="1"/>
  <c r="V40" i="16"/>
  <c r="AB40" i="16" s="1"/>
  <c r="X39" i="16"/>
  <c r="AD39" i="16" s="1"/>
  <c r="W39" i="16"/>
  <c r="AC39" i="16" s="1"/>
  <c r="V39" i="16"/>
  <c r="AB39" i="16" s="1"/>
  <c r="X38" i="16"/>
  <c r="AD38" i="16" s="1"/>
  <c r="AO3" i="16" s="1"/>
  <c r="W38" i="16"/>
  <c r="AC38" i="16" s="1"/>
  <c r="V38" i="16"/>
  <c r="AB38" i="16" s="1"/>
  <c r="X37" i="16"/>
  <c r="AD37" i="16" s="1"/>
  <c r="W37" i="16"/>
  <c r="AC37" i="16" s="1"/>
  <c r="V37" i="16"/>
  <c r="AB37" i="16" s="1"/>
  <c r="X36" i="16"/>
  <c r="AD36" i="16" s="1"/>
  <c r="W36" i="16"/>
  <c r="AC36" i="16" s="1"/>
  <c r="V36" i="16"/>
  <c r="AB36" i="16" s="1"/>
  <c r="X35" i="16"/>
  <c r="AD35" i="16" s="1"/>
  <c r="W35" i="16"/>
  <c r="AC35" i="16" s="1"/>
  <c r="V35" i="16"/>
  <c r="AB35" i="16" s="1"/>
  <c r="X34" i="16"/>
  <c r="AD34" i="16" s="1"/>
  <c r="W34" i="16"/>
  <c r="AC34" i="16" s="1"/>
  <c r="V34" i="16"/>
  <c r="AB34" i="16" s="1"/>
  <c r="X33" i="16"/>
  <c r="AD33" i="16" s="1"/>
  <c r="W33" i="16"/>
  <c r="AC33" i="16" s="1"/>
  <c r="V33" i="16"/>
  <c r="AB33" i="16" s="1"/>
  <c r="X32" i="16"/>
  <c r="AD32" i="16" s="1"/>
  <c r="W32" i="16"/>
  <c r="AC32" i="16" s="1"/>
  <c r="V32" i="16"/>
  <c r="AB32" i="16" s="1"/>
  <c r="X31" i="16"/>
  <c r="AD31" i="16" s="1"/>
  <c r="W31" i="16"/>
  <c r="AC31" i="16" s="1"/>
  <c r="V31" i="16"/>
  <c r="AB31" i="16" s="1"/>
  <c r="X30" i="16"/>
  <c r="AD30" i="16" s="1"/>
  <c r="W30" i="16"/>
  <c r="AC30" i="16" s="1"/>
  <c r="V30" i="16"/>
  <c r="AB30" i="16" s="1"/>
  <c r="X29" i="16"/>
  <c r="AD29" i="16" s="1"/>
  <c r="W29" i="16"/>
  <c r="AC29" i="16" s="1"/>
  <c r="V29" i="16"/>
  <c r="AB29" i="16" s="1"/>
  <c r="X28" i="16"/>
  <c r="AD28" i="16" s="1"/>
  <c r="W28" i="16"/>
  <c r="AC28" i="16" s="1"/>
  <c r="V28" i="16"/>
  <c r="AB28" i="16" s="1"/>
  <c r="X27" i="16"/>
  <c r="AD27" i="16" s="1"/>
  <c r="W27" i="16"/>
  <c r="AC27" i="16" s="1"/>
  <c r="V27" i="16"/>
  <c r="AB27" i="16" s="1"/>
  <c r="X26" i="16"/>
  <c r="AD26" i="16" s="1"/>
  <c r="W26" i="16"/>
  <c r="AC26" i="16" s="1"/>
  <c r="V26" i="16"/>
  <c r="AB26" i="16" s="1"/>
  <c r="X25" i="16"/>
  <c r="AD25" i="16" s="1"/>
  <c r="W25" i="16"/>
  <c r="AC25" i="16" s="1"/>
  <c r="V25" i="16"/>
  <c r="AB25" i="16" s="1"/>
  <c r="X24" i="16"/>
  <c r="AD24" i="16" s="1"/>
  <c r="W24" i="16"/>
  <c r="AC24" i="16" s="1"/>
  <c r="V24" i="16"/>
  <c r="AB24" i="16" s="1"/>
  <c r="X23" i="16"/>
  <c r="AD23" i="16" s="1"/>
  <c r="W23" i="16"/>
  <c r="AC23" i="16" s="1"/>
  <c r="V23" i="16"/>
  <c r="AB23" i="16" s="1"/>
  <c r="X22" i="16"/>
  <c r="AD22" i="16" s="1"/>
  <c r="W22" i="16"/>
  <c r="AC22" i="16" s="1"/>
  <c r="V22" i="16"/>
  <c r="AB22" i="16" s="1"/>
  <c r="X21" i="16"/>
  <c r="AD21" i="16" s="1"/>
  <c r="W21" i="16"/>
  <c r="AC21" i="16" s="1"/>
  <c r="V21" i="16"/>
  <c r="AB21" i="16" s="1"/>
  <c r="X20" i="16"/>
  <c r="AD20" i="16" s="1"/>
  <c r="W20" i="16"/>
  <c r="V20" i="16"/>
  <c r="AB20" i="16" s="1"/>
  <c r="X19" i="16"/>
  <c r="AD19" i="16" s="1"/>
  <c r="W19" i="16"/>
  <c r="AC19" i="16" s="1"/>
  <c r="V19" i="16"/>
  <c r="X18" i="16"/>
  <c r="AD18" i="16" s="1"/>
  <c r="W18" i="16"/>
  <c r="AC18" i="16" s="1"/>
  <c r="V18" i="16"/>
  <c r="AB18" i="16" s="1"/>
  <c r="X17" i="16"/>
  <c r="AD17" i="16" s="1"/>
  <c r="W17" i="16"/>
  <c r="AC17" i="16" s="1"/>
  <c r="V17" i="16"/>
  <c r="AB17" i="16" s="1"/>
  <c r="X16" i="16"/>
  <c r="AD16" i="16" s="1"/>
  <c r="W16" i="16"/>
  <c r="AC16" i="16" s="1"/>
  <c r="V16" i="16"/>
  <c r="AB16" i="16" s="1"/>
  <c r="X15" i="16"/>
  <c r="AD15" i="16" s="1"/>
  <c r="W15" i="16"/>
  <c r="AC15" i="16" s="1"/>
  <c r="V15" i="16"/>
  <c r="AB15" i="16" s="1"/>
  <c r="X14" i="16"/>
  <c r="AD14" i="16" s="1"/>
  <c r="W14" i="16"/>
  <c r="AC14" i="16" s="1"/>
  <c r="V14" i="16"/>
  <c r="AB14" i="16" s="1"/>
  <c r="X13" i="16"/>
  <c r="AD13" i="16" s="1"/>
  <c r="W13" i="16"/>
  <c r="AC13" i="16" s="1"/>
  <c r="V13" i="16"/>
  <c r="AB13" i="16" s="1"/>
  <c r="X12" i="16"/>
  <c r="AD12" i="16" s="1"/>
  <c r="W12" i="16"/>
  <c r="AC12" i="16" s="1"/>
  <c r="V12" i="16"/>
  <c r="AB12" i="16" s="1"/>
  <c r="X11" i="16"/>
  <c r="AD11" i="16" s="1"/>
  <c r="W11" i="16"/>
  <c r="AC11" i="16" s="1"/>
  <c r="V11" i="16"/>
  <c r="AB11" i="16" s="1"/>
  <c r="X10" i="16"/>
  <c r="AD10" i="16" s="1"/>
  <c r="W10" i="16"/>
  <c r="AC10" i="16" s="1"/>
  <c r="V10" i="16"/>
  <c r="AB10" i="16" s="1"/>
  <c r="X9" i="16"/>
  <c r="AD9" i="16" s="1"/>
  <c r="W9" i="16"/>
  <c r="AC9" i="16" s="1"/>
  <c r="V9" i="16"/>
  <c r="AB9" i="16" s="1"/>
  <c r="X8" i="16"/>
  <c r="AD8" i="16" s="1"/>
  <c r="W8" i="16"/>
  <c r="AC8" i="16" s="1"/>
  <c r="V8" i="16"/>
  <c r="AB8" i="16" s="1"/>
  <c r="X7" i="16"/>
  <c r="AD7" i="16" s="1"/>
  <c r="W7" i="16"/>
  <c r="AC7" i="16" s="1"/>
  <c r="V7" i="16"/>
  <c r="AB7" i="16" s="1"/>
  <c r="X6" i="16"/>
  <c r="AD6" i="16" s="1"/>
  <c r="W6" i="16"/>
  <c r="AC6" i="16" s="1"/>
  <c r="V6" i="16"/>
  <c r="AB6" i="16" s="1"/>
  <c r="X5" i="16"/>
  <c r="AD5" i="16" s="1"/>
  <c r="W5" i="16"/>
  <c r="AC5" i="16" s="1"/>
  <c r="V5" i="16"/>
  <c r="AB5" i="16" s="1"/>
  <c r="X4" i="16"/>
  <c r="AD4" i="16" s="1"/>
  <c r="W4" i="16"/>
  <c r="AC4" i="16" s="1"/>
  <c r="V4" i="16"/>
  <c r="AB4" i="16" s="1"/>
  <c r="X3" i="16"/>
  <c r="AD3" i="16" s="1"/>
  <c r="W3" i="16"/>
  <c r="AC3" i="16" s="1"/>
  <c r="V3" i="16"/>
  <c r="AB3" i="16" s="1"/>
  <c r="X2" i="16"/>
  <c r="AD2" i="16" s="1"/>
  <c r="W2" i="16"/>
  <c r="AC2" i="16" s="1"/>
  <c r="V2" i="16"/>
  <c r="AB2" i="16" s="1"/>
  <c r="AD51" i="6"/>
  <c r="AB51" i="6"/>
  <c r="AA51" i="6"/>
  <c r="Z51" i="6"/>
  <c r="Z51" i="7" s="1"/>
  <c r="X51" i="6"/>
  <c r="W51" i="6"/>
  <c r="V51" i="6"/>
  <c r="U51" i="6"/>
  <c r="AD50" i="6"/>
  <c r="AB50" i="6"/>
  <c r="AA50" i="6"/>
  <c r="Z50" i="6"/>
  <c r="X50" i="6"/>
  <c r="W50" i="6"/>
  <c r="V50" i="6"/>
  <c r="U50" i="6"/>
  <c r="AD49" i="6"/>
  <c r="AB49" i="6"/>
  <c r="AA49" i="6"/>
  <c r="Z49" i="6"/>
  <c r="X49" i="6"/>
  <c r="W49" i="6"/>
  <c r="V49" i="6"/>
  <c r="U49" i="6"/>
  <c r="AD48" i="6"/>
  <c r="AB48" i="6"/>
  <c r="AA48" i="6"/>
  <c r="AA48" i="7" s="1"/>
  <c r="Z48" i="6"/>
  <c r="X48" i="6"/>
  <c r="W48" i="6"/>
  <c r="V48" i="6"/>
  <c r="U48" i="6"/>
  <c r="AD47" i="6"/>
  <c r="AB47" i="6"/>
  <c r="AA47" i="6"/>
  <c r="Z47" i="6"/>
  <c r="Z47" i="7" s="1"/>
  <c r="X47" i="6"/>
  <c r="W47" i="6"/>
  <c r="V47" i="6"/>
  <c r="U47" i="6"/>
  <c r="AD46" i="6"/>
  <c r="AB46" i="6"/>
  <c r="AA46" i="6"/>
  <c r="Z46" i="6"/>
  <c r="X46" i="6"/>
  <c r="W46" i="6"/>
  <c r="V46" i="6"/>
  <c r="U46" i="6"/>
  <c r="AD45" i="6"/>
  <c r="AB45" i="6"/>
  <c r="AA45" i="6"/>
  <c r="Z45" i="6"/>
  <c r="X45" i="6"/>
  <c r="W45" i="6"/>
  <c r="V45" i="6"/>
  <c r="U45" i="6"/>
  <c r="AD44" i="6"/>
  <c r="AB44" i="6"/>
  <c r="AA44" i="6"/>
  <c r="AA44" i="7" s="1"/>
  <c r="Z44" i="6"/>
  <c r="X44" i="6"/>
  <c r="W44" i="6"/>
  <c r="V44" i="6"/>
  <c r="U44" i="6"/>
  <c r="AD43" i="6"/>
  <c r="AB43" i="6"/>
  <c r="AA43" i="6"/>
  <c r="AA43" i="7" s="1"/>
  <c r="Z43" i="6"/>
  <c r="X43" i="6"/>
  <c r="W43" i="6"/>
  <c r="V43" i="6"/>
  <c r="U43" i="6"/>
  <c r="AD42" i="6"/>
  <c r="AB42" i="6"/>
  <c r="AA42" i="6"/>
  <c r="Z42" i="6"/>
  <c r="Z42" i="7" s="1"/>
  <c r="X42" i="6"/>
  <c r="W42" i="6"/>
  <c r="V42" i="6"/>
  <c r="U42" i="6"/>
  <c r="AD41" i="6"/>
  <c r="AB41" i="6"/>
  <c r="AA41" i="6"/>
  <c r="Z41" i="6"/>
  <c r="X41" i="6"/>
  <c r="W41" i="6"/>
  <c r="V41" i="6"/>
  <c r="U41" i="6"/>
  <c r="AD40" i="6"/>
  <c r="AB40" i="6"/>
  <c r="AA40" i="6"/>
  <c r="Z40" i="6"/>
  <c r="X40" i="6"/>
  <c r="W40" i="6"/>
  <c r="V40" i="6"/>
  <c r="U40" i="6"/>
  <c r="AD39" i="6"/>
  <c r="AB39" i="6"/>
  <c r="AA39" i="6"/>
  <c r="AA39" i="7" s="1"/>
  <c r="Z39" i="6"/>
  <c r="X39" i="6"/>
  <c r="W39" i="6"/>
  <c r="V39" i="6"/>
  <c r="U39" i="6"/>
  <c r="AD38" i="6"/>
  <c r="AB38" i="6"/>
  <c r="AA38" i="6"/>
  <c r="Z38" i="6"/>
  <c r="Z38" i="7" s="1"/>
  <c r="X38" i="6"/>
  <c r="W38" i="6"/>
  <c r="V38" i="6"/>
  <c r="U38" i="6"/>
  <c r="AD37" i="6"/>
  <c r="AB37" i="6"/>
  <c r="AA37" i="6"/>
  <c r="Z37" i="6"/>
  <c r="X37" i="6"/>
  <c r="W37" i="6"/>
  <c r="V37" i="6"/>
  <c r="U37" i="6"/>
  <c r="AD36" i="6"/>
  <c r="AB36" i="6"/>
  <c r="AA36" i="6"/>
  <c r="Z36" i="6"/>
  <c r="X36" i="6"/>
  <c r="W36" i="6"/>
  <c r="V36" i="6"/>
  <c r="U36" i="6"/>
  <c r="AD35" i="6"/>
  <c r="AB35" i="6"/>
  <c r="AA35" i="6"/>
  <c r="Z35" i="6"/>
  <c r="X35" i="6"/>
  <c r="W35" i="6"/>
  <c r="V35" i="6"/>
  <c r="U35" i="6"/>
  <c r="AD34" i="6"/>
  <c r="AB34" i="6"/>
  <c r="AA34" i="6"/>
  <c r="AA34" i="7" s="1"/>
  <c r="Z34" i="6"/>
  <c r="X34" i="6"/>
  <c r="W34" i="6"/>
  <c r="V34" i="6"/>
  <c r="U34" i="6"/>
  <c r="AD33" i="6"/>
  <c r="AB33" i="6"/>
  <c r="AA33" i="6"/>
  <c r="Z33" i="6"/>
  <c r="Z33" i="7" s="1"/>
  <c r="X33" i="6"/>
  <c r="W33" i="6"/>
  <c r="V33" i="6"/>
  <c r="U33" i="6"/>
  <c r="AD32" i="6"/>
  <c r="AB32" i="6"/>
  <c r="AA32" i="6"/>
  <c r="Z32" i="6"/>
  <c r="X32" i="6"/>
  <c r="W32" i="6"/>
  <c r="V32" i="6"/>
  <c r="U32" i="6"/>
  <c r="AD31" i="6"/>
  <c r="AB31" i="6"/>
  <c r="AA31" i="6"/>
  <c r="Z31" i="6"/>
  <c r="X31" i="6"/>
  <c r="W31" i="6"/>
  <c r="V31" i="6"/>
  <c r="U31" i="6"/>
  <c r="AD30" i="6"/>
  <c r="AB30" i="6"/>
  <c r="AA30" i="6"/>
  <c r="AA30" i="7" s="1"/>
  <c r="Z30" i="6"/>
  <c r="X30" i="6"/>
  <c r="W30" i="6"/>
  <c r="V30" i="6"/>
  <c r="U30" i="6"/>
  <c r="AD29" i="6"/>
  <c r="AB29" i="6"/>
  <c r="AA29" i="6"/>
  <c r="Z29" i="6"/>
  <c r="Z29" i="7" s="1"/>
  <c r="X29" i="6"/>
  <c r="W29" i="6"/>
  <c r="V29" i="6"/>
  <c r="U29" i="6"/>
  <c r="AD28" i="6"/>
  <c r="AB28" i="6"/>
  <c r="AA28" i="6"/>
  <c r="Z28" i="6"/>
  <c r="X28" i="6"/>
  <c r="W28" i="6"/>
  <c r="V28" i="6"/>
  <c r="U28" i="6"/>
  <c r="AD27" i="6"/>
  <c r="AB27" i="6"/>
  <c r="AA27" i="6"/>
  <c r="Z27" i="6"/>
  <c r="X27" i="6"/>
  <c r="W27" i="6"/>
  <c r="V27" i="6"/>
  <c r="U27" i="6"/>
  <c r="AD26" i="6"/>
  <c r="AB26" i="6"/>
  <c r="AA26" i="6"/>
  <c r="AA26" i="7" s="1"/>
  <c r="Z26" i="6"/>
  <c r="X26" i="6"/>
  <c r="W26" i="6"/>
  <c r="V26" i="6"/>
  <c r="U26" i="6"/>
  <c r="AD25" i="6"/>
  <c r="AC25" i="6"/>
  <c r="AB25" i="6"/>
  <c r="AA25" i="6"/>
  <c r="Z25" i="6"/>
  <c r="Y25" i="6"/>
  <c r="X25" i="6"/>
  <c r="W25" i="6"/>
  <c r="V25" i="6"/>
  <c r="U25" i="6"/>
  <c r="AD24" i="6"/>
  <c r="AB24" i="6"/>
  <c r="AA24" i="6"/>
  <c r="Z24" i="6"/>
  <c r="Z24" i="7" s="1"/>
  <c r="X24" i="6"/>
  <c r="W24" i="6"/>
  <c r="V24" i="6"/>
  <c r="U24" i="6"/>
  <c r="AD23" i="6"/>
  <c r="AB23" i="6"/>
  <c r="AA23" i="6"/>
  <c r="Z23" i="6"/>
  <c r="Z23" i="7" s="1"/>
  <c r="X23" i="6"/>
  <c r="W23" i="6"/>
  <c r="V23" i="6"/>
  <c r="U23" i="6"/>
  <c r="AD22" i="6"/>
  <c r="AB22" i="6"/>
  <c r="AA22" i="6"/>
  <c r="Z22" i="6"/>
  <c r="X22" i="6"/>
  <c r="W22" i="6"/>
  <c r="V22" i="6"/>
  <c r="U22" i="6"/>
  <c r="AD21" i="6"/>
  <c r="AB21" i="6"/>
  <c r="AA21" i="6"/>
  <c r="Z21" i="6"/>
  <c r="X21" i="6"/>
  <c r="W21" i="6"/>
  <c r="V21" i="6"/>
  <c r="U21" i="6"/>
  <c r="AD20" i="6"/>
  <c r="AC20" i="6"/>
  <c r="AB20" i="6"/>
  <c r="AA20" i="6"/>
  <c r="AA20" i="7" s="1"/>
  <c r="Z20" i="6"/>
  <c r="Z20" i="7" s="1"/>
  <c r="Y20" i="6"/>
  <c r="X20" i="6"/>
  <c r="W20" i="6"/>
  <c r="V20" i="6"/>
  <c r="U20" i="6"/>
  <c r="AD19" i="6"/>
  <c r="AC19" i="6"/>
  <c r="AB19" i="6"/>
  <c r="AA19" i="6"/>
  <c r="Z19" i="6"/>
  <c r="Y19" i="6"/>
  <c r="X19" i="6"/>
  <c r="W19" i="6"/>
  <c r="V19" i="6"/>
  <c r="U19" i="6"/>
  <c r="AD18" i="6"/>
  <c r="AC18" i="6"/>
  <c r="AB18" i="6"/>
  <c r="AA18" i="6"/>
  <c r="Z18" i="6"/>
  <c r="Y18" i="6"/>
  <c r="X18" i="6"/>
  <c r="W18" i="6"/>
  <c r="V18" i="6"/>
  <c r="U18" i="6"/>
  <c r="AD17" i="6"/>
  <c r="AC17" i="6"/>
  <c r="AB17" i="6"/>
  <c r="AA17" i="6"/>
  <c r="AA17" i="7" s="1"/>
  <c r="Z17" i="6"/>
  <c r="Y17" i="6"/>
  <c r="X17" i="6"/>
  <c r="W17" i="6"/>
  <c r="V17" i="6"/>
  <c r="U17" i="6"/>
  <c r="AD16" i="6"/>
  <c r="AC16" i="6"/>
  <c r="AB16" i="6"/>
  <c r="AA16" i="6"/>
  <c r="AA16" i="7" s="1"/>
  <c r="Z16" i="6"/>
  <c r="Z16" i="7" s="1"/>
  <c r="Y16" i="6"/>
  <c r="X16" i="6"/>
  <c r="W16" i="6"/>
  <c r="V16" i="6"/>
  <c r="U16" i="6"/>
  <c r="AD15" i="6"/>
  <c r="AC15" i="6"/>
  <c r="AB15" i="6"/>
  <c r="AA15" i="6"/>
  <c r="Z15" i="6"/>
  <c r="Y15" i="6"/>
  <c r="X15" i="6"/>
  <c r="W15" i="6"/>
  <c r="V15" i="6"/>
  <c r="U15" i="6"/>
  <c r="AD14" i="6"/>
  <c r="AC14" i="6"/>
  <c r="AB14" i="6"/>
  <c r="AA14" i="6"/>
  <c r="AA14" i="7" s="1"/>
  <c r="Z14" i="6"/>
  <c r="Y14" i="6"/>
  <c r="X14" i="6"/>
  <c r="W14" i="6"/>
  <c r="V14" i="6"/>
  <c r="U14" i="6"/>
  <c r="AD13" i="6"/>
  <c r="AC13" i="6"/>
  <c r="AB13" i="6"/>
  <c r="AA13" i="6"/>
  <c r="Z13" i="6"/>
  <c r="Y13" i="6"/>
  <c r="X13" i="6"/>
  <c r="W13" i="6"/>
  <c r="V13" i="6"/>
  <c r="U13" i="6"/>
  <c r="AD12" i="6"/>
  <c r="AC12" i="6"/>
  <c r="AB12" i="6"/>
  <c r="AA12" i="6"/>
  <c r="AA12" i="7" s="1"/>
  <c r="Z12" i="6"/>
  <c r="Y12" i="6"/>
  <c r="X12" i="6"/>
  <c r="W12" i="6"/>
  <c r="V12" i="6"/>
  <c r="U12" i="6"/>
  <c r="AD11" i="6"/>
  <c r="AC11" i="6"/>
  <c r="AB11" i="6"/>
  <c r="AA11" i="6"/>
  <c r="Z11" i="6"/>
  <c r="Y11" i="6"/>
  <c r="X11" i="6"/>
  <c r="W11" i="6"/>
  <c r="V11" i="6"/>
  <c r="U11" i="6"/>
  <c r="AD10" i="6"/>
  <c r="AC10" i="6"/>
  <c r="AB10" i="6"/>
  <c r="AA10" i="6"/>
  <c r="AA10" i="7" s="1"/>
  <c r="Z10" i="6"/>
  <c r="Y10" i="6"/>
  <c r="X10" i="6"/>
  <c r="W10" i="6"/>
  <c r="V10" i="6"/>
  <c r="U10" i="6"/>
  <c r="AD9" i="6"/>
  <c r="AC9" i="6"/>
  <c r="AB9" i="6"/>
  <c r="AA9" i="6"/>
  <c r="Z9" i="6"/>
  <c r="Y9" i="6"/>
  <c r="X9" i="6"/>
  <c r="W9" i="6"/>
  <c r="V9" i="6"/>
  <c r="U9" i="6"/>
  <c r="AD8" i="6"/>
  <c r="AC8" i="6"/>
  <c r="AB8" i="6"/>
  <c r="AA8" i="6"/>
  <c r="AA8" i="7" s="1"/>
  <c r="Z8" i="6"/>
  <c r="Y8" i="6"/>
  <c r="X8" i="6"/>
  <c r="W8" i="6"/>
  <c r="V8" i="6"/>
  <c r="U8" i="6"/>
  <c r="AD7" i="6"/>
  <c r="AC7" i="6"/>
  <c r="AB7" i="6"/>
  <c r="AA7" i="6"/>
  <c r="Z7" i="6"/>
  <c r="Y7" i="6"/>
  <c r="X7" i="6"/>
  <c r="W7" i="6"/>
  <c r="V7" i="6"/>
  <c r="U7" i="6"/>
  <c r="AD6" i="6"/>
  <c r="AC6" i="6"/>
  <c r="AB6" i="6"/>
  <c r="AA6" i="6"/>
  <c r="AA6" i="7" s="1"/>
  <c r="Z6" i="6"/>
  <c r="Y6" i="6"/>
  <c r="X6" i="6"/>
  <c r="W6" i="6"/>
  <c r="V6" i="6"/>
  <c r="U6" i="6"/>
  <c r="AD5" i="6"/>
  <c r="AC5" i="6"/>
  <c r="AB5" i="6"/>
  <c r="AA5" i="6"/>
  <c r="Z5" i="6"/>
  <c r="Y5" i="6"/>
  <c r="X5" i="6"/>
  <c r="W5" i="6"/>
  <c r="V5" i="6"/>
  <c r="U5" i="6"/>
  <c r="AP51" i="14"/>
  <c r="AC51" i="14"/>
  <c r="AC51" i="6" s="1"/>
  <c r="Y51" i="14"/>
  <c r="Y51" i="6" s="1"/>
  <c r="AP50" i="14"/>
  <c r="AC50" i="14"/>
  <c r="AC50" i="6" s="1"/>
  <c r="Y50" i="14"/>
  <c r="Y50" i="6" s="1"/>
  <c r="AP49" i="14"/>
  <c r="AC49" i="14"/>
  <c r="AC49" i="6" s="1"/>
  <c r="Y49" i="14"/>
  <c r="Y49" i="6" s="1"/>
  <c r="AP48" i="14"/>
  <c r="AC48" i="14"/>
  <c r="AC48" i="6" s="1"/>
  <c r="Y48" i="14"/>
  <c r="Y48" i="6" s="1"/>
  <c r="AP47" i="14"/>
  <c r="AC47" i="14"/>
  <c r="AC47" i="6" s="1"/>
  <c r="Y47" i="14"/>
  <c r="Y47" i="6" s="1"/>
  <c r="AP46" i="14"/>
  <c r="AC46" i="14"/>
  <c r="AC46" i="6" s="1"/>
  <c r="Y46" i="14"/>
  <c r="Y46" i="6" s="1"/>
  <c r="AP45" i="14"/>
  <c r="AC45" i="14"/>
  <c r="AC45" i="6" s="1"/>
  <c r="Y45" i="14"/>
  <c r="Y45" i="6" s="1"/>
  <c r="AP44" i="14"/>
  <c r="AC44" i="14"/>
  <c r="AC44" i="6" s="1"/>
  <c r="Y44" i="14"/>
  <c r="Y44" i="6" s="1"/>
  <c r="AP43" i="14"/>
  <c r="AC43" i="14"/>
  <c r="AC43" i="6" s="1"/>
  <c r="Y43" i="14"/>
  <c r="Y43" i="6" s="1"/>
  <c r="AP42" i="14"/>
  <c r="AC42" i="14"/>
  <c r="AC42" i="6" s="1"/>
  <c r="Y42" i="14"/>
  <c r="Y42" i="6" s="1"/>
  <c r="AP41" i="14"/>
  <c r="AC41" i="14"/>
  <c r="AC41" i="6" s="1"/>
  <c r="Y41" i="14"/>
  <c r="Y41" i="6" s="1"/>
  <c r="AP40" i="14"/>
  <c r="AC40" i="14"/>
  <c r="AC40" i="6" s="1"/>
  <c r="Y40" i="14"/>
  <c r="Y40" i="6" s="1"/>
  <c r="AP39" i="14"/>
  <c r="AC39" i="14"/>
  <c r="AC39" i="6" s="1"/>
  <c r="Y39" i="14"/>
  <c r="Y39" i="6" s="1"/>
  <c r="AP38" i="14"/>
  <c r="AC38" i="14"/>
  <c r="AC38" i="6" s="1"/>
  <c r="Y38" i="14"/>
  <c r="Y38" i="6" s="1"/>
  <c r="AP37" i="14"/>
  <c r="AC37" i="14"/>
  <c r="AC37" i="6" s="1"/>
  <c r="Y37" i="14"/>
  <c r="Y37" i="6" s="1"/>
  <c r="AP36" i="14"/>
  <c r="AC36" i="14"/>
  <c r="AC36" i="6" s="1"/>
  <c r="Y36" i="14"/>
  <c r="Y36" i="6" s="1"/>
  <c r="AP35" i="14"/>
  <c r="AC35" i="14"/>
  <c r="AC35" i="6" s="1"/>
  <c r="Y35" i="14"/>
  <c r="Y35" i="6" s="1"/>
  <c r="AP34" i="14"/>
  <c r="AC34" i="14"/>
  <c r="AC34" i="6" s="1"/>
  <c r="Y34" i="14"/>
  <c r="Y34" i="6" s="1"/>
  <c r="AP33" i="14"/>
  <c r="AC33" i="14"/>
  <c r="AC33" i="6" s="1"/>
  <c r="Y33" i="14"/>
  <c r="Y33" i="6" s="1"/>
  <c r="AP32" i="14"/>
  <c r="AC32" i="14"/>
  <c r="AC32" i="6" s="1"/>
  <c r="Y32" i="14"/>
  <c r="Y32" i="6" s="1"/>
  <c r="AP31" i="14"/>
  <c r="AC31" i="14"/>
  <c r="AC31" i="6" s="1"/>
  <c r="Y31" i="14"/>
  <c r="Y31" i="6" s="1"/>
  <c r="AP30" i="14"/>
  <c r="AC30" i="14"/>
  <c r="AC30" i="6" s="1"/>
  <c r="Y30" i="14"/>
  <c r="Y30" i="6" s="1"/>
  <c r="AP29" i="14"/>
  <c r="AC29" i="14"/>
  <c r="AC29" i="6" s="1"/>
  <c r="Y29" i="14"/>
  <c r="Y29" i="6" s="1"/>
  <c r="AP28" i="14"/>
  <c r="AC28" i="14"/>
  <c r="AC28" i="6" s="1"/>
  <c r="Y28" i="14"/>
  <c r="Y28" i="6" s="1"/>
  <c r="AP27" i="14"/>
  <c r="AC27" i="14"/>
  <c r="AC27" i="6" s="1"/>
  <c r="Y27" i="14"/>
  <c r="Y27" i="6" s="1"/>
  <c r="AP26" i="14"/>
  <c r="AC26" i="14"/>
  <c r="AC26" i="6" s="1"/>
  <c r="Y26" i="14"/>
  <c r="Y26" i="6" s="1"/>
  <c r="AP24" i="14"/>
  <c r="AC24" i="14"/>
  <c r="AC24" i="6" s="1"/>
  <c r="Y24" i="14"/>
  <c r="Y24" i="6" s="1"/>
  <c r="AP23" i="14"/>
  <c r="AC23" i="14"/>
  <c r="AC23" i="6" s="1"/>
  <c r="Y23" i="14"/>
  <c r="Y23" i="6" s="1"/>
  <c r="AP22" i="14"/>
  <c r="AC22" i="14"/>
  <c r="AC22" i="6" s="1"/>
  <c r="Y22" i="14"/>
  <c r="Y22" i="6" s="1"/>
  <c r="AP21" i="14"/>
  <c r="AC21" i="14"/>
  <c r="AC21" i="6" s="1"/>
  <c r="Y21" i="14"/>
  <c r="Y21" i="6" s="1"/>
  <c r="W47" i="13"/>
  <c r="U47" i="13"/>
  <c r="S47" i="13"/>
  <c r="O47" i="13"/>
  <c r="N47" i="13"/>
  <c r="M47" i="13"/>
  <c r="U46" i="13"/>
  <c r="T46" i="13"/>
  <c r="S46" i="13"/>
  <c r="O46" i="13"/>
  <c r="N46" i="13"/>
  <c r="M46" i="13"/>
  <c r="W45" i="13"/>
  <c r="U45" i="13"/>
  <c r="T45" i="13"/>
  <c r="S45" i="13"/>
  <c r="O45" i="13"/>
  <c r="N45" i="13"/>
  <c r="M45" i="13"/>
  <c r="W47" i="12"/>
  <c r="U47" i="12"/>
  <c r="S47" i="12"/>
  <c r="O47" i="12"/>
  <c r="N47" i="12"/>
  <c r="M47" i="12"/>
  <c r="U46" i="12"/>
  <c r="T46" i="12"/>
  <c r="S46" i="12"/>
  <c r="O46" i="12"/>
  <c r="N46" i="12"/>
  <c r="M46" i="12"/>
  <c r="W45" i="12"/>
  <c r="U45" i="12"/>
  <c r="U49" i="12" s="1"/>
  <c r="T45" i="12"/>
  <c r="T49" i="12" s="1"/>
  <c r="S45" i="12"/>
  <c r="S49" i="12" s="1"/>
  <c r="O45" i="12"/>
  <c r="O49" i="12" s="1"/>
  <c r="N45" i="12"/>
  <c r="N49" i="12" s="1"/>
  <c r="M45" i="12"/>
  <c r="M49" i="12" s="1"/>
  <c r="X42" i="11"/>
  <c r="X41" i="11"/>
  <c r="X40" i="11"/>
  <c r="X39" i="11"/>
  <c r="X38" i="11"/>
  <c r="X37" i="11"/>
  <c r="X36" i="11"/>
  <c r="X35" i="11"/>
  <c r="X34" i="11"/>
  <c r="X33" i="11"/>
  <c r="X32" i="11"/>
  <c r="X31" i="11"/>
  <c r="X30" i="11"/>
  <c r="X29" i="11"/>
  <c r="X28" i="11"/>
  <c r="X27" i="11"/>
  <c r="X26" i="11"/>
  <c r="X25" i="11"/>
  <c r="X24" i="11"/>
  <c r="X23" i="11"/>
  <c r="X22" i="11"/>
  <c r="X21" i="11"/>
  <c r="X20" i="11"/>
  <c r="X19" i="11"/>
  <c r="X18" i="11"/>
  <c r="X17" i="11"/>
  <c r="X16" i="11"/>
  <c r="X15" i="11"/>
  <c r="X14" i="11"/>
  <c r="X13" i="11"/>
  <c r="X12" i="11"/>
  <c r="X11" i="11"/>
  <c r="X10" i="11"/>
  <c r="X9" i="11"/>
  <c r="X8" i="11"/>
  <c r="X7" i="11"/>
  <c r="X6" i="11"/>
  <c r="X5" i="11"/>
  <c r="W47" i="11"/>
  <c r="U47" i="11"/>
  <c r="S47" i="11"/>
  <c r="O47" i="11"/>
  <c r="N47" i="11"/>
  <c r="M47" i="11"/>
  <c r="U46" i="11"/>
  <c r="T46" i="11"/>
  <c r="S46" i="11"/>
  <c r="O46" i="11"/>
  <c r="N46" i="11"/>
  <c r="M46" i="11"/>
  <c r="W45" i="11"/>
  <c r="U45" i="11"/>
  <c r="U49" i="11" s="1"/>
  <c r="T45" i="11"/>
  <c r="T49" i="11" s="1"/>
  <c r="S45" i="11"/>
  <c r="S49" i="11" s="1"/>
  <c r="O45" i="11"/>
  <c r="O49" i="11" s="1"/>
  <c r="N45" i="11"/>
  <c r="N49" i="11" s="1"/>
  <c r="M45" i="11"/>
  <c r="M49" i="11" s="1"/>
  <c r="Z47" i="10"/>
  <c r="W47" i="10"/>
  <c r="W45" i="10"/>
  <c r="U47" i="10"/>
  <c r="U46" i="10"/>
  <c r="U45" i="10"/>
  <c r="T46" i="10"/>
  <c r="T45" i="10"/>
  <c r="S47" i="10"/>
  <c r="S46" i="10"/>
  <c r="S45" i="10"/>
  <c r="Q48" i="10"/>
  <c r="O47" i="10"/>
  <c r="O46" i="10"/>
  <c r="O45" i="10"/>
  <c r="N47" i="10"/>
  <c r="N46" i="10"/>
  <c r="N45" i="10"/>
  <c r="M47" i="10"/>
  <c r="M46" i="10"/>
  <c r="M45" i="10"/>
  <c r="Y42" i="10"/>
  <c r="Y41" i="10"/>
  <c r="Y40" i="10"/>
  <c r="Y39" i="10"/>
  <c r="Y38" i="10"/>
  <c r="Y37" i="10"/>
  <c r="Y36" i="10"/>
  <c r="Y35" i="10"/>
  <c r="Y34" i="10"/>
  <c r="Y33" i="10"/>
  <c r="Y32" i="10"/>
  <c r="Y31" i="10"/>
  <c r="Y30" i="10"/>
  <c r="Y29" i="10"/>
  <c r="Y28" i="10"/>
  <c r="Y27" i="10"/>
  <c r="Y26" i="10"/>
  <c r="Y25" i="10"/>
  <c r="Y24" i="10"/>
  <c r="Y23" i="10"/>
  <c r="Y22" i="10"/>
  <c r="Y21" i="10"/>
  <c r="Y20" i="10"/>
  <c r="Y19" i="10"/>
  <c r="Y18" i="10"/>
  <c r="Y17" i="10"/>
  <c r="Y15" i="10"/>
  <c r="Y14" i="10"/>
  <c r="Y13" i="10"/>
  <c r="Y12" i="10"/>
  <c r="U42" i="10"/>
  <c r="U41" i="10"/>
  <c r="U40" i="10"/>
  <c r="U39" i="10"/>
  <c r="U38" i="10"/>
  <c r="U37" i="10"/>
  <c r="U36" i="10"/>
  <c r="U35" i="10"/>
  <c r="U34" i="10"/>
  <c r="U33" i="10"/>
  <c r="U32" i="10"/>
  <c r="U31" i="10"/>
  <c r="U30" i="10"/>
  <c r="U29" i="10"/>
  <c r="U28" i="10"/>
  <c r="U27" i="10"/>
  <c r="U26" i="10"/>
  <c r="U25" i="10"/>
  <c r="U24" i="10"/>
  <c r="U23" i="10"/>
  <c r="U22" i="10"/>
  <c r="U21" i="10"/>
  <c r="U20" i="10"/>
  <c r="U19" i="10"/>
  <c r="U18" i="10"/>
  <c r="U17" i="10"/>
  <c r="U15" i="10"/>
  <c r="U14" i="10"/>
  <c r="U13" i="10"/>
  <c r="U12" i="10"/>
  <c r="T42" i="10"/>
  <c r="T41" i="10"/>
  <c r="T40" i="10"/>
  <c r="T39" i="10"/>
  <c r="T38" i="10"/>
  <c r="T37" i="10"/>
  <c r="T36" i="10"/>
  <c r="T35" i="10"/>
  <c r="T34" i="10"/>
  <c r="T33" i="10"/>
  <c r="T32" i="10"/>
  <c r="T31" i="10"/>
  <c r="T30" i="10"/>
  <c r="T29" i="10"/>
  <c r="T28" i="10"/>
  <c r="T27" i="10"/>
  <c r="T26" i="10"/>
  <c r="T25" i="10"/>
  <c r="T24" i="10"/>
  <c r="T23" i="10"/>
  <c r="T22" i="10"/>
  <c r="T21" i="10"/>
  <c r="T20" i="10"/>
  <c r="T19" i="10"/>
  <c r="T18" i="10"/>
  <c r="T17" i="10"/>
  <c r="T15" i="10"/>
  <c r="T14" i="10"/>
  <c r="T13" i="10"/>
  <c r="T12" i="10"/>
  <c r="S42" i="10"/>
  <c r="S41" i="10"/>
  <c r="S40" i="10"/>
  <c r="S39" i="10"/>
  <c r="S38" i="10"/>
  <c r="S37" i="10"/>
  <c r="S36" i="10"/>
  <c r="S35" i="10"/>
  <c r="S34" i="10"/>
  <c r="S33" i="10"/>
  <c r="S32" i="10"/>
  <c r="S31" i="10"/>
  <c r="S30" i="10"/>
  <c r="S29" i="10"/>
  <c r="S28" i="10"/>
  <c r="S27" i="10"/>
  <c r="S26" i="10"/>
  <c r="S25" i="10"/>
  <c r="S24" i="10"/>
  <c r="S23" i="10"/>
  <c r="S22" i="10"/>
  <c r="S21" i="10"/>
  <c r="S20" i="10"/>
  <c r="S19" i="10"/>
  <c r="S18" i="10"/>
  <c r="S17" i="10"/>
  <c r="S15" i="10"/>
  <c r="S14" i="10"/>
  <c r="S13" i="10"/>
  <c r="S12" i="10"/>
  <c r="Q42" i="10"/>
  <c r="Q41" i="10"/>
  <c r="Q40" i="10"/>
  <c r="Q39" i="10"/>
  <c r="Q38" i="10"/>
  <c r="Q37" i="10"/>
  <c r="Q36" i="10"/>
  <c r="Q35" i="10"/>
  <c r="Q34" i="10"/>
  <c r="Q33" i="10"/>
  <c r="Q32" i="10"/>
  <c r="Q31" i="10"/>
  <c r="Q30" i="10"/>
  <c r="Q29" i="10"/>
  <c r="Q28" i="10"/>
  <c r="Q27" i="10"/>
  <c r="Q26" i="10"/>
  <c r="Q25" i="10"/>
  <c r="Q24" i="10"/>
  <c r="Q23" i="10"/>
  <c r="Q22" i="10"/>
  <c r="Q21" i="10"/>
  <c r="Q20" i="10"/>
  <c r="Q19" i="10"/>
  <c r="Q18" i="10"/>
  <c r="Q17" i="10"/>
  <c r="Q15" i="10"/>
  <c r="Q14" i="10"/>
  <c r="Q13" i="10"/>
  <c r="Q12" i="10"/>
  <c r="O42" i="10"/>
  <c r="O41" i="10"/>
  <c r="O40" i="10"/>
  <c r="O39" i="10"/>
  <c r="O38" i="10"/>
  <c r="O37" i="10"/>
  <c r="O36" i="10"/>
  <c r="O35" i="10"/>
  <c r="O34" i="10"/>
  <c r="O33" i="10"/>
  <c r="O32" i="10"/>
  <c r="O31" i="10"/>
  <c r="O30" i="10"/>
  <c r="O29" i="10"/>
  <c r="O28" i="10"/>
  <c r="O27" i="10"/>
  <c r="O26" i="10"/>
  <c r="O25" i="10"/>
  <c r="O24" i="10"/>
  <c r="O23" i="10"/>
  <c r="O22" i="10"/>
  <c r="O21" i="10"/>
  <c r="O20" i="10"/>
  <c r="O19" i="10"/>
  <c r="O18" i="10"/>
  <c r="O17" i="10"/>
  <c r="O15" i="10"/>
  <c r="O14" i="10"/>
  <c r="O13" i="10"/>
  <c r="O12" i="10"/>
  <c r="N42" i="10"/>
  <c r="N41" i="10"/>
  <c r="N40" i="10"/>
  <c r="N39" i="10"/>
  <c r="N38" i="10"/>
  <c r="N37" i="10"/>
  <c r="N36" i="10"/>
  <c r="N35" i="10"/>
  <c r="N34" i="10"/>
  <c r="N33" i="10"/>
  <c r="N32" i="10"/>
  <c r="N31" i="10"/>
  <c r="N30" i="10"/>
  <c r="N29" i="10"/>
  <c r="N28" i="10"/>
  <c r="N27" i="10"/>
  <c r="N26" i="10"/>
  <c r="N25" i="10"/>
  <c r="N24" i="10"/>
  <c r="N23" i="10"/>
  <c r="N22" i="10"/>
  <c r="N21" i="10"/>
  <c r="N20" i="10"/>
  <c r="N19" i="10"/>
  <c r="N18" i="10"/>
  <c r="N17" i="10"/>
  <c r="N15" i="10"/>
  <c r="N14" i="10"/>
  <c r="N13" i="10"/>
  <c r="N12" i="10"/>
  <c r="M42" i="10"/>
  <c r="M41" i="10"/>
  <c r="M40" i="10"/>
  <c r="M39" i="10"/>
  <c r="M38" i="10"/>
  <c r="M37" i="10"/>
  <c r="M36" i="10"/>
  <c r="M35" i="10"/>
  <c r="M34" i="10"/>
  <c r="M33" i="10"/>
  <c r="M32" i="10"/>
  <c r="M31" i="10"/>
  <c r="M30" i="10"/>
  <c r="M29" i="10"/>
  <c r="M28" i="10"/>
  <c r="M27" i="10"/>
  <c r="M26" i="10"/>
  <c r="M25" i="10"/>
  <c r="M24" i="10"/>
  <c r="M23" i="10"/>
  <c r="M22" i="10"/>
  <c r="M21" i="10"/>
  <c r="M20" i="10"/>
  <c r="M19" i="10"/>
  <c r="M18" i="10"/>
  <c r="M17" i="10"/>
  <c r="M15" i="10"/>
  <c r="M14" i="10"/>
  <c r="M13" i="10"/>
  <c r="M12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5" i="10"/>
  <c r="L14" i="10"/>
  <c r="L13" i="10"/>
  <c r="L12" i="10"/>
  <c r="AK56" i="9"/>
  <c r="AF56" i="9"/>
  <c r="AP54" i="9" s="1"/>
  <c r="AE56" i="9"/>
  <c r="AO54" i="9" s="1"/>
  <c r="AC56" i="9"/>
  <c r="Y56" i="9"/>
  <c r="X56" i="9"/>
  <c r="W56" i="9"/>
  <c r="S56" i="9"/>
  <c r="R56" i="9"/>
  <c r="Q56" i="9"/>
  <c r="P56" i="9"/>
  <c r="O56" i="9"/>
  <c r="M56" i="9"/>
  <c r="L56" i="9"/>
  <c r="AK55" i="9"/>
  <c r="AF55" i="9"/>
  <c r="AC55" i="9"/>
  <c r="AA55" i="9"/>
  <c r="Z55" i="9"/>
  <c r="Y55" i="9"/>
  <c r="X55" i="9"/>
  <c r="W55" i="9"/>
  <c r="V55" i="9"/>
  <c r="U55" i="9"/>
  <c r="S55" i="9"/>
  <c r="R55" i="9"/>
  <c r="Q55" i="9"/>
  <c r="P55" i="9"/>
  <c r="O55" i="9"/>
  <c r="M55" i="9"/>
  <c r="L55" i="9"/>
  <c r="AL57" i="8"/>
  <c r="AG57" i="8"/>
  <c r="AD57" i="8"/>
  <c r="AB57" i="8"/>
  <c r="T57" i="8"/>
  <c r="AK56" i="8"/>
  <c r="AF56" i="8"/>
  <c r="AE56" i="8"/>
  <c r="AC56" i="8"/>
  <c r="Y56" i="8"/>
  <c r="X56" i="8"/>
  <c r="W56" i="8"/>
  <c r="S56" i="8"/>
  <c r="R56" i="8"/>
  <c r="Q56" i="8"/>
  <c r="P56" i="8"/>
  <c r="O56" i="8"/>
  <c r="M56" i="8"/>
  <c r="L56" i="8"/>
  <c r="AK55" i="8"/>
  <c r="AJ55" i="8"/>
  <c r="AF55" i="8"/>
  <c r="AP54" i="8" s="1"/>
  <c r="AC55" i="8"/>
  <c r="AA55" i="8"/>
  <c r="Z55" i="8"/>
  <c r="Y55" i="8"/>
  <c r="X55" i="8"/>
  <c r="W55" i="8"/>
  <c r="V55" i="8"/>
  <c r="U55" i="8"/>
  <c r="S55" i="8"/>
  <c r="R55" i="8"/>
  <c r="Q55" i="8"/>
  <c r="P55" i="8"/>
  <c r="O55" i="8"/>
  <c r="M55" i="8"/>
  <c r="L55" i="8"/>
  <c r="AL57" i="7"/>
  <c r="AG57" i="7"/>
  <c r="AD57" i="7"/>
  <c r="AB57" i="7"/>
  <c r="T57" i="7"/>
  <c r="AG51" i="7"/>
  <c r="AA51" i="7"/>
  <c r="AG50" i="7"/>
  <c r="AA50" i="7"/>
  <c r="Z50" i="7"/>
  <c r="AG49" i="7"/>
  <c r="AA49" i="7"/>
  <c r="Z49" i="7"/>
  <c r="AG48" i="7"/>
  <c r="Z48" i="7"/>
  <c r="AG47" i="7"/>
  <c r="AA47" i="7"/>
  <c r="AG46" i="7"/>
  <c r="AA46" i="7"/>
  <c r="Z46" i="7"/>
  <c r="AG45" i="7"/>
  <c r="AA45" i="7"/>
  <c r="Z45" i="7"/>
  <c r="AG44" i="7"/>
  <c r="Z44" i="7"/>
  <c r="AG43" i="7"/>
  <c r="Z43" i="7"/>
  <c r="AG42" i="7"/>
  <c r="AA42" i="7"/>
  <c r="AG41" i="7"/>
  <c r="AA41" i="7"/>
  <c r="Z41" i="7"/>
  <c r="AG40" i="7"/>
  <c r="AA40" i="7"/>
  <c r="Z40" i="7"/>
  <c r="AG39" i="7"/>
  <c r="Z39" i="7"/>
  <c r="AG38" i="7"/>
  <c r="AA38" i="7"/>
  <c r="AG37" i="7"/>
  <c r="AA37" i="7"/>
  <c r="Z37" i="7"/>
  <c r="AG36" i="7"/>
  <c r="AA36" i="7"/>
  <c r="Z36" i="7"/>
  <c r="AG35" i="7"/>
  <c r="AA35" i="7"/>
  <c r="Z35" i="7"/>
  <c r="AG34" i="7"/>
  <c r="Z34" i="7"/>
  <c r="AG33" i="7"/>
  <c r="AA33" i="7"/>
  <c r="AG32" i="7"/>
  <c r="AA32" i="7"/>
  <c r="Z32" i="7"/>
  <c r="AG31" i="7"/>
  <c r="AA31" i="7"/>
  <c r="Z31" i="7"/>
  <c r="AG30" i="7"/>
  <c r="Z30" i="7"/>
  <c r="AG29" i="7"/>
  <c r="AA29" i="7"/>
  <c r="AG28" i="7"/>
  <c r="AA28" i="7"/>
  <c r="Z28" i="7"/>
  <c r="AG27" i="7"/>
  <c r="AA27" i="7"/>
  <c r="Z27" i="7"/>
  <c r="AG26" i="7"/>
  <c r="Z26" i="7"/>
  <c r="AG25" i="7"/>
  <c r="AA25" i="7"/>
  <c r="Z25" i="7"/>
  <c r="AG24" i="7"/>
  <c r="AA24" i="7"/>
  <c r="AG23" i="7"/>
  <c r="AA23" i="7"/>
  <c r="AG22" i="7"/>
  <c r="AA22" i="7"/>
  <c r="Z22" i="7"/>
  <c r="AG21" i="7"/>
  <c r="AA21" i="7"/>
  <c r="Z21" i="7"/>
  <c r="AG20" i="7"/>
  <c r="AG19" i="7"/>
  <c r="AA19" i="7"/>
  <c r="Z19" i="7"/>
  <c r="AG18" i="7"/>
  <c r="AA18" i="7"/>
  <c r="Z18" i="7"/>
  <c r="AG17" i="7"/>
  <c r="Z17" i="7"/>
  <c r="AG16" i="7"/>
  <c r="AG15" i="7"/>
  <c r="AA15" i="7"/>
  <c r="Z15" i="7"/>
  <c r="AG14" i="7"/>
  <c r="Z14" i="7"/>
  <c r="AG13" i="7"/>
  <c r="AA13" i="7"/>
  <c r="Z13" i="7"/>
  <c r="AG12" i="7"/>
  <c r="Z12" i="7"/>
  <c r="AG11" i="7"/>
  <c r="AA11" i="7"/>
  <c r="Z11" i="7"/>
  <c r="AG10" i="7"/>
  <c r="Z10" i="7"/>
  <c r="AG9" i="7"/>
  <c r="AA9" i="7"/>
  <c r="Z9" i="7"/>
  <c r="AG8" i="7"/>
  <c r="Z8" i="7"/>
  <c r="AG7" i="7"/>
  <c r="AA7" i="7"/>
  <c r="Z7" i="7"/>
  <c r="AG6" i="7"/>
  <c r="Z6" i="7"/>
  <c r="AG5" i="7"/>
  <c r="AA5" i="7"/>
  <c r="Z5" i="7"/>
  <c r="AK56" i="7"/>
  <c r="AF56" i="7"/>
  <c r="AE56" i="7"/>
  <c r="AC56" i="7"/>
  <c r="Y56" i="7"/>
  <c r="X56" i="7"/>
  <c r="W56" i="7"/>
  <c r="U56" i="7"/>
  <c r="S56" i="7"/>
  <c r="R56" i="7"/>
  <c r="Q56" i="7"/>
  <c r="P56" i="7"/>
  <c r="O56" i="7"/>
  <c r="M56" i="7"/>
  <c r="L56" i="7"/>
  <c r="AK55" i="7"/>
  <c r="AJ55" i="7"/>
  <c r="AF55" i="7"/>
  <c r="AC55" i="7"/>
  <c r="AA55" i="7"/>
  <c r="Z55" i="7"/>
  <c r="Y55" i="7"/>
  <c r="X55" i="7"/>
  <c r="W55" i="7"/>
  <c r="V55" i="7"/>
  <c r="U55" i="7"/>
  <c r="S55" i="7"/>
  <c r="R55" i="7"/>
  <c r="Q55" i="7"/>
  <c r="P55" i="7"/>
  <c r="O55" i="7"/>
  <c r="M55" i="7"/>
  <c r="L55" i="7"/>
  <c r="AP51" i="7"/>
  <c r="AP50" i="7"/>
  <c r="AP49" i="7"/>
  <c r="AP48" i="7"/>
  <c r="AP47" i="7"/>
  <c r="AP46" i="7"/>
  <c r="AP45" i="7"/>
  <c r="AP44" i="7"/>
  <c r="AP43" i="7"/>
  <c r="AP42" i="7"/>
  <c r="AP41" i="7"/>
  <c r="AP40" i="7"/>
  <c r="AP39" i="7"/>
  <c r="AP38" i="7"/>
  <c r="AP37" i="7"/>
  <c r="AP36" i="7"/>
  <c r="AP35" i="7"/>
  <c r="AP34" i="7"/>
  <c r="AP33" i="7"/>
  <c r="AP32" i="7"/>
  <c r="AP31" i="7"/>
  <c r="AP30" i="7"/>
  <c r="AP29" i="7"/>
  <c r="AP28" i="7"/>
  <c r="AP27" i="7"/>
  <c r="AP26" i="7"/>
  <c r="AP24" i="7"/>
  <c r="AP23" i="7"/>
  <c r="AP22" i="7"/>
  <c r="AP21" i="7"/>
  <c r="AA56" i="6"/>
  <c r="Z56" i="6"/>
  <c r="AK58" i="6"/>
  <c r="AK57" i="6"/>
  <c r="AK56" i="6"/>
  <c r="AJ57" i="6"/>
  <c r="AI56" i="6"/>
  <c r="AF58" i="6"/>
  <c r="AF57" i="6"/>
  <c r="AF56" i="6"/>
  <c r="AE58" i="6"/>
  <c r="AE56" i="6"/>
  <c r="AC58" i="6"/>
  <c r="AC57" i="6"/>
  <c r="AC56" i="6"/>
  <c r="AA57" i="6"/>
  <c r="Z57" i="6"/>
  <c r="Y58" i="6"/>
  <c r="Y57" i="6"/>
  <c r="X58" i="6"/>
  <c r="X57" i="6"/>
  <c r="X56" i="6"/>
  <c r="W58" i="6"/>
  <c r="W57" i="6"/>
  <c r="W56" i="6"/>
  <c r="V58" i="6"/>
  <c r="V57" i="6"/>
  <c r="U57" i="6"/>
  <c r="U56" i="6"/>
  <c r="S58" i="6"/>
  <c r="S57" i="6"/>
  <c r="S56" i="6"/>
  <c r="R58" i="6"/>
  <c r="R57" i="6"/>
  <c r="R56" i="6"/>
  <c r="Q58" i="6"/>
  <c r="Q57" i="6"/>
  <c r="Q56" i="6"/>
  <c r="Q54" i="7" s="1"/>
  <c r="P58" i="6"/>
  <c r="P57" i="6"/>
  <c r="P56" i="6"/>
  <c r="O58" i="6"/>
  <c r="O57" i="6"/>
  <c r="O56" i="6"/>
  <c r="M58" i="6"/>
  <c r="M57" i="6"/>
  <c r="M56" i="6"/>
  <c r="L58" i="6"/>
  <c r="L57" i="6"/>
  <c r="L56" i="6"/>
  <c r="AK16" i="6"/>
  <c r="AK15" i="6"/>
  <c r="AK10" i="6"/>
  <c r="AK9" i="6"/>
  <c r="AK6" i="6"/>
  <c r="AK5" i="6"/>
  <c r="AH51" i="6"/>
  <c r="AH50" i="6"/>
  <c r="AH49" i="6"/>
  <c r="AH48" i="6"/>
  <c r="AH47" i="6"/>
  <c r="AH46" i="6"/>
  <c r="AH45" i="6"/>
  <c r="AH44" i="6"/>
  <c r="AH43" i="6"/>
  <c r="AH42" i="6"/>
  <c r="AH41" i="6"/>
  <c r="AH40" i="6"/>
  <c r="AH39" i="6"/>
  <c r="AH38" i="6"/>
  <c r="AH37" i="6"/>
  <c r="AH36" i="6"/>
  <c r="AH35" i="6"/>
  <c r="AH34" i="6"/>
  <c r="AH33" i="6"/>
  <c r="AH32" i="6"/>
  <c r="AH31" i="6"/>
  <c r="AH30" i="6"/>
  <c r="AH29" i="6"/>
  <c r="AH28" i="6"/>
  <c r="AH27" i="6"/>
  <c r="AH26" i="6"/>
  <c r="AH24" i="6"/>
  <c r="AH23" i="6"/>
  <c r="AH22" i="6"/>
  <c r="AH21" i="6"/>
  <c r="S51" i="6"/>
  <c r="S50" i="6"/>
  <c r="S49" i="6"/>
  <c r="S48" i="6"/>
  <c r="S47" i="6"/>
  <c r="S46" i="6"/>
  <c r="S45" i="6"/>
  <c r="S44" i="6"/>
  <c r="S43" i="6"/>
  <c r="S42" i="6"/>
  <c r="S41" i="6"/>
  <c r="S40" i="6"/>
  <c r="S39" i="6"/>
  <c r="S38" i="6"/>
  <c r="S37" i="6"/>
  <c r="S36" i="6"/>
  <c r="S35" i="6"/>
  <c r="S34" i="6"/>
  <c r="S33" i="6"/>
  <c r="S32" i="6"/>
  <c r="S31" i="6"/>
  <c r="S30" i="6"/>
  <c r="S29" i="6"/>
  <c r="S28" i="6"/>
  <c r="S27" i="6"/>
  <c r="S26" i="6"/>
  <c r="S24" i="6"/>
  <c r="S23" i="6"/>
  <c r="S22" i="6"/>
  <c r="S21" i="6"/>
  <c r="R51" i="6"/>
  <c r="R50" i="6"/>
  <c r="R49" i="6"/>
  <c r="R48" i="6"/>
  <c r="R47" i="6"/>
  <c r="R46" i="6"/>
  <c r="R45" i="6"/>
  <c r="R44" i="6"/>
  <c r="R43" i="6"/>
  <c r="R42" i="6"/>
  <c r="R41" i="6"/>
  <c r="R40" i="6"/>
  <c r="R39" i="6"/>
  <c r="R38" i="6"/>
  <c r="R37" i="6"/>
  <c r="R36" i="6"/>
  <c r="R35" i="6"/>
  <c r="R34" i="6"/>
  <c r="R33" i="6"/>
  <c r="R32" i="6"/>
  <c r="R31" i="6"/>
  <c r="R30" i="6"/>
  <c r="Q51" i="6"/>
  <c r="Q50" i="6"/>
  <c r="Q49" i="6"/>
  <c r="Q48" i="6"/>
  <c r="Q47" i="6"/>
  <c r="Q46" i="6"/>
  <c r="Q45" i="6"/>
  <c r="Q44" i="6"/>
  <c r="Q43" i="6"/>
  <c r="Q42" i="6"/>
  <c r="Q41" i="6"/>
  <c r="Q40" i="6"/>
  <c r="Q39" i="6"/>
  <c r="Q38" i="6"/>
  <c r="Q37" i="6"/>
  <c r="Q36" i="6"/>
  <c r="Q35" i="6"/>
  <c r="Q34" i="6"/>
  <c r="Q33" i="6"/>
  <c r="Q32" i="6"/>
  <c r="Q31" i="6"/>
  <c r="Q30" i="6"/>
  <c r="Q25" i="6"/>
  <c r="Q20" i="6"/>
  <c r="Q19" i="6"/>
  <c r="Q18" i="6"/>
  <c r="Q17" i="6"/>
  <c r="Q12" i="6"/>
  <c r="Q11" i="6"/>
  <c r="Q7" i="6"/>
  <c r="P51" i="6"/>
  <c r="P50" i="6"/>
  <c r="P49" i="6"/>
  <c r="P48" i="6"/>
  <c r="P47" i="6"/>
  <c r="P46" i="6"/>
  <c r="P45" i="6"/>
  <c r="P44" i="6"/>
  <c r="P43" i="6"/>
  <c r="P42" i="6"/>
  <c r="P41" i="6"/>
  <c r="P40" i="6"/>
  <c r="P39" i="6"/>
  <c r="P38" i="6"/>
  <c r="P37" i="6"/>
  <c r="P36" i="6"/>
  <c r="P35" i="6"/>
  <c r="P34" i="6"/>
  <c r="P33" i="6"/>
  <c r="P32" i="6"/>
  <c r="P31" i="6"/>
  <c r="P30" i="6"/>
  <c r="O51" i="6"/>
  <c r="O50" i="6"/>
  <c r="O49" i="6"/>
  <c r="O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4" i="6"/>
  <c r="O23" i="6"/>
  <c r="O22" i="6"/>
  <c r="O21" i="6"/>
  <c r="AP51" i="6"/>
  <c r="AP50" i="6"/>
  <c r="AP49" i="6"/>
  <c r="AP48" i="6"/>
  <c r="AP47" i="6"/>
  <c r="AP46" i="6"/>
  <c r="AP45" i="6"/>
  <c r="AP44" i="6"/>
  <c r="AP43" i="6"/>
  <c r="AP42" i="6"/>
  <c r="AP41" i="6"/>
  <c r="AP40" i="6"/>
  <c r="AP39" i="6"/>
  <c r="AP38" i="6"/>
  <c r="AP37" i="6"/>
  <c r="AP36" i="6"/>
  <c r="AP35" i="6"/>
  <c r="AP34" i="6"/>
  <c r="AP33" i="6"/>
  <c r="AP32" i="6"/>
  <c r="AP31" i="6"/>
  <c r="AP30" i="6"/>
  <c r="AP29" i="6"/>
  <c r="AP28" i="6"/>
  <c r="AP27" i="6"/>
  <c r="AP26" i="6"/>
  <c r="AP24" i="6"/>
  <c r="AP23" i="6"/>
  <c r="AP22" i="6"/>
  <c r="AP21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5" i="6"/>
  <c r="L20" i="6"/>
  <c r="L19" i="6"/>
  <c r="L18" i="6"/>
  <c r="L17" i="6"/>
  <c r="L12" i="6"/>
  <c r="L11" i="6"/>
  <c r="L7" i="6"/>
  <c r="AJ56" i="9"/>
  <c r="AJ55" i="9"/>
  <c r="AJ56" i="6"/>
  <c r="D28" i="5"/>
  <c r="AL56" i="6" s="1"/>
  <c r="AA58" i="6"/>
  <c r="V56" i="7"/>
  <c r="F44" i="5"/>
  <c r="E44" i="5"/>
  <c r="D44" i="5"/>
  <c r="F42" i="5"/>
  <c r="D42" i="5"/>
  <c r="F40" i="5"/>
  <c r="V47" i="10" s="1"/>
  <c r="E40" i="5"/>
  <c r="D40" i="5"/>
  <c r="F23" i="5"/>
  <c r="AG58" i="6" s="1"/>
  <c r="D23" i="5"/>
  <c r="AG56" i="6" s="1"/>
  <c r="AG54" i="7" s="1"/>
  <c r="F20" i="5"/>
  <c r="AD58" i="6" s="1"/>
  <c r="E20" i="5"/>
  <c r="AD57" i="6" s="1"/>
  <c r="D20" i="5"/>
  <c r="AD56" i="6" s="1"/>
  <c r="AD54" i="7" s="1"/>
  <c r="E18" i="5"/>
  <c r="AB55" i="9" s="1"/>
  <c r="D18" i="5"/>
  <c r="AB56" i="6" s="1"/>
  <c r="T39" i="4"/>
  <c r="S39" i="4"/>
  <c r="R39" i="4"/>
  <c r="Q39" i="4"/>
  <c r="P39" i="4"/>
  <c r="O39" i="4"/>
  <c r="N39" i="4"/>
  <c r="M39" i="4"/>
  <c r="L39" i="4"/>
  <c r="K39" i="4"/>
  <c r="J39" i="4"/>
  <c r="I39" i="4"/>
  <c r="T38" i="4"/>
  <c r="S38" i="4"/>
  <c r="R38" i="4"/>
  <c r="Q38" i="4"/>
  <c r="P38" i="4"/>
  <c r="O38" i="4"/>
  <c r="N38" i="4"/>
  <c r="M38" i="4"/>
  <c r="L38" i="4"/>
  <c r="K38" i="4"/>
  <c r="J38" i="4"/>
  <c r="I38" i="4"/>
  <c r="T37" i="4"/>
  <c r="S37" i="4"/>
  <c r="R37" i="4"/>
  <c r="Q37" i="4"/>
  <c r="P37" i="4"/>
  <c r="O37" i="4"/>
  <c r="N37" i="4"/>
  <c r="M37" i="4"/>
  <c r="L37" i="4"/>
  <c r="K37" i="4"/>
  <c r="J37" i="4"/>
  <c r="I37" i="4"/>
  <c r="T36" i="4"/>
  <c r="S36" i="4"/>
  <c r="R36" i="4"/>
  <c r="Q36" i="4"/>
  <c r="P36" i="4"/>
  <c r="O36" i="4"/>
  <c r="N36" i="4"/>
  <c r="M36" i="4"/>
  <c r="L36" i="4"/>
  <c r="K36" i="4"/>
  <c r="J36" i="4"/>
  <c r="I36" i="4"/>
  <c r="U36" i="4" s="1"/>
  <c r="T35" i="4"/>
  <c r="S35" i="4"/>
  <c r="R35" i="4"/>
  <c r="Q35" i="4"/>
  <c r="P35" i="4"/>
  <c r="O35" i="4"/>
  <c r="N35" i="4"/>
  <c r="M35" i="4"/>
  <c r="L35" i="4"/>
  <c r="K35" i="4"/>
  <c r="J35" i="4"/>
  <c r="I35" i="4"/>
  <c r="U35" i="4" s="1"/>
  <c r="T34" i="4"/>
  <c r="S34" i="4"/>
  <c r="R34" i="4"/>
  <c r="Q34" i="4"/>
  <c r="P34" i="4"/>
  <c r="O34" i="4"/>
  <c r="N34" i="4"/>
  <c r="M34" i="4"/>
  <c r="L34" i="4"/>
  <c r="K34" i="4"/>
  <c r="J34" i="4"/>
  <c r="I34" i="4"/>
  <c r="T33" i="4"/>
  <c r="S33" i="4"/>
  <c r="R33" i="4"/>
  <c r="Q33" i="4"/>
  <c r="P33" i="4"/>
  <c r="O33" i="4"/>
  <c r="N33" i="4"/>
  <c r="M33" i="4"/>
  <c r="L33" i="4"/>
  <c r="K33" i="4"/>
  <c r="J33" i="4"/>
  <c r="I33" i="4"/>
  <c r="T32" i="4"/>
  <c r="S32" i="4"/>
  <c r="R32" i="4"/>
  <c r="Q32" i="4"/>
  <c r="P32" i="4"/>
  <c r="O32" i="4"/>
  <c r="N32" i="4"/>
  <c r="M32" i="4"/>
  <c r="L32" i="4"/>
  <c r="K32" i="4"/>
  <c r="J32" i="4"/>
  <c r="I32" i="4"/>
  <c r="U32" i="4" s="1"/>
  <c r="T31" i="4"/>
  <c r="S31" i="4"/>
  <c r="R31" i="4"/>
  <c r="Q31" i="4"/>
  <c r="P31" i="4"/>
  <c r="O31" i="4"/>
  <c r="N31" i="4"/>
  <c r="M31" i="4"/>
  <c r="L31" i="4"/>
  <c r="K31" i="4"/>
  <c r="J31" i="4"/>
  <c r="I31" i="4"/>
  <c r="U31" i="4" s="1"/>
  <c r="T30" i="4"/>
  <c r="S30" i="4"/>
  <c r="R30" i="4"/>
  <c r="Q30" i="4"/>
  <c r="P30" i="4"/>
  <c r="O30" i="4"/>
  <c r="N30" i="4"/>
  <c r="M30" i="4"/>
  <c r="L30" i="4"/>
  <c r="K30" i="4"/>
  <c r="J30" i="4"/>
  <c r="I30" i="4"/>
  <c r="U30" i="4" s="1"/>
  <c r="T29" i="4"/>
  <c r="S29" i="4"/>
  <c r="R29" i="4"/>
  <c r="Q29" i="4"/>
  <c r="P29" i="4"/>
  <c r="O29" i="4"/>
  <c r="N29" i="4"/>
  <c r="M29" i="4"/>
  <c r="L29" i="4"/>
  <c r="K29" i="4"/>
  <c r="J29" i="4"/>
  <c r="I29" i="4"/>
  <c r="U29" i="4" s="1"/>
  <c r="T28" i="4"/>
  <c r="S28" i="4"/>
  <c r="R28" i="4"/>
  <c r="Q28" i="4"/>
  <c r="P28" i="4"/>
  <c r="O28" i="4"/>
  <c r="N28" i="4"/>
  <c r="M28" i="4"/>
  <c r="L28" i="4"/>
  <c r="K28" i="4"/>
  <c r="J28" i="4"/>
  <c r="I28" i="4"/>
  <c r="U28" i="4" s="1"/>
  <c r="T27" i="4"/>
  <c r="S27" i="4"/>
  <c r="R27" i="4"/>
  <c r="Q27" i="4"/>
  <c r="P27" i="4"/>
  <c r="O27" i="4"/>
  <c r="N27" i="4"/>
  <c r="M27" i="4"/>
  <c r="L27" i="4"/>
  <c r="K27" i="4"/>
  <c r="J27" i="4"/>
  <c r="I27" i="4"/>
  <c r="U27" i="4" s="1"/>
  <c r="T26" i="4"/>
  <c r="S26" i="4"/>
  <c r="R26" i="4"/>
  <c r="Q26" i="4"/>
  <c r="P26" i="4"/>
  <c r="O26" i="4"/>
  <c r="N26" i="4"/>
  <c r="M26" i="4"/>
  <c r="L26" i="4"/>
  <c r="K26" i="4"/>
  <c r="J26" i="4"/>
  <c r="I26" i="4"/>
  <c r="U26" i="4" s="1"/>
  <c r="T25" i="4"/>
  <c r="S25" i="4"/>
  <c r="R25" i="4"/>
  <c r="Q25" i="4"/>
  <c r="P25" i="4"/>
  <c r="O25" i="4"/>
  <c r="N25" i="4"/>
  <c r="M25" i="4"/>
  <c r="L25" i="4"/>
  <c r="K25" i="4"/>
  <c r="J25" i="4"/>
  <c r="I25" i="4"/>
  <c r="U25" i="4" s="1"/>
  <c r="T24" i="4"/>
  <c r="S24" i="4"/>
  <c r="R24" i="4"/>
  <c r="Q24" i="4"/>
  <c r="P24" i="4"/>
  <c r="O24" i="4"/>
  <c r="N24" i="4"/>
  <c r="M24" i="4"/>
  <c r="L24" i="4"/>
  <c r="K24" i="4"/>
  <c r="J24" i="4"/>
  <c r="I24" i="4"/>
  <c r="U24" i="4" s="1"/>
  <c r="T23" i="4"/>
  <c r="S23" i="4"/>
  <c r="R23" i="4"/>
  <c r="Q23" i="4"/>
  <c r="P23" i="4"/>
  <c r="O23" i="4"/>
  <c r="N23" i="4"/>
  <c r="M23" i="4"/>
  <c r="L23" i="4"/>
  <c r="K23" i="4"/>
  <c r="J23" i="4"/>
  <c r="I23" i="4"/>
  <c r="U23" i="4" s="1"/>
  <c r="T22" i="4"/>
  <c r="S22" i="4"/>
  <c r="R22" i="4"/>
  <c r="Q22" i="4"/>
  <c r="P22" i="4"/>
  <c r="O22" i="4"/>
  <c r="N22" i="4"/>
  <c r="M22" i="4"/>
  <c r="L22" i="4"/>
  <c r="K22" i="4"/>
  <c r="J22" i="4"/>
  <c r="I22" i="4"/>
  <c r="U22" i="4" s="1"/>
  <c r="T21" i="4"/>
  <c r="S21" i="4"/>
  <c r="R21" i="4"/>
  <c r="Q21" i="4"/>
  <c r="P21" i="4"/>
  <c r="O21" i="4"/>
  <c r="N21" i="4"/>
  <c r="M21" i="4"/>
  <c r="L21" i="4"/>
  <c r="K21" i="4"/>
  <c r="J21" i="4"/>
  <c r="I21" i="4"/>
  <c r="U21" i="4" s="1"/>
  <c r="T20" i="4"/>
  <c r="S20" i="4"/>
  <c r="R20" i="4"/>
  <c r="Q20" i="4"/>
  <c r="P20" i="4"/>
  <c r="O20" i="4"/>
  <c r="N20" i="4"/>
  <c r="M20" i="4"/>
  <c r="L20" i="4"/>
  <c r="K20" i="4"/>
  <c r="J20" i="4"/>
  <c r="I20" i="4"/>
  <c r="U20" i="4" s="1"/>
  <c r="T19" i="4"/>
  <c r="S19" i="4"/>
  <c r="R19" i="4"/>
  <c r="Q19" i="4"/>
  <c r="P19" i="4"/>
  <c r="O19" i="4"/>
  <c r="N19" i="4"/>
  <c r="M19" i="4"/>
  <c r="L19" i="4"/>
  <c r="K19" i="4"/>
  <c r="J19" i="4"/>
  <c r="I19" i="4"/>
  <c r="U19" i="4" s="1"/>
  <c r="T18" i="4"/>
  <c r="S18" i="4"/>
  <c r="R18" i="4"/>
  <c r="Q18" i="4"/>
  <c r="P18" i="4"/>
  <c r="O18" i="4"/>
  <c r="N18" i="4"/>
  <c r="M18" i="4"/>
  <c r="L18" i="4"/>
  <c r="K18" i="4"/>
  <c r="J18" i="4"/>
  <c r="I18" i="4"/>
  <c r="U18" i="4" s="1"/>
  <c r="T17" i="4"/>
  <c r="S17" i="4"/>
  <c r="R17" i="4"/>
  <c r="Q17" i="4"/>
  <c r="P17" i="4"/>
  <c r="O17" i="4"/>
  <c r="N17" i="4"/>
  <c r="M17" i="4"/>
  <c r="L17" i="4"/>
  <c r="K17" i="4"/>
  <c r="J17" i="4"/>
  <c r="I17" i="4"/>
  <c r="U17" i="4" s="1"/>
  <c r="T16" i="4"/>
  <c r="S16" i="4"/>
  <c r="R16" i="4"/>
  <c r="Q16" i="4"/>
  <c r="P16" i="4"/>
  <c r="O16" i="4"/>
  <c r="N16" i="4"/>
  <c r="M16" i="4"/>
  <c r="L16" i="4"/>
  <c r="K16" i="4"/>
  <c r="J16" i="4"/>
  <c r="I16" i="4"/>
  <c r="U16" i="4" s="1"/>
  <c r="T15" i="4"/>
  <c r="S15" i="4"/>
  <c r="R15" i="4"/>
  <c r="Q15" i="4"/>
  <c r="P15" i="4"/>
  <c r="O15" i="4"/>
  <c r="N15" i="4"/>
  <c r="M15" i="4"/>
  <c r="L15" i="4"/>
  <c r="K15" i="4"/>
  <c r="J15" i="4"/>
  <c r="I15" i="4"/>
  <c r="U15" i="4" s="1"/>
  <c r="T14" i="4"/>
  <c r="S14" i="4"/>
  <c r="R14" i="4"/>
  <c r="Q14" i="4"/>
  <c r="P14" i="4"/>
  <c r="O14" i="4"/>
  <c r="N14" i="4"/>
  <c r="M14" i="4"/>
  <c r="L14" i="4"/>
  <c r="K14" i="4"/>
  <c r="J14" i="4"/>
  <c r="I14" i="4"/>
  <c r="U14" i="4" s="1"/>
  <c r="T13" i="4"/>
  <c r="S13" i="4"/>
  <c r="R13" i="4"/>
  <c r="Q13" i="4"/>
  <c r="P13" i="4"/>
  <c r="O13" i="4"/>
  <c r="N13" i="4"/>
  <c r="M13" i="4"/>
  <c r="L13" i="4"/>
  <c r="K13" i="4"/>
  <c r="J13" i="4"/>
  <c r="I13" i="4"/>
  <c r="U13" i="4" s="1"/>
  <c r="T12" i="4"/>
  <c r="S12" i="4"/>
  <c r="R12" i="4"/>
  <c r="Q12" i="4"/>
  <c r="P12" i="4"/>
  <c r="O12" i="4"/>
  <c r="N12" i="4"/>
  <c r="M12" i="4"/>
  <c r="L12" i="4"/>
  <c r="K12" i="4"/>
  <c r="J12" i="4"/>
  <c r="I12" i="4"/>
  <c r="U12" i="4" s="1"/>
  <c r="T11" i="4"/>
  <c r="S11" i="4"/>
  <c r="R11" i="4"/>
  <c r="Q11" i="4"/>
  <c r="P11" i="4"/>
  <c r="O11" i="4"/>
  <c r="N11" i="4"/>
  <c r="M11" i="4"/>
  <c r="L11" i="4"/>
  <c r="K11" i="4"/>
  <c r="J11" i="4"/>
  <c r="I11" i="4"/>
  <c r="U11" i="4" s="1"/>
  <c r="T10" i="4"/>
  <c r="S10" i="4"/>
  <c r="R10" i="4"/>
  <c r="Q10" i="4"/>
  <c r="P10" i="4"/>
  <c r="O10" i="4"/>
  <c r="N10" i="4"/>
  <c r="M10" i="4"/>
  <c r="L10" i="4"/>
  <c r="K10" i="4"/>
  <c r="J10" i="4"/>
  <c r="I10" i="4"/>
  <c r="U10" i="4" s="1"/>
  <c r="T9" i="4"/>
  <c r="S9" i="4"/>
  <c r="R9" i="4"/>
  <c r="Q9" i="4"/>
  <c r="P9" i="4"/>
  <c r="O9" i="4"/>
  <c r="N9" i="4"/>
  <c r="M9" i="4"/>
  <c r="L9" i="4"/>
  <c r="K9" i="4"/>
  <c r="J9" i="4"/>
  <c r="I9" i="4"/>
  <c r="U9" i="4" s="1"/>
  <c r="T8" i="4"/>
  <c r="S8" i="4"/>
  <c r="R8" i="4"/>
  <c r="Q8" i="4"/>
  <c r="P8" i="4"/>
  <c r="O8" i="4"/>
  <c r="N8" i="4"/>
  <c r="M8" i="4"/>
  <c r="L8" i="4"/>
  <c r="K8" i="4"/>
  <c r="J8" i="4"/>
  <c r="I8" i="4"/>
  <c r="U8" i="4" s="1"/>
  <c r="T7" i="4"/>
  <c r="S7" i="4"/>
  <c r="R7" i="4"/>
  <c r="Q7" i="4"/>
  <c r="P7" i="4"/>
  <c r="O7" i="4"/>
  <c r="N7" i="4"/>
  <c r="M7" i="4"/>
  <c r="L7" i="4"/>
  <c r="K7" i="4"/>
  <c r="J7" i="4"/>
  <c r="I7" i="4"/>
  <c r="U7" i="4" s="1"/>
  <c r="T6" i="4"/>
  <c r="S6" i="4"/>
  <c r="R6" i="4"/>
  <c r="Q6" i="4"/>
  <c r="P6" i="4"/>
  <c r="O6" i="4"/>
  <c r="N6" i="4"/>
  <c r="M6" i="4"/>
  <c r="L6" i="4"/>
  <c r="K6" i="4"/>
  <c r="J6" i="4"/>
  <c r="I6" i="4"/>
  <c r="U6" i="4" s="1"/>
  <c r="T5" i="4"/>
  <c r="S5" i="4"/>
  <c r="R5" i="4"/>
  <c r="Q5" i="4"/>
  <c r="P5" i="4"/>
  <c r="O5" i="4"/>
  <c r="N5" i="4"/>
  <c r="M5" i="4"/>
  <c r="L5" i="4"/>
  <c r="K5" i="4"/>
  <c r="J5" i="4"/>
  <c r="I5" i="4"/>
  <c r="U5" i="4" s="1"/>
  <c r="T4" i="4"/>
  <c r="S4" i="4"/>
  <c r="R4" i="4"/>
  <c r="Q4" i="4"/>
  <c r="P4" i="4"/>
  <c r="O4" i="4"/>
  <c r="N4" i="4"/>
  <c r="M4" i="4"/>
  <c r="L4" i="4"/>
  <c r="K4" i="4"/>
  <c r="J4" i="4"/>
  <c r="I4" i="4"/>
  <c r="U4" i="4" s="1"/>
  <c r="T3" i="4"/>
  <c r="S3" i="4"/>
  <c r="R3" i="4"/>
  <c r="Q3" i="4"/>
  <c r="P3" i="4"/>
  <c r="O3" i="4"/>
  <c r="N3" i="4"/>
  <c r="M3" i="4"/>
  <c r="L3" i="4"/>
  <c r="K3" i="4"/>
  <c r="J3" i="4"/>
  <c r="I3" i="4"/>
  <c r="U3" i="4" s="1"/>
  <c r="T2" i="4"/>
  <c r="S2" i="4"/>
  <c r="R2" i="4"/>
  <c r="Q2" i="4"/>
  <c r="P2" i="4"/>
  <c r="O2" i="4"/>
  <c r="N2" i="4"/>
  <c r="M2" i="4"/>
  <c r="L2" i="4"/>
  <c r="K2" i="4"/>
  <c r="J2" i="4"/>
  <c r="I2" i="4"/>
  <c r="U2" i="4" s="1"/>
  <c r="T48" i="3"/>
  <c r="S48" i="3"/>
  <c r="R48" i="3"/>
  <c r="Q48" i="3"/>
  <c r="P48" i="3"/>
  <c r="O48" i="3"/>
  <c r="N48" i="3"/>
  <c r="M48" i="3"/>
  <c r="L48" i="3"/>
  <c r="K48" i="3"/>
  <c r="J48" i="3"/>
  <c r="I48" i="3"/>
  <c r="U48" i="3" s="1"/>
  <c r="T47" i="3"/>
  <c r="S47" i="3"/>
  <c r="R47" i="3"/>
  <c r="Q47" i="3"/>
  <c r="P47" i="3"/>
  <c r="O47" i="3"/>
  <c r="N47" i="3"/>
  <c r="M47" i="3"/>
  <c r="L47" i="3"/>
  <c r="K47" i="3"/>
  <c r="J47" i="3"/>
  <c r="I47" i="3"/>
  <c r="U47" i="3" s="1"/>
  <c r="T46" i="3"/>
  <c r="S46" i="3"/>
  <c r="R46" i="3"/>
  <c r="Q46" i="3"/>
  <c r="P46" i="3"/>
  <c r="O46" i="3"/>
  <c r="N46" i="3"/>
  <c r="M46" i="3"/>
  <c r="L46" i="3"/>
  <c r="K46" i="3"/>
  <c r="J46" i="3"/>
  <c r="I46" i="3"/>
  <c r="U46" i="3" s="1"/>
  <c r="T45" i="3"/>
  <c r="S45" i="3"/>
  <c r="R45" i="3"/>
  <c r="Q45" i="3"/>
  <c r="P45" i="3"/>
  <c r="O45" i="3"/>
  <c r="N45" i="3"/>
  <c r="M45" i="3"/>
  <c r="L45" i="3"/>
  <c r="K45" i="3"/>
  <c r="J45" i="3"/>
  <c r="I45" i="3"/>
  <c r="U45" i="3" s="1"/>
  <c r="T44" i="3"/>
  <c r="S44" i="3"/>
  <c r="R44" i="3"/>
  <c r="Q44" i="3"/>
  <c r="P44" i="3"/>
  <c r="O44" i="3"/>
  <c r="N44" i="3"/>
  <c r="M44" i="3"/>
  <c r="L44" i="3"/>
  <c r="K44" i="3"/>
  <c r="J44" i="3"/>
  <c r="I44" i="3"/>
  <c r="U44" i="3" s="1"/>
  <c r="T43" i="3"/>
  <c r="S43" i="3"/>
  <c r="R43" i="3"/>
  <c r="Q43" i="3"/>
  <c r="P43" i="3"/>
  <c r="O43" i="3"/>
  <c r="N43" i="3"/>
  <c r="M43" i="3"/>
  <c r="L43" i="3"/>
  <c r="K43" i="3"/>
  <c r="J43" i="3"/>
  <c r="I43" i="3"/>
  <c r="U43" i="3" s="1"/>
  <c r="T42" i="3"/>
  <c r="S42" i="3"/>
  <c r="R42" i="3"/>
  <c r="Q42" i="3"/>
  <c r="P42" i="3"/>
  <c r="O42" i="3"/>
  <c r="N42" i="3"/>
  <c r="M42" i="3"/>
  <c r="L42" i="3"/>
  <c r="K42" i="3"/>
  <c r="J42" i="3"/>
  <c r="I42" i="3"/>
  <c r="U42" i="3" s="1"/>
  <c r="T41" i="3"/>
  <c r="S41" i="3"/>
  <c r="R41" i="3"/>
  <c r="Q41" i="3"/>
  <c r="P41" i="3"/>
  <c r="O41" i="3"/>
  <c r="N41" i="3"/>
  <c r="M41" i="3"/>
  <c r="L41" i="3"/>
  <c r="K41" i="3"/>
  <c r="J41" i="3"/>
  <c r="I41" i="3"/>
  <c r="U41" i="3" s="1"/>
  <c r="T40" i="3"/>
  <c r="S40" i="3"/>
  <c r="R40" i="3"/>
  <c r="Q40" i="3"/>
  <c r="P40" i="3"/>
  <c r="O40" i="3"/>
  <c r="N40" i="3"/>
  <c r="M40" i="3"/>
  <c r="L40" i="3"/>
  <c r="K40" i="3"/>
  <c r="J40" i="3"/>
  <c r="I40" i="3"/>
  <c r="U40" i="3" s="1"/>
  <c r="T39" i="3"/>
  <c r="S39" i="3"/>
  <c r="R39" i="3"/>
  <c r="Q39" i="3"/>
  <c r="P39" i="3"/>
  <c r="O39" i="3"/>
  <c r="N39" i="3"/>
  <c r="M39" i="3"/>
  <c r="L39" i="3"/>
  <c r="K39" i="3"/>
  <c r="J39" i="3"/>
  <c r="I39" i="3"/>
  <c r="U39" i="3" s="1"/>
  <c r="T38" i="3"/>
  <c r="S38" i="3"/>
  <c r="R38" i="3"/>
  <c r="Q38" i="3"/>
  <c r="P38" i="3"/>
  <c r="O38" i="3"/>
  <c r="N38" i="3"/>
  <c r="M38" i="3"/>
  <c r="L38" i="3"/>
  <c r="K38" i="3"/>
  <c r="J38" i="3"/>
  <c r="I38" i="3"/>
  <c r="U38" i="3" s="1"/>
  <c r="T37" i="3"/>
  <c r="S37" i="3"/>
  <c r="R37" i="3"/>
  <c r="Q37" i="3"/>
  <c r="P37" i="3"/>
  <c r="O37" i="3"/>
  <c r="N37" i="3"/>
  <c r="M37" i="3"/>
  <c r="L37" i="3"/>
  <c r="K37" i="3"/>
  <c r="J37" i="3"/>
  <c r="I37" i="3"/>
  <c r="U37" i="3" s="1"/>
  <c r="T36" i="3"/>
  <c r="S36" i="3"/>
  <c r="R36" i="3"/>
  <c r="Q36" i="3"/>
  <c r="P36" i="3"/>
  <c r="O36" i="3"/>
  <c r="N36" i="3"/>
  <c r="M36" i="3"/>
  <c r="L36" i="3"/>
  <c r="K36" i="3"/>
  <c r="J36" i="3"/>
  <c r="I36" i="3"/>
  <c r="U36" i="3" s="1"/>
  <c r="T35" i="3"/>
  <c r="S35" i="3"/>
  <c r="R35" i="3"/>
  <c r="Q35" i="3"/>
  <c r="P35" i="3"/>
  <c r="O35" i="3"/>
  <c r="N35" i="3"/>
  <c r="M35" i="3"/>
  <c r="L35" i="3"/>
  <c r="K35" i="3"/>
  <c r="J35" i="3"/>
  <c r="I35" i="3"/>
  <c r="U35" i="3" s="1"/>
  <c r="T34" i="3"/>
  <c r="S34" i="3"/>
  <c r="R34" i="3"/>
  <c r="Q34" i="3"/>
  <c r="P34" i="3"/>
  <c r="O34" i="3"/>
  <c r="N34" i="3"/>
  <c r="M34" i="3"/>
  <c r="L34" i="3"/>
  <c r="K34" i="3"/>
  <c r="J34" i="3"/>
  <c r="I34" i="3"/>
  <c r="U34" i="3" s="1"/>
  <c r="T33" i="3"/>
  <c r="S33" i="3"/>
  <c r="R33" i="3"/>
  <c r="Q33" i="3"/>
  <c r="P33" i="3"/>
  <c r="O33" i="3"/>
  <c r="N33" i="3"/>
  <c r="M33" i="3"/>
  <c r="L33" i="3"/>
  <c r="K33" i="3"/>
  <c r="J33" i="3"/>
  <c r="I33" i="3"/>
  <c r="U33" i="3" s="1"/>
  <c r="T32" i="3"/>
  <c r="S32" i="3"/>
  <c r="R32" i="3"/>
  <c r="Q32" i="3"/>
  <c r="P32" i="3"/>
  <c r="O32" i="3"/>
  <c r="N32" i="3"/>
  <c r="M32" i="3"/>
  <c r="L32" i="3"/>
  <c r="K32" i="3"/>
  <c r="J32" i="3"/>
  <c r="I32" i="3"/>
  <c r="U32" i="3" s="1"/>
  <c r="T31" i="3"/>
  <c r="S31" i="3"/>
  <c r="R31" i="3"/>
  <c r="Q31" i="3"/>
  <c r="P31" i="3"/>
  <c r="O31" i="3"/>
  <c r="N31" i="3"/>
  <c r="M31" i="3"/>
  <c r="L31" i="3"/>
  <c r="K31" i="3"/>
  <c r="J31" i="3"/>
  <c r="I31" i="3"/>
  <c r="U31" i="3" s="1"/>
  <c r="T30" i="3"/>
  <c r="S30" i="3"/>
  <c r="R30" i="3"/>
  <c r="Q30" i="3"/>
  <c r="P30" i="3"/>
  <c r="O30" i="3"/>
  <c r="N30" i="3"/>
  <c r="M30" i="3"/>
  <c r="L30" i="3"/>
  <c r="K30" i="3"/>
  <c r="J30" i="3"/>
  <c r="I30" i="3"/>
  <c r="U30" i="3" s="1"/>
  <c r="T29" i="3"/>
  <c r="S29" i="3"/>
  <c r="R29" i="3"/>
  <c r="Q29" i="3"/>
  <c r="P29" i="3"/>
  <c r="O29" i="3"/>
  <c r="N29" i="3"/>
  <c r="M29" i="3"/>
  <c r="L29" i="3"/>
  <c r="K29" i="3"/>
  <c r="J29" i="3"/>
  <c r="I29" i="3"/>
  <c r="U29" i="3" s="1"/>
  <c r="T28" i="3"/>
  <c r="S28" i="3"/>
  <c r="R28" i="3"/>
  <c r="Q28" i="3"/>
  <c r="P28" i="3"/>
  <c r="O28" i="3"/>
  <c r="N28" i="3"/>
  <c r="M28" i="3"/>
  <c r="L28" i="3"/>
  <c r="K28" i="3"/>
  <c r="J28" i="3"/>
  <c r="I28" i="3"/>
  <c r="U28" i="3" s="1"/>
  <c r="T27" i="3"/>
  <c r="S27" i="3"/>
  <c r="R27" i="3"/>
  <c r="Q27" i="3"/>
  <c r="P27" i="3"/>
  <c r="O27" i="3"/>
  <c r="N27" i="3"/>
  <c r="M27" i="3"/>
  <c r="L27" i="3"/>
  <c r="K27" i="3"/>
  <c r="J27" i="3"/>
  <c r="I27" i="3"/>
  <c r="U27" i="3" s="1"/>
  <c r="T26" i="3"/>
  <c r="S26" i="3"/>
  <c r="R26" i="3"/>
  <c r="Q26" i="3"/>
  <c r="P26" i="3"/>
  <c r="O26" i="3"/>
  <c r="N26" i="3"/>
  <c r="M26" i="3"/>
  <c r="L26" i="3"/>
  <c r="K26" i="3"/>
  <c r="J26" i="3"/>
  <c r="I26" i="3"/>
  <c r="U26" i="3" s="1"/>
  <c r="T25" i="3"/>
  <c r="S25" i="3"/>
  <c r="R25" i="3"/>
  <c r="Q25" i="3"/>
  <c r="P25" i="3"/>
  <c r="O25" i="3"/>
  <c r="N25" i="3"/>
  <c r="M25" i="3"/>
  <c r="L25" i="3"/>
  <c r="K25" i="3"/>
  <c r="J25" i="3"/>
  <c r="I25" i="3"/>
  <c r="U25" i="3" s="1"/>
  <c r="T24" i="3"/>
  <c r="S24" i="3"/>
  <c r="R24" i="3"/>
  <c r="Q24" i="3"/>
  <c r="P24" i="3"/>
  <c r="O24" i="3"/>
  <c r="N24" i="3"/>
  <c r="M24" i="3"/>
  <c r="L24" i="3"/>
  <c r="K24" i="3"/>
  <c r="J24" i="3"/>
  <c r="I24" i="3"/>
  <c r="U24" i="3" s="1"/>
  <c r="T23" i="3"/>
  <c r="S23" i="3"/>
  <c r="R23" i="3"/>
  <c r="Q23" i="3"/>
  <c r="P23" i="3"/>
  <c r="O23" i="3"/>
  <c r="N23" i="3"/>
  <c r="M23" i="3"/>
  <c r="L23" i="3"/>
  <c r="K23" i="3"/>
  <c r="J23" i="3"/>
  <c r="I23" i="3"/>
  <c r="U23" i="3" s="1"/>
  <c r="T22" i="3"/>
  <c r="S22" i="3"/>
  <c r="R22" i="3"/>
  <c r="Q22" i="3"/>
  <c r="P22" i="3"/>
  <c r="O22" i="3"/>
  <c r="N22" i="3"/>
  <c r="M22" i="3"/>
  <c r="L22" i="3"/>
  <c r="K22" i="3"/>
  <c r="J22" i="3"/>
  <c r="I22" i="3"/>
  <c r="U22" i="3" s="1"/>
  <c r="T21" i="3"/>
  <c r="S21" i="3"/>
  <c r="R21" i="3"/>
  <c r="Q21" i="3"/>
  <c r="P21" i="3"/>
  <c r="O21" i="3"/>
  <c r="N21" i="3"/>
  <c r="M21" i="3"/>
  <c r="L21" i="3"/>
  <c r="K21" i="3"/>
  <c r="J21" i="3"/>
  <c r="I21" i="3"/>
  <c r="U21" i="3" s="1"/>
  <c r="T20" i="3"/>
  <c r="S20" i="3"/>
  <c r="R20" i="3"/>
  <c r="Q20" i="3"/>
  <c r="P20" i="3"/>
  <c r="O20" i="3"/>
  <c r="N20" i="3"/>
  <c r="M20" i="3"/>
  <c r="L20" i="3"/>
  <c r="K20" i="3"/>
  <c r="J20" i="3"/>
  <c r="I20" i="3"/>
  <c r="U20" i="3" s="1"/>
  <c r="T19" i="3"/>
  <c r="S19" i="3"/>
  <c r="R19" i="3"/>
  <c r="Q19" i="3"/>
  <c r="P19" i="3"/>
  <c r="O19" i="3"/>
  <c r="N19" i="3"/>
  <c r="M19" i="3"/>
  <c r="L19" i="3"/>
  <c r="K19" i="3"/>
  <c r="J19" i="3"/>
  <c r="I19" i="3"/>
  <c r="U19" i="3" s="1"/>
  <c r="T18" i="3"/>
  <c r="S18" i="3"/>
  <c r="R18" i="3"/>
  <c r="Q18" i="3"/>
  <c r="P18" i="3"/>
  <c r="O18" i="3"/>
  <c r="N18" i="3"/>
  <c r="M18" i="3"/>
  <c r="L18" i="3"/>
  <c r="K18" i="3"/>
  <c r="J18" i="3"/>
  <c r="I18" i="3"/>
  <c r="U18" i="3" s="1"/>
  <c r="T17" i="3"/>
  <c r="S17" i="3"/>
  <c r="R17" i="3"/>
  <c r="Q17" i="3"/>
  <c r="P17" i="3"/>
  <c r="O17" i="3"/>
  <c r="N17" i="3"/>
  <c r="M17" i="3"/>
  <c r="L17" i="3"/>
  <c r="K17" i="3"/>
  <c r="J17" i="3"/>
  <c r="I17" i="3"/>
  <c r="U17" i="3" s="1"/>
  <c r="T16" i="3"/>
  <c r="S16" i="3"/>
  <c r="R16" i="3"/>
  <c r="Q16" i="3"/>
  <c r="P16" i="3"/>
  <c r="O16" i="3"/>
  <c r="N16" i="3"/>
  <c r="M16" i="3"/>
  <c r="L16" i="3"/>
  <c r="K16" i="3"/>
  <c r="J16" i="3"/>
  <c r="I16" i="3"/>
  <c r="U16" i="3" s="1"/>
  <c r="T15" i="3"/>
  <c r="S15" i="3"/>
  <c r="R15" i="3"/>
  <c r="Q15" i="3"/>
  <c r="P15" i="3"/>
  <c r="O15" i="3"/>
  <c r="N15" i="3"/>
  <c r="M15" i="3"/>
  <c r="L15" i="3"/>
  <c r="K15" i="3"/>
  <c r="J15" i="3"/>
  <c r="I15" i="3"/>
  <c r="U15" i="3" s="1"/>
  <c r="T14" i="3"/>
  <c r="S14" i="3"/>
  <c r="R14" i="3"/>
  <c r="Q14" i="3"/>
  <c r="P14" i="3"/>
  <c r="O14" i="3"/>
  <c r="N14" i="3"/>
  <c r="M14" i="3"/>
  <c r="L14" i="3"/>
  <c r="K14" i="3"/>
  <c r="J14" i="3"/>
  <c r="I14" i="3"/>
  <c r="U14" i="3" s="1"/>
  <c r="T13" i="3"/>
  <c r="S13" i="3"/>
  <c r="R13" i="3"/>
  <c r="Q13" i="3"/>
  <c r="P13" i="3"/>
  <c r="O13" i="3"/>
  <c r="N13" i="3"/>
  <c r="M13" i="3"/>
  <c r="L13" i="3"/>
  <c r="K13" i="3"/>
  <c r="J13" i="3"/>
  <c r="I13" i="3"/>
  <c r="U13" i="3" s="1"/>
  <c r="T12" i="3"/>
  <c r="S12" i="3"/>
  <c r="R12" i="3"/>
  <c r="Q12" i="3"/>
  <c r="P12" i="3"/>
  <c r="O12" i="3"/>
  <c r="N12" i="3"/>
  <c r="M12" i="3"/>
  <c r="L12" i="3"/>
  <c r="K12" i="3"/>
  <c r="J12" i="3"/>
  <c r="I12" i="3"/>
  <c r="U12" i="3" s="1"/>
  <c r="T11" i="3"/>
  <c r="S11" i="3"/>
  <c r="R11" i="3"/>
  <c r="Q11" i="3"/>
  <c r="P11" i="3"/>
  <c r="O11" i="3"/>
  <c r="N11" i="3"/>
  <c r="M11" i="3"/>
  <c r="L11" i="3"/>
  <c r="K11" i="3"/>
  <c r="J11" i="3"/>
  <c r="I11" i="3"/>
  <c r="U11" i="3" s="1"/>
  <c r="T10" i="3"/>
  <c r="S10" i="3"/>
  <c r="R10" i="3"/>
  <c r="Q10" i="3"/>
  <c r="P10" i="3"/>
  <c r="O10" i="3"/>
  <c r="N10" i="3"/>
  <c r="M10" i="3"/>
  <c r="L10" i="3"/>
  <c r="K10" i="3"/>
  <c r="J10" i="3"/>
  <c r="I10" i="3"/>
  <c r="U10" i="3" s="1"/>
  <c r="T9" i="3"/>
  <c r="S9" i="3"/>
  <c r="R9" i="3"/>
  <c r="Q9" i="3"/>
  <c r="P9" i="3"/>
  <c r="O9" i="3"/>
  <c r="N9" i="3"/>
  <c r="M9" i="3"/>
  <c r="L9" i="3"/>
  <c r="K9" i="3"/>
  <c r="J9" i="3"/>
  <c r="I9" i="3"/>
  <c r="U9" i="3" s="1"/>
  <c r="T8" i="3"/>
  <c r="S8" i="3"/>
  <c r="R8" i="3"/>
  <c r="Q8" i="3"/>
  <c r="P8" i="3"/>
  <c r="O8" i="3"/>
  <c r="N8" i="3"/>
  <c r="M8" i="3"/>
  <c r="L8" i="3"/>
  <c r="K8" i="3"/>
  <c r="J8" i="3"/>
  <c r="I8" i="3"/>
  <c r="U8" i="3" s="1"/>
  <c r="T7" i="3"/>
  <c r="S7" i="3"/>
  <c r="R7" i="3"/>
  <c r="Q7" i="3"/>
  <c r="P7" i="3"/>
  <c r="O7" i="3"/>
  <c r="N7" i="3"/>
  <c r="M7" i="3"/>
  <c r="L7" i="3"/>
  <c r="K7" i="3"/>
  <c r="J7" i="3"/>
  <c r="I7" i="3"/>
  <c r="U7" i="3" s="1"/>
  <c r="T6" i="3"/>
  <c r="S6" i="3"/>
  <c r="R6" i="3"/>
  <c r="Q6" i="3"/>
  <c r="P6" i="3"/>
  <c r="O6" i="3"/>
  <c r="N6" i="3"/>
  <c r="M6" i="3"/>
  <c r="L6" i="3"/>
  <c r="K6" i="3"/>
  <c r="J6" i="3"/>
  <c r="I6" i="3"/>
  <c r="U6" i="3" s="1"/>
  <c r="T5" i="3"/>
  <c r="S5" i="3"/>
  <c r="R5" i="3"/>
  <c r="Q5" i="3"/>
  <c r="P5" i="3"/>
  <c r="O5" i="3"/>
  <c r="N5" i="3"/>
  <c r="M5" i="3"/>
  <c r="L5" i="3"/>
  <c r="K5" i="3"/>
  <c r="J5" i="3"/>
  <c r="I5" i="3"/>
  <c r="U5" i="3" s="1"/>
  <c r="T4" i="3"/>
  <c r="S4" i="3"/>
  <c r="R4" i="3"/>
  <c r="Q4" i="3"/>
  <c r="P4" i="3"/>
  <c r="O4" i="3"/>
  <c r="N4" i="3"/>
  <c r="M4" i="3"/>
  <c r="L4" i="3"/>
  <c r="K4" i="3"/>
  <c r="J4" i="3"/>
  <c r="I4" i="3"/>
  <c r="U4" i="3" s="1"/>
  <c r="T3" i="3"/>
  <c r="S3" i="3"/>
  <c r="R3" i="3"/>
  <c r="Q3" i="3"/>
  <c r="P3" i="3"/>
  <c r="O3" i="3"/>
  <c r="N3" i="3"/>
  <c r="M3" i="3"/>
  <c r="L3" i="3"/>
  <c r="K3" i="3"/>
  <c r="J3" i="3"/>
  <c r="I3" i="3"/>
  <c r="U3" i="3" s="1"/>
  <c r="T2" i="3"/>
  <c r="S2" i="3"/>
  <c r="R2" i="3"/>
  <c r="Q2" i="3"/>
  <c r="P2" i="3"/>
  <c r="O2" i="3"/>
  <c r="N2" i="3"/>
  <c r="M2" i="3"/>
  <c r="L2" i="3"/>
  <c r="K2" i="3"/>
  <c r="J2" i="3"/>
  <c r="I2" i="3"/>
  <c r="U2" i="3" s="1"/>
  <c r="H1" i="2"/>
  <c r="AJ4" i="27" l="1"/>
  <c r="I5" i="29"/>
  <c r="P12" i="5"/>
  <c r="I5" i="14"/>
  <c r="I5" i="9"/>
  <c r="I5" i="8"/>
  <c r="I5" i="6"/>
  <c r="I5" i="7"/>
  <c r="I6" i="29"/>
  <c r="I6" i="9"/>
  <c r="I6" i="8"/>
  <c r="I6" i="6"/>
  <c r="I6" i="7"/>
  <c r="I6" i="14"/>
  <c r="I7" i="29"/>
  <c r="P13" i="5"/>
  <c r="I7" i="6"/>
  <c r="I7" i="7"/>
  <c r="I7" i="14"/>
  <c r="I7" i="9"/>
  <c r="I7" i="8"/>
  <c r="I8" i="29"/>
  <c r="I8" i="7"/>
  <c r="I8" i="14"/>
  <c r="I8" i="9"/>
  <c r="I8" i="8"/>
  <c r="I8" i="6"/>
  <c r="I9" i="29"/>
  <c r="I9" i="14"/>
  <c r="I9" i="9"/>
  <c r="I9" i="8"/>
  <c r="I9" i="6"/>
  <c r="I9" i="7"/>
  <c r="I10" i="29"/>
  <c r="I10" i="9"/>
  <c r="I10" i="8"/>
  <c r="I10" i="6"/>
  <c r="I10" i="7"/>
  <c r="I10" i="14"/>
  <c r="I11" i="29"/>
  <c r="AU63" i="29" s="1"/>
  <c r="I11" i="6"/>
  <c r="I11" i="7"/>
  <c r="I11" i="14"/>
  <c r="I11" i="9"/>
  <c r="I11" i="8"/>
  <c r="I12" i="29"/>
  <c r="I12" i="7"/>
  <c r="I12" i="14"/>
  <c r="I12" i="9"/>
  <c r="I12" i="8"/>
  <c r="I12" i="6"/>
  <c r="I13" i="29"/>
  <c r="I13" i="14"/>
  <c r="I13" i="9"/>
  <c r="I13" i="8"/>
  <c r="I13" i="6"/>
  <c r="I13" i="7"/>
  <c r="I14" i="29"/>
  <c r="I14" i="9"/>
  <c r="I14" i="8"/>
  <c r="I14" i="6"/>
  <c r="I14" i="7"/>
  <c r="I14" i="14"/>
  <c r="I15" i="29"/>
  <c r="AU67" i="29" s="1"/>
  <c r="I15" i="7"/>
  <c r="I15" i="14"/>
  <c r="I15" i="9"/>
  <c r="I15" i="8"/>
  <c r="I15" i="6"/>
  <c r="I16" i="29"/>
  <c r="I16" i="7"/>
  <c r="I16" i="14"/>
  <c r="I16" i="9"/>
  <c r="I16" i="8"/>
  <c r="I16" i="6"/>
  <c r="I17" i="29"/>
  <c r="I17" i="14"/>
  <c r="I17" i="6"/>
  <c r="I17" i="9"/>
  <c r="I17" i="8"/>
  <c r="I17" i="7"/>
  <c r="I18" i="29"/>
  <c r="I18" i="9"/>
  <c r="I18" i="8"/>
  <c r="I18" i="7"/>
  <c r="I18" i="6"/>
  <c r="I18" i="14"/>
  <c r="I19" i="29"/>
  <c r="AU71" i="29" s="1"/>
  <c r="I19" i="7"/>
  <c r="I19" i="14"/>
  <c r="I19" i="6"/>
  <c r="I19" i="8"/>
  <c r="I19" i="9"/>
  <c r="I20" i="29"/>
  <c r="I20" i="7"/>
  <c r="I20" i="14"/>
  <c r="I20" i="6"/>
  <c r="I20" i="9"/>
  <c r="I20" i="8"/>
  <c r="I21" i="29"/>
  <c r="I21" i="14"/>
  <c r="I21" i="6"/>
  <c r="I21" i="9"/>
  <c r="I21" i="8"/>
  <c r="I21" i="7"/>
  <c r="I22" i="29"/>
  <c r="I22" i="14"/>
  <c r="I22" i="9"/>
  <c r="I22" i="8"/>
  <c r="I22" i="7"/>
  <c r="I22" i="6"/>
  <c r="I23" i="29"/>
  <c r="I23" i="14"/>
  <c r="I23" i="6"/>
  <c r="I23" i="9"/>
  <c r="I23" i="8"/>
  <c r="I23" i="7"/>
  <c r="I24" i="29"/>
  <c r="I24" i="14"/>
  <c r="I24" i="7"/>
  <c r="I24" i="6"/>
  <c r="I24" i="9"/>
  <c r="I24" i="8"/>
  <c r="I25" i="29"/>
  <c r="I25" i="14"/>
  <c r="I25" i="6"/>
  <c r="I25" i="9"/>
  <c r="I25" i="8"/>
  <c r="I25" i="7"/>
  <c r="I26" i="29"/>
  <c r="I26" i="9"/>
  <c r="I26" i="8"/>
  <c r="I26" i="7"/>
  <c r="I26" i="14"/>
  <c r="I26" i="6"/>
  <c r="I27" i="29"/>
  <c r="AU79" i="29" s="1"/>
  <c r="I27" i="7"/>
  <c r="I27" i="6"/>
  <c r="I27" i="14"/>
  <c r="I27" i="9"/>
  <c r="I27" i="8"/>
  <c r="I28" i="29"/>
  <c r="I28" i="6"/>
  <c r="I28" i="9"/>
  <c r="I28" i="8"/>
  <c r="I28" i="7"/>
  <c r="I28" i="14"/>
  <c r="I29" i="29"/>
  <c r="I29" i="7"/>
  <c r="I29" i="6"/>
  <c r="I29" i="9"/>
  <c r="I29" i="8"/>
  <c r="I29" i="14"/>
  <c r="I30" i="29"/>
  <c r="I30" i="9"/>
  <c r="I30" i="8"/>
  <c r="I30" i="7"/>
  <c r="I30" i="14"/>
  <c r="I30" i="6"/>
  <c r="I31" i="29"/>
  <c r="AU83" i="29" s="1"/>
  <c r="I31" i="7"/>
  <c r="I31" i="6"/>
  <c r="I31" i="14"/>
  <c r="I31" i="9"/>
  <c r="I31" i="8"/>
  <c r="I32" i="29"/>
  <c r="I32" i="6"/>
  <c r="I32" i="9"/>
  <c r="I32" i="8"/>
  <c r="I32" i="7"/>
  <c r="I32" i="14"/>
  <c r="I33" i="29"/>
  <c r="I33" i="7"/>
  <c r="I33" i="6"/>
  <c r="I33" i="9"/>
  <c r="I33" i="8"/>
  <c r="I33" i="14"/>
  <c r="I34" i="29"/>
  <c r="I34" i="9"/>
  <c r="I34" i="8"/>
  <c r="I34" i="7"/>
  <c r="I34" i="14"/>
  <c r="I34" i="6"/>
  <c r="I35" i="29"/>
  <c r="I35" i="7"/>
  <c r="I35" i="6"/>
  <c r="I35" i="14"/>
  <c r="I35" i="8"/>
  <c r="I35" i="9"/>
  <c r="I36" i="29"/>
  <c r="AO88" i="29" s="1"/>
  <c r="I36" i="6"/>
  <c r="I36" i="9"/>
  <c r="I36" i="8"/>
  <c r="I36" i="7"/>
  <c r="I36" i="14"/>
  <c r="I37" i="29"/>
  <c r="I37" i="7"/>
  <c r="I37" i="6"/>
  <c r="I37" i="9"/>
  <c r="I37" i="8"/>
  <c r="I37" i="14"/>
  <c r="I38" i="29"/>
  <c r="I38" i="9"/>
  <c r="I38" i="8"/>
  <c r="I38" i="7"/>
  <c r="I38" i="14"/>
  <c r="I38" i="6"/>
  <c r="I39" i="29"/>
  <c r="AT91" i="29" s="1"/>
  <c r="I39" i="7"/>
  <c r="I39" i="6"/>
  <c r="I39" i="14"/>
  <c r="I39" i="9"/>
  <c r="I39" i="8"/>
  <c r="I40" i="29"/>
  <c r="I40" i="6"/>
  <c r="I40" i="9"/>
  <c r="I40" i="8"/>
  <c r="I40" i="7"/>
  <c r="I40" i="14"/>
  <c r="I41" i="29"/>
  <c r="I41" i="7"/>
  <c r="I41" i="6"/>
  <c r="I41" i="9"/>
  <c r="I41" i="8"/>
  <c r="I41" i="14"/>
  <c r="I42" i="29"/>
  <c r="I42" i="9"/>
  <c r="I42" i="8"/>
  <c r="I42" i="7"/>
  <c r="I42" i="14"/>
  <c r="I42" i="6"/>
  <c r="I43" i="29"/>
  <c r="AN95" i="29" s="1"/>
  <c r="I43" i="7"/>
  <c r="I43" i="6"/>
  <c r="I43" i="14"/>
  <c r="I43" i="9"/>
  <c r="I43" i="8"/>
  <c r="I44" i="29"/>
  <c r="I44" i="6"/>
  <c r="I44" i="9"/>
  <c r="I44" i="8"/>
  <c r="I44" i="7"/>
  <c r="I44" i="14"/>
  <c r="I45" i="29"/>
  <c r="I45" i="7"/>
  <c r="I45" i="6"/>
  <c r="I45" i="9"/>
  <c r="I45" i="8"/>
  <c r="I45" i="14"/>
  <c r="I46" i="29"/>
  <c r="I46" i="9"/>
  <c r="I46" i="8"/>
  <c r="I46" i="7"/>
  <c r="I46" i="14"/>
  <c r="I46" i="6"/>
  <c r="I47" i="29"/>
  <c r="I47" i="7"/>
  <c r="I47" i="6"/>
  <c r="I47" i="14"/>
  <c r="I47" i="9"/>
  <c r="I47" i="8"/>
  <c r="I48" i="29"/>
  <c r="I48" i="6"/>
  <c r="I48" i="9"/>
  <c r="I48" i="8"/>
  <c r="I48" i="7"/>
  <c r="I48" i="14"/>
  <c r="I49" i="29"/>
  <c r="I49" i="7"/>
  <c r="I49" i="6"/>
  <c r="I49" i="9"/>
  <c r="I49" i="8"/>
  <c r="I49" i="14"/>
  <c r="I50" i="29"/>
  <c r="I50" i="9"/>
  <c r="I50" i="8"/>
  <c r="I50" i="7"/>
  <c r="I50" i="14"/>
  <c r="I50" i="6"/>
  <c r="I51" i="29"/>
  <c r="I51" i="7"/>
  <c r="I51" i="6"/>
  <c r="I51" i="14"/>
  <c r="I51" i="8"/>
  <c r="I51" i="9"/>
  <c r="I5" i="30"/>
  <c r="AF48" i="30" s="1"/>
  <c r="I5" i="13"/>
  <c r="I5" i="12"/>
  <c r="I5" i="11"/>
  <c r="I5" i="10"/>
  <c r="I6" i="30"/>
  <c r="I6" i="13"/>
  <c r="I6" i="12"/>
  <c r="I6" i="11"/>
  <c r="I6" i="10"/>
  <c r="I7" i="30"/>
  <c r="X50" i="30" s="1"/>
  <c r="I7" i="12"/>
  <c r="I7" i="11"/>
  <c r="I7" i="10"/>
  <c r="I7" i="13"/>
  <c r="I8" i="30"/>
  <c r="I8" i="10"/>
  <c r="I8" i="13"/>
  <c r="I8" i="12"/>
  <c r="I8" i="11"/>
  <c r="I9" i="30"/>
  <c r="X52" i="30" s="1"/>
  <c r="I9" i="13"/>
  <c r="I9" i="12"/>
  <c r="I9" i="11"/>
  <c r="I9" i="10"/>
  <c r="I10" i="30"/>
  <c r="I10" i="13"/>
  <c r="I10" i="12"/>
  <c r="I10" i="11"/>
  <c r="I10" i="10"/>
  <c r="I11" i="30"/>
  <c r="I11" i="12"/>
  <c r="I11" i="11"/>
  <c r="I11" i="10"/>
  <c r="I11" i="13"/>
  <c r="I12" i="30"/>
  <c r="I12" i="10"/>
  <c r="I12" i="13"/>
  <c r="I12" i="11"/>
  <c r="I12" i="12"/>
  <c r="I13" i="30"/>
  <c r="AF56" i="30" s="1"/>
  <c r="I13" i="13"/>
  <c r="I13" i="12"/>
  <c r="I13" i="11"/>
  <c r="I13" i="10"/>
  <c r="I14" i="30"/>
  <c r="I14" i="13"/>
  <c r="I14" i="12"/>
  <c r="I14" i="11"/>
  <c r="I14" i="10"/>
  <c r="I15" i="30"/>
  <c r="I15" i="12"/>
  <c r="I15" i="11"/>
  <c r="I15" i="10"/>
  <c r="I15" i="13"/>
  <c r="I16" i="30"/>
  <c r="I16" i="10"/>
  <c r="I16" i="13"/>
  <c r="I16" i="11"/>
  <c r="I16" i="12"/>
  <c r="I17" i="30"/>
  <c r="I17" i="13"/>
  <c r="I17" i="12"/>
  <c r="I17" i="11"/>
  <c r="I17" i="10"/>
  <c r="I18" i="30"/>
  <c r="I18" i="13"/>
  <c r="I18" i="12"/>
  <c r="I18" i="11"/>
  <c r="I18" i="10"/>
  <c r="I19" i="30"/>
  <c r="I19" i="12"/>
  <c r="I19" i="11"/>
  <c r="I19" i="10"/>
  <c r="I19" i="13"/>
  <c r="I20" i="30"/>
  <c r="I20" i="10"/>
  <c r="I20" i="13"/>
  <c r="I20" i="12"/>
  <c r="I20" i="11"/>
  <c r="I21" i="30"/>
  <c r="AF64" i="30" s="1"/>
  <c r="I21" i="13"/>
  <c r="I21" i="12"/>
  <c r="I21" i="11"/>
  <c r="I21" i="10"/>
  <c r="I22" i="30"/>
  <c r="I22" i="13"/>
  <c r="I22" i="12"/>
  <c r="I22" i="11"/>
  <c r="I22" i="10"/>
  <c r="I23" i="30"/>
  <c r="I23" i="12"/>
  <c r="I23" i="11"/>
  <c r="I23" i="10"/>
  <c r="I23" i="13"/>
  <c r="I24" i="30"/>
  <c r="I24" i="10"/>
  <c r="I24" i="13"/>
  <c r="I24" i="12"/>
  <c r="I24" i="11"/>
  <c r="I25" i="30"/>
  <c r="I25" i="13"/>
  <c r="I25" i="12"/>
  <c r="I25" i="11"/>
  <c r="I25" i="10"/>
  <c r="I26" i="30"/>
  <c r="I26" i="13"/>
  <c r="I26" i="12"/>
  <c r="I26" i="11"/>
  <c r="I26" i="10"/>
  <c r="I27" i="30"/>
  <c r="I27" i="12"/>
  <c r="I27" i="11"/>
  <c r="I27" i="10"/>
  <c r="I27" i="13"/>
  <c r="I28" i="30"/>
  <c r="I28" i="10"/>
  <c r="I28" i="13"/>
  <c r="I28" i="11"/>
  <c r="I28" i="12"/>
  <c r="I29" i="30"/>
  <c r="AB72" i="30" s="1"/>
  <c r="I29" i="13"/>
  <c r="I29" i="12"/>
  <c r="I29" i="11"/>
  <c r="I29" i="10"/>
  <c r="I30" i="30"/>
  <c r="I30" i="13"/>
  <c r="I30" i="12"/>
  <c r="I30" i="11"/>
  <c r="I30" i="10"/>
  <c r="I31" i="30"/>
  <c r="AA74" i="30" s="1"/>
  <c r="I31" i="12"/>
  <c r="I31" i="11"/>
  <c r="I31" i="10"/>
  <c r="I31" i="13"/>
  <c r="I32" i="30"/>
  <c r="I32" i="10"/>
  <c r="I32" i="13"/>
  <c r="I32" i="11"/>
  <c r="I32" i="12"/>
  <c r="I33" i="30"/>
  <c r="I33" i="13"/>
  <c r="I33" i="12"/>
  <c r="I33" i="11"/>
  <c r="I33" i="10"/>
  <c r="I34" i="30"/>
  <c r="I34" i="13"/>
  <c r="I34" i="12"/>
  <c r="I34" i="11"/>
  <c r="I34" i="10"/>
  <c r="I35" i="30"/>
  <c r="AF78" i="30" s="1"/>
  <c r="I35" i="12"/>
  <c r="I35" i="11"/>
  <c r="I35" i="10"/>
  <c r="I35" i="13"/>
  <c r="I39" i="30"/>
  <c r="I39" i="12"/>
  <c r="I39" i="11"/>
  <c r="I39" i="10"/>
  <c r="I39" i="13"/>
  <c r="U37" i="4"/>
  <c r="U38" i="4"/>
  <c r="U39" i="4"/>
  <c r="AJ2" i="16"/>
  <c r="AJ7" i="16" s="1"/>
  <c r="AT2" i="16"/>
  <c r="AT7" i="16" s="1"/>
  <c r="AT3" i="16"/>
  <c r="AJ3" i="16"/>
  <c r="AT4" i="16"/>
  <c r="AJ4" i="16"/>
  <c r="U33" i="4"/>
  <c r="P14" i="5" s="1"/>
  <c r="P17" i="5" s="1"/>
  <c r="U34" i="4"/>
  <c r="I38" i="30"/>
  <c r="I38" i="13"/>
  <c r="I38" i="12"/>
  <c r="I38" i="11"/>
  <c r="I38" i="10"/>
  <c r="AO2" i="16"/>
  <c r="AO7" i="16" s="1"/>
  <c r="P15" i="5"/>
  <c r="AO6" i="16"/>
  <c r="AJ5" i="16"/>
  <c r="AJ6" i="16"/>
  <c r="AT6" i="16"/>
  <c r="AO5" i="16"/>
  <c r="AC43" i="17"/>
  <c r="AC101" i="17"/>
  <c r="AI5" i="17"/>
  <c r="P16" i="5"/>
  <c r="AD10" i="27"/>
  <c r="J164" i="27"/>
  <c r="M164" i="27" s="1"/>
  <c r="J159" i="27"/>
  <c r="M159" i="27" s="1"/>
  <c r="J156" i="27"/>
  <c r="M156" i="27" s="1"/>
  <c r="J151" i="27"/>
  <c r="M151" i="27" s="1"/>
  <c r="J148" i="27"/>
  <c r="M148" i="27" s="1"/>
  <c r="J143" i="27"/>
  <c r="M143" i="27" s="1"/>
  <c r="J140" i="27"/>
  <c r="M140" i="27" s="1"/>
  <c r="J136" i="27"/>
  <c r="M136" i="27" s="1"/>
  <c r="J130" i="27"/>
  <c r="M130" i="27" s="1"/>
  <c r="J126" i="27"/>
  <c r="M126" i="27" s="1"/>
  <c r="J122" i="27"/>
  <c r="M122" i="27" s="1"/>
  <c r="J118" i="27"/>
  <c r="J161" i="27"/>
  <c r="M161" i="27" s="1"/>
  <c r="J158" i="27"/>
  <c r="M158" i="27" s="1"/>
  <c r="J153" i="27"/>
  <c r="M153" i="27" s="1"/>
  <c r="J150" i="27"/>
  <c r="M150" i="27" s="1"/>
  <c r="J145" i="27"/>
  <c r="M145" i="27" s="1"/>
  <c r="J142" i="27"/>
  <c r="M142" i="27" s="1"/>
  <c r="J139" i="27"/>
  <c r="M139" i="27" s="1"/>
  <c r="J133" i="27"/>
  <c r="M133" i="27" s="1"/>
  <c r="J129" i="27"/>
  <c r="M129" i="27" s="1"/>
  <c r="J125" i="27"/>
  <c r="M125" i="27" s="1"/>
  <c r="J121" i="27"/>
  <c r="M121" i="27" s="1"/>
  <c r="J163" i="27"/>
  <c r="M163" i="27" s="1"/>
  <c r="J160" i="27"/>
  <c r="M160" i="27" s="1"/>
  <c r="J155" i="27"/>
  <c r="M155" i="27" s="1"/>
  <c r="J152" i="27"/>
  <c r="M152" i="27" s="1"/>
  <c r="J147" i="27"/>
  <c r="M147" i="27" s="1"/>
  <c r="J144" i="27"/>
  <c r="M144" i="27" s="1"/>
  <c r="J138" i="27"/>
  <c r="M138" i="27" s="1"/>
  <c r="J135" i="27"/>
  <c r="M135" i="27" s="1"/>
  <c r="J132" i="27"/>
  <c r="M132" i="27" s="1"/>
  <c r="J128" i="27"/>
  <c r="M128" i="27" s="1"/>
  <c r="J124" i="27"/>
  <c r="M124" i="27" s="1"/>
  <c r="J120" i="27"/>
  <c r="M120" i="27" s="1"/>
  <c r="J119" i="27"/>
  <c r="M119" i="27" s="1"/>
  <c r="J134" i="27"/>
  <c r="M134" i="27" s="1"/>
  <c r="J146" i="27"/>
  <c r="M146" i="27" s="1"/>
  <c r="J157" i="27"/>
  <c r="M157" i="27" s="1"/>
  <c r="AC103" i="17"/>
  <c r="AC120" i="17"/>
  <c r="AC6" i="17"/>
  <c r="AC10" i="17"/>
  <c r="AC14" i="17"/>
  <c r="AC18" i="17"/>
  <c r="AC22" i="17"/>
  <c r="AC26" i="17"/>
  <c r="AC30" i="17"/>
  <c r="AC34" i="17"/>
  <c r="AC38" i="17"/>
  <c r="AC42" i="17"/>
  <c r="AC46" i="17"/>
  <c r="AC50" i="17"/>
  <c r="AC54" i="17"/>
  <c r="AC58" i="17"/>
  <c r="AC62" i="17"/>
  <c r="AC66" i="17"/>
  <c r="AC70" i="17"/>
  <c r="AC74" i="17"/>
  <c r="AC78" i="17"/>
  <c r="AC82" i="17"/>
  <c r="AC86" i="17"/>
  <c r="AC90" i="17"/>
  <c r="AC94" i="17"/>
  <c r="AC98" i="17"/>
  <c r="AC102" i="17"/>
  <c r="AC106" i="17"/>
  <c r="AC114" i="17"/>
  <c r="AC118" i="17"/>
  <c r="J127" i="27"/>
  <c r="M127" i="27" s="1"/>
  <c r="J141" i="27"/>
  <c r="M141" i="27" s="1"/>
  <c r="J162" i="27"/>
  <c r="M162" i="27" s="1"/>
  <c r="X4" i="27"/>
  <c r="AF4" i="27" s="1"/>
  <c r="Y5" i="27"/>
  <c r="AG5" i="27" s="1"/>
  <c r="Y8" i="27"/>
  <c r="AG8" i="27" s="1"/>
  <c r="Y13" i="27"/>
  <c r="AG13" i="27" s="1"/>
  <c r="X3" i="27"/>
  <c r="AF3" i="27" s="1"/>
  <c r="Y4" i="27"/>
  <c r="AG4" i="27" s="1"/>
  <c r="AI6" i="27"/>
  <c r="BD58" i="29"/>
  <c r="AZ58" i="29"/>
  <c r="AV58" i="29"/>
  <c r="AR58" i="29"/>
  <c r="AN58" i="29"/>
  <c r="AJ58" i="29"/>
  <c r="BC58" i="29"/>
  <c r="AY58" i="29"/>
  <c r="AU58" i="29"/>
  <c r="AQ58" i="29"/>
  <c r="AM58" i="29"/>
  <c r="AI58" i="29"/>
  <c r="BB58" i="29"/>
  <c r="AX58" i="29"/>
  <c r="Q8" i="31" s="1"/>
  <c r="AT58" i="29"/>
  <c r="AP58" i="29"/>
  <c r="AL58" i="29"/>
  <c r="BA58" i="29"/>
  <c r="AW58" i="29"/>
  <c r="AS58" i="29"/>
  <c r="AO58" i="29"/>
  <c r="AK58" i="29"/>
  <c r="BB62" i="29"/>
  <c r="AX62" i="29"/>
  <c r="AT62" i="29"/>
  <c r="BA62" i="29"/>
  <c r="AW62" i="29"/>
  <c r="AS62" i="29"/>
  <c r="AO62" i="29"/>
  <c r="BD62" i="29"/>
  <c r="AZ62" i="29"/>
  <c r="AV62" i="29"/>
  <c r="AR62" i="29"/>
  <c r="AN62" i="29"/>
  <c r="AJ62" i="29"/>
  <c r="BC62" i="29"/>
  <c r="AP62" i="29"/>
  <c r="AI62" i="29"/>
  <c r="AY62" i="29"/>
  <c r="AM62" i="29"/>
  <c r="AU62" i="29"/>
  <c r="AL62" i="29"/>
  <c r="AQ62" i="29"/>
  <c r="AK62" i="29"/>
  <c r="BB66" i="29"/>
  <c r="AX66" i="29"/>
  <c r="AT66" i="29"/>
  <c r="AP66" i="29"/>
  <c r="AL66" i="29"/>
  <c r="BA66" i="29"/>
  <c r="AW66" i="29"/>
  <c r="AS66" i="29"/>
  <c r="AO66" i="29"/>
  <c r="AK66" i="29"/>
  <c r="BD66" i="29"/>
  <c r="AZ66" i="29"/>
  <c r="AV66" i="29"/>
  <c r="AR66" i="29"/>
  <c r="AN66" i="29"/>
  <c r="AJ66" i="29"/>
  <c r="BC66" i="29"/>
  <c r="AM66" i="29"/>
  <c r="AY66" i="29"/>
  <c r="AI66" i="29"/>
  <c r="AU66" i="29"/>
  <c r="AQ66" i="29"/>
  <c r="BB70" i="29"/>
  <c r="AX70" i="29"/>
  <c r="AT70" i="29"/>
  <c r="AP70" i="29"/>
  <c r="AL70" i="29"/>
  <c r="BA70" i="29"/>
  <c r="AW70" i="29"/>
  <c r="AS70" i="29"/>
  <c r="AO70" i="29"/>
  <c r="AK70" i="29"/>
  <c r="BD70" i="29"/>
  <c r="AZ70" i="29"/>
  <c r="AV70" i="29"/>
  <c r="AR70" i="29"/>
  <c r="AN70" i="29"/>
  <c r="AJ70" i="29"/>
  <c r="BC70" i="29"/>
  <c r="AM70" i="29"/>
  <c r="AY70" i="29"/>
  <c r="AI70" i="29"/>
  <c r="AU70" i="29"/>
  <c r="AQ70" i="29"/>
  <c r="BB74" i="29"/>
  <c r="AX74" i="29"/>
  <c r="AT74" i="29"/>
  <c r="AP74" i="29"/>
  <c r="AL74" i="29"/>
  <c r="BA74" i="29"/>
  <c r="AW74" i="29"/>
  <c r="AS74" i="29"/>
  <c r="AO74" i="29"/>
  <c r="AK74" i="29"/>
  <c r="P74" i="29"/>
  <c r="BD74" i="29"/>
  <c r="AZ74" i="29"/>
  <c r="AV74" i="29"/>
  <c r="AR74" i="29"/>
  <c r="AN74" i="29"/>
  <c r="AJ74" i="29"/>
  <c r="BC74" i="29"/>
  <c r="AM74" i="29"/>
  <c r="AY74" i="29"/>
  <c r="AI74" i="29"/>
  <c r="R74" i="29"/>
  <c r="AU74" i="29"/>
  <c r="AQ74" i="29"/>
  <c r="BB78" i="29"/>
  <c r="AX78" i="29"/>
  <c r="AT78" i="29"/>
  <c r="AP78" i="29"/>
  <c r="AL78" i="29"/>
  <c r="BA78" i="29"/>
  <c r="AW78" i="29"/>
  <c r="AS78" i="29"/>
  <c r="AO78" i="29"/>
  <c r="AK78" i="29"/>
  <c r="P78" i="29"/>
  <c r="BD78" i="29"/>
  <c r="AZ78" i="29"/>
  <c r="AV78" i="29"/>
  <c r="AR78" i="29"/>
  <c r="AN78" i="29"/>
  <c r="AJ78" i="29"/>
  <c r="BC78" i="29"/>
  <c r="AM78" i="29"/>
  <c r="AY78" i="29"/>
  <c r="AI78" i="29"/>
  <c r="R78" i="29"/>
  <c r="AU78" i="29"/>
  <c r="AQ78" i="29"/>
  <c r="BB82" i="29"/>
  <c r="AX82" i="29"/>
  <c r="AT82" i="29"/>
  <c r="AP82" i="29"/>
  <c r="AL82" i="29"/>
  <c r="BA82" i="29"/>
  <c r="AW82" i="29"/>
  <c r="AS82" i="29"/>
  <c r="AO82" i="29"/>
  <c r="AK82" i="29"/>
  <c r="BD82" i="29"/>
  <c r="AZ82" i="29"/>
  <c r="AV82" i="29"/>
  <c r="AR82" i="29"/>
  <c r="AN82" i="29"/>
  <c r="AJ82" i="29"/>
  <c r="BC82" i="29"/>
  <c r="AM82" i="29"/>
  <c r="AY82" i="29"/>
  <c r="AI82" i="29"/>
  <c r="AU82" i="29"/>
  <c r="AQ82" i="29"/>
  <c r="BB86" i="29"/>
  <c r="AX86" i="29"/>
  <c r="AT86" i="29"/>
  <c r="AP86" i="29"/>
  <c r="AL86" i="29"/>
  <c r="BD86" i="29"/>
  <c r="AZ86" i="29"/>
  <c r="AV86" i="29"/>
  <c r="AR86" i="29"/>
  <c r="AN86" i="29"/>
  <c r="AJ86" i="29"/>
  <c r="BC86" i="29"/>
  <c r="AU86" i="29"/>
  <c r="AM86" i="29"/>
  <c r="BA86" i="29"/>
  <c r="AS86" i="29"/>
  <c r="AK86" i="29"/>
  <c r="AY86" i="29"/>
  <c r="AQ86" i="29"/>
  <c r="AI86" i="29"/>
  <c r="AW86" i="29"/>
  <c r="AO86" i="29"/>
  <c r="BA90" i="29"/>
  <c r="AW90" i="29"/>
  <c r="AS90" i="29"/>
  <c r="AO90" i="29"/>
  <c r="AK90" i="29"/>
  <c r="BB90" i="29"/>
  <c r="AV90" i="29"/>
  <c r="AQ90" i="29"/>
  <c r="AL90" i="29"/>
  <c r="BD90" i="29"/>
  <c r="AY90" i="29"/>
  <c r="AT90" i="29"/>
  <c r="AN90" i="29"/>
  <c r="AI90" i="29"/>
  <c r="BC90" i="29"/>
  <c r="AR90" i="29"/>
  <c r="AZ90" i="29"/>
  <c r="AP90" i="29"/>
  <c r="AX90" i="29"/>
  <c r="AM90" i="29"/>
  <c r="AJ90" i="29"/>
  <c r="AU90" i="29"/>
  <c r="BA94" i="29"/>
  <c r="AW94" i="29"/>
  <c r="AS94" i="29"/>
  <c r="AO94" i="29"/>
  <c r="AK94" i="29"/>
  <c r="BB94" i="29"/>
  <c r="AV94" i="29"/>
  <c r="AQ94" i="29"/>
  <c r="AL94" i="29"/>
  <c r="BD94" i="29"/>
  <c r="AY94" i="29"/>
  <c r="AT94" i="29"/>
  <c r="AN94" i="29"/>
  <c r="AI94" i="29"/>
  <c r="AX94" i="29"/>
  <c r="AM94" i="29"/>
  <c r="AU94" i="29"/>
  <c r="AJ94" i="29"/>
  <c r="BC94" i="29"/>
  <c r="AR94" i="29"/>
  <c r="AZ94" i="29"/>
  <c r="AP94" i="29"/>
  <c r="BA98" i="29"/>
  <c r="AW98" i="29"/>
  <c r="AS98" i="29"/>
  <c r="AO98" i="29"/>
  <c r="AK98" i="29"/>
  <c r="BB98" i="29"/>
  <c r="AV98" i="29"/>
  <c r="AQ98" i="29"/>
  <c r="AL98" i="29"/>
  <c r="AZ98" i="29"/>
  <c r="AU98" i="29"/>
  <c r="AP98" i="29"/>
  <c r="AJ98" i="29"/>
  <c r="BD98" i="29"/>
  <c r="AY98" i="29"/>
  <c r="AT98" i="29"/>
  <c r="AN98" i="29"/>
  <c r="AI98" i="29"/>
  <c r="AM98" i="29"/>
  <c r="BC98" i="29"/>
  <c r="AX98" i="29"/>
  <c r="AR98" i="29"/>
  <c r="BA102" i="29"/>
  <c r="AW102" i="29"/>
  <c r="AS102" i="29"/>
  <c r="AO102" i="29"/>
  <c r="AK102" i="29"/>
  <c r="BB102" i="29"/>
  <c r="AV102" i="29"/>
  <c r="AQ102" i="29"/>
  <c r="AL102" i="29"/>
  <c r="AZ102" i="29"/>
  <c r="AU102" i="29"/>
  <c r="AP102" i="29"/>
  <c r="AJ102" i="29"/>
  <c r="BD102" i="29"/>
  <c r="AY102" i="29"/>
  <c r="AT102" i="29"/>
  <c r="AN102" i="29"/>
  <c r="AI102" i="29"/>
  <c r="BC102" i="29"/>
  <c r="AX102" i="29"/>
  <c r="AR102" i="29"/>
  <c r="AM102" i="29"/>
  <c r="BB63" i="29"/>
  <c r="AX63" i="29"/>
  <c r="AT63" i="29"/>
  <c r="AP63" i="29"/>
  <c r="AL63" i="29"/>
  <c r="BA63" i="29"/>
  <c r="AW63" i="29"/>
  <c r="AS63" i="29"/>
  <c r="AO63" i="29"/>
  <c r="AK63" i="29"/>
  <c r="BD63" i="29"/>
  <c r="AZ63" i="29"/>
  <c r="AV63" i="29"/>
  <c r="AR63" i="29"/>
  <c r="AN63" i="29"/>
  <c r="AJ63" i="29"/>
  <c r="BB67" i="29"/>
  <c r="AX67" i="29"/>
  <c r="AT67" i="29"/>
  <c r="AP67" i="29"/>
  <c r="AL67" i="29"/>
  <c r="BA67" i="29"/>
  <c r="AW67" i="29"/>
  <c r="AS67" i="29"/>
  <c r="AO67" i="29"/>
  <c r="AK67" i="29"/>
  <c r="BD67" i="29"/>
  <c r="AZ67" i="29"/>
  <c r="AV67" i="29"/>
  <c r="AR67" i="29"/>
  <c r="AN67" i="29"/>
  <c r="AJ67" i="29"/>
  <c r="BB71" i="29"/>
  <c r="AX71" i="29"/>
  <c r="AT71" i="29"/>
  <c r="AP71" i="29"/>
  <c r="AL71" i="29"/>
  <c r="BA71" i="29"/>
  <c r="AW71" i="29"/>
  <c r="AS71" i="29"/>
  <c r="AO71" i="29"/>
  <c r="AK71" i="29"/>
  <c r="BD71" i="29"/>
  <c r="AZ71" i="29"/>
  <c r="AV71" i="29"/>
  <c r="AR71" i="29"/>
  <c r="AN71" i="29"/>
  <c r="AJ71" i="29"/>
  <c r="BB75" i="29"/>
  <c r="AX75" i="29"/>
  <c r="AT75" i="29"/>
  <c r="AP75" i="29"/>
  <c r="AL75" i="29"/>
  <c r="BA75" i="29"/>
  <c r="AW75" i="29"/>
  <c r="AS75" i="29"/>
  <c r="AO75" i="29"/>
  <c r="AK75" i="29"/>
  <c r="P75" i="29"/>
  <c r="BD75" i="29"/>
  <c r="AZ75" i="29"/>
  <c r="AV75" i="29"/>
  <c r="AR75" i="29"/>
  <c r="AN75" i="29"/>
  <c r="AJ75" i="29"/>
  <c r="BB79" i="29"/>
  <c r="AX79" i="29"/>
  <c r="AT79" i="29"/>
  <c r="AP79" i="29"/>
  <c r="AL79" i="29"/>
  <c r="BA79" i="29"/>
  <c r="AW79" i="29"/>
  <c r="AS79" i="29"/>
  <c r="AO79" i="29"/>
  <c r="AK79" i="29"/>
  <c r="P79" i="29"/>
  <c r="BD79" i="29"/>
  <c r="AZ79" i="29"/>
  <c r="AV79" i="29"/>
  <c r="AR79" i="29"/>
  <c r="AN79" i="29"/>
  <c r="AJ79" i="29"/>
  <c r="BB83" i="29"/>
  <c r="AX83" i="29"/>
  <c r="AT83" i="29"/>
  <c r="AP83" i="29"/>
  <c r="AL83" i="29"/>
  <c r="BA83" i="29"/>
  <c r="AW83" i="29"/>
  <c r="AS83" i="29"/>
  <c r="AO83" i="29"/>
  <c r="AK83" i="29"/>
  <c r="BD83" i="29"/>
  <c r="AZ83" i="29"/>
  <c r="AV83" i="29"/>
  <c r="AR83" i="29"/>
  <c r="AN83" i="29"/>
  <c r="AJ83" i="29"/>
  <c r="BB87" i="29"/>
  <c r="AX87" i="29"/>
  <c r="AT87" i="29"/>
  <c r="AP87" i="29"/>
  <c r="AL87" i="29"/>
  <c r="BD87" i="29"/>
  <c r="AZ87" i="29"/>
  <c r="AV87" i="29"/>
  <c r="AR87" i="29"/>
  <c r="AN87" i="29"/>
  <c r="AJ87" i="29"/>
  <c r="AY87" i="29"/>
  <c r="AQ87" i="29"/>
  <c r="AI87" i="29"/>
  <c r="AW87" i="29"/>
  <c r="AO87" i="29"/>
  <c r="BC87" i="29"/>
  <c r="AU87" i="29"/>
  <c r="AM87" i="29"/>
  <c r="BA91" i="29"/>
  <c r="AW91" i="29"/>
  <c r="AS91" i="29"/>
  <c r="AO91" i="29"/>
  <c r="AK91" i="29"/>
  <c r="AZ91" i="29"/>
  <c r="AU91" i="29"/>
  <c r="AP91" i="29"/>
  <c r="AJ91" i="29"/>
  <c r="BC91" i="29"/>
  <c r="AX91" i="29"/>
  <c r="AR91" i="29"/>
  <c r="AM91" i="29"/>
  <c r="BB91" i="29"/>
  <c r="AQ91" i="29"/>
  <c r="AY91" i="29"/>
  <c r="AN91" i="29"/>
  <c r="AV91" i="29"/>
  <c r="AL91" i="29"/>
  <c r="BA95" i="29"/>
  <c r="AW95" i="29"/>
  <c r="AS95" i="29"/>
  <c r="AO95" i="29"/>
  <c r="AK95" i="29"/>
  <c r="AZ95" i="29"/>
  <c r="AU95" i="29"/>
  <c r="AP95" i="29"/>
  <c r="AJ95" i="29"/>
  <c r="BC95" i="29"/>
  <c r="AX95" i="29"/>
  <c r="AR95" i="29"/>
  <c r="AM95" i="29"/>
  <c r="AV95" i="29"/>
  <c r="AL95" i="29"/>
  <c r="BD95" i="29"/>
  <c r="AT95" i="29"/>
  <c r="AI95" i="29"/>
  <c r="BB95" i="29"/>
  <c r="AQ95" i="29"/>
  <c r="BA99" i="29"/>
  <c r="AW99" i="29"/>
  <c r="AS99" i="29"/>
  <c r="AO99" i="29"/>
  <c r="AK99" i="29"/>
  <c r="AZ99" i="29"/>
  <c r="AU99" i="29"/>
  <c r="AP99" i="29"/>
  <c r="AJ99" i="29"/>
  <c r="BD99" i="29"/>
  <c r="AY99" i="29"/>
  <c r="AT99" i="29"/>
  <c r="AN99" i="29"/>
  <c r="AI99" i="29"/>
  <c r="BC99" i="29"/>
  <c r="AX99" i="29"/>
  <c r="AR99" i="29"/>
  <c r="AM99" i="29"/>
  <c r="AL99" i="29"/>
  <c r="BB99" i="29"/>
  <c r="AV99" i="29"/>
  <c r="BA103" i="29"/>
  <c r="AW103" i="29"/>
  <c r="AS103" i="29"/>
  <c r="AO103" i="29"/>
  <c r="AK103" i="29"/>
  <c r="AZ103" i="29"/>
  <c r="AU103" i="29"/>
  <c r="AP103" i="29"/>
  <c r="AJ103" i="29"/>
  <c r="BD103" i="29"/>
  <c r="AY103" i="29"/>
  <c r="AT103" i="29"/>
  <c r="AN103" i="29"/>
  <c r="AI103" i="29"/>
  <c r="BC103" i="29"/>
  <c r="AX103" i="29"/>
  <c r="AR103" i="29"/>
  <c r="AM103" i="29"/>
  <c r="BB103" i="29"/>
  <c r="AV103" i="29"/>
  <c r="AQ103" i="29"/>
  <c r="AL57" i="29"/>
  <c r="AP57" i="29"/>
  <c r="AT57" i="29"/>
  <c r="AX57" i="29"/>
  <c r="BB57" i="29"/>
  <c r="AL59" i="29"/>
  <c r="AP59" i="29"/>
  <c r="I8" i="31" s="1"/>
  <c r="AT59" i="29"/>
  <c r="AX59" i="29"/>
  <c r="BB59" i="29"/>
  <c r="AL60" i="29"/>
  <c r="AP60" i="29"/>
  <c r="AT60" i="29"/>
  <c r="AX60" i="29"/>
  <c r="BB60" i="29"/>
  <c r="AM61" i="29"/>
  <c r="AS61" i="29"/>
  <c r="AX61" i="29"/>
  <c r="BC61" i="29"/>
  <c r="AI63" i="29"/>
  <c r="AY63" i="29"/>
  <c r="AM64" i="29"/>
  <c r="AQ65" i="29"/>
  <c r="AI67" i="29"/>
  <c r="AY67" i="29"/>
  <c r="AM68" i="29"/>
  <c r="AQ69" i="29"/>
  <c r="AI71" i="29"/>
  <c r="AY71" i="29"/>
  <c r="AM72" i="29"/>
  <c r="AQ73" i="29"/>
  <c r="R75" i="29"/>
  <c r="AI75" i="29"/>
  <c r="AY75" i="29"/>
  <c r="AM76" i="29"/>
  <c r="AQ77" i="29"/>
  <c r="R79" i="29"/>
  <c r="AI79" i="29"/>
  <c r="AY79" i="29"/>
  <c r="AM80" i="29"/>
  <c r="AQ81" i="29"/>
  <c r="AI83" i="29"/>
  <c r="AY83" i="29"/>
  <c r="AM84" i="29"/>
  <c r="AS85" i="29"/>
  <c r="BA87" i="29"/>
  <c r="BD91" i="29"/>
  <c r="BB93" i="29"/>
  <c r="AY95" i="29"/>
  <c r="BB64" i="29"/>
  <c r="AX64" i="29"/>
  <c r="AT64" i="29"/>
  <c r="AP64" i="29"/>
  <c r="AL64" i="29"/>
  <c r="BA64" i="29"/>
  <c r="AW64" i="29"/>
  <c r="AS64" i="29"/>
  <c r="AO64" i="29"/>
  <c r="AK64" i="29"/>
  <c r="BD64" i="29"/>
  <c r="AZ64" i="29"/>
  <c r="AV64" i="29"/>
  <c r="AR64" i="29"/>
  <c r="AN64" i="29"/>
  <c r="AJ64" i="29"/>
  <c r="BB68" i="29"/>
  <c r="AX68" i="29"/>
  <c r="AT68" i="29"/>
  <c r="AP68" i="29"/>
  <c r="AL68" i="29"/>
  <c r="BA68" i="29"/>
  <c r="AW68" i="29"/>
  <c r="AS68" i="29"/>
  <c r="AO68" i="29"/>
  <c r="AK68" i="29"/>
  <c r="BD68" i="29"/>
  <c r="AZ68" i="29"/>
  <c r="AV68" i="29"/>
  <c r="AR68" i="29"/>
  <c r="AN68" i="29"/>
  <c r="AJ68" i="29"/>
  <c r="BB72" i="29"/>
  <c r="AX72" i="29"/>
  <c r="AT72" i="29"/>
  <c r="AP72" i="29"/>
  <c r="AL72" i="29"/>
  <c r="BA72" i="29"/>
  <c r="AW72" i="29"/>
  <c r="AS72" i="29"/>
  <c r="AO72" i="29"/>
  <c r="AK72" i="29"/>
  <c r="BD72" i="29"/>
  <c r="AZ72" i="29"/>
  <c r="AV72" i="29"/>
  <c r="AR72" i="29"/>
  <c r="AN72" i="29"/>
  <c r="AJ72" i="29"/>
  <c r="BB76" i="29"/>
  <c r="AX76" i="29"/>
  <c r="AT76" i="29"/>
  <c r="AP76" i="29"/>
  <c r="AL76" i="29"/>
  <c r="BA76" i="29"/>
  <c r="AW76" i="29"/>
  <c r="AS76" i="29"/>
  <c r="AO76" i="29"/>
  <c r="AK76" i="29"/>
  <c r="P76" i="29"/>
  <c r="BD76" i="29"/>
  <c r="AZ76" i="29"/>
  <c r="AV76" i="29"/>
  <c r="AR76" i="29"/>
  <c r="AN76" i="29"/>
  <c r="AJ76" i="29"/>
  <c r="BB80" i="29"/>
  <c r="AX80" i="29"/>
  <c r="AT80" i="29"/>
  <c r="AP80" i="29"/>
  <c r="AL80" i="29"/>
  <c r="BA80" i="29"/>
  <c r="AW80" i="29"/>
  <c r="AS80" i="29"/>
  <c r="AO80" i="29"/>
  <c r="AK80" i="29"/>
  <c r="P80" i="29"/>
  <c r="BD80" i="29"/>
  <c r="AZ80" i="29"/>
  <c r="AV80" i="29"/>
  <c r="AR80" i="29"/>
  <c r="AN80" i="29"/>
  <c r="AJ80" i="29"/>
  <c r="BB84" i="29"/>
  <c r="AX84" i="29"/>
  <c r="AT84" i="29"/>
  <c r="AP84" i="29"/>
  <c r="AL84" i="29"/>
  <c r="BA84" i="29"/>
  <c r="AW84" i="29"/>
  <c r="AS84" i="29"/>
  <c r="AO84" i="29"/>
  <c r="AK84" i="29"/>
  <c r="BD84" i="29"/>
  <c r="AZ84" i="29"/>
  <c r="AV84" i="29"/>
  <c r="AR84" i="29"/>
  <c r="AN84" i="29"/>
  <c r="AJ84" i="29"/>
  <c r="BB88" i="29"/>
  <c r="AX88" i="29"/>
  <c r="AT88" i="29"/>
  <c r="AP88" i="29"/>
  <c r="AL88" i="29"/>
  <c r="BD88" i="29"/>
  <c r="AZ88" i="29"/>
  <c r="AV88" i="29"/>
  <c r="AR88" i="29"/>
  <c r="AN88" i="29"/>
  <c r="AJ88" i="29"/>
  <c r="BC88" i="29"/>
  <c r="AU88" i="29"/>
  <c r="AM88" i="29"/>
  <c r="BA88" i="29"/>
  <c r="AS88" i="29"/>
  <c r="AK88" i="29"/>
  <c r="AY88" i="29"/>
  <c r="AQ88" i="29"/>
  <c r="AI88" i="29"/>
  <c r="BA92" i="29"/>
  <c r="AW92" i="29"/>
  <c r="AS92" i="29"/>
  <c r="AO92" i="29"/>
  <c r="AK92" i="29"/>
  <c r="BD92" i="29"/>
  <c r="AY92" i="29"/>
  <c r="AT92" i="29"/>
  <c r="AN92" i="29"/>
  <c r="AI92" i="29"/>
  <c r="BB92" i="29"/>
  <c r="AV92" i="29"/>
  <c r="AQ92" i="29"/>
  <c r="AL92" i="29"/>
  <c r="AZ92" i="29"/>
  <c r="AP92" i="29"/>
  <c r="AX92" i="29"/>
  <c r="AM92" i="29"/>
  <c r="AU92" i="29"/>
  <c r="AJ92" i="29"/>
  <c r="BA96" i="29"/>
  <c r="AW96" i="29"/>
  <c r="AS96" i="29"/>
  <c r="AO96" i="29"/>
  <c r="AK96" i="29"/>
  <c r="BD96" i="29"/>
  <c r="AY96" i="29"/>
  <c r="AT96" i="29"/>
  <c r="AN96" i="29"/>
  <c r="AI96" i="29"/>
  <c r="BC96" i="29"/>
  <c r="BB96" i="29"/>
  <c r="AV96" i="29"/>
  <c r="AQ96" i="29"/>
  <c r="AL96" i="29"/>
  <c r="AU96" i="29"/>
  <c r="AJ96" i="29"/>
  <c r="AR96" i="29"/>
  <c r="AZ96" i="29"/>
  <c r="AP96" i="29"/>
  <c r="BA100" i="29"/>
  <c r="AW100" i="29"/>
  <c r="AS100" i="29"/>
  <c r="AO100" i="29"/>
  <c r="AK100" i="29"/>
  <c r="BD100" i="29"/>
  <c r="AY100" i="29"/>
  <c r="AT100" i="29"/>
  <c r="AN100" i="29"/>
  <c r="AI100" i="29"/>
  <c r="BC100" i="29"/>
  <c r="AX100" i="29"/>
  <c r="AR100" i="29"/>
  <c r="AM100" i="29"/>
  <c r="BB100" i="29"/>
  <c r="AV100" i="29"/>
  <c r="AQ100" i="29"/>
  <c r="AL100" i="29"/>
  <c r="AJ100" i="29"/>
  <c r="AZ100" i="29"/>
  <c r="AU100" i="29"/>
  <c r="AI57" i="29"/>
  <c r="AM57" i="29"/>
  <c r="AQ57" i="29"/>
  <c r="AU57" i="29"/>
  <c r="AY57" i="29"/>
  <c r="BC57" i="29"/>
  <c r="AI59" i="29"/>
  <c r="AM59" i="29"/>
  <c r="AQ59" i="29"/>
  <c r="AU59" i="29"/>
  <c r="AY59" i="29"/>
  <c r="BC59" i="29"/>
  <c r="AI60" i="29"/>
  <c r="AM60" i="29"/>
  <c r="AQ60" i="29"/>
  <c r="AU60" i="29"/>
  <c r="AY60" i="29"/>
  <c r="BC60" i="29"/>
  <c r="AI61" i="29"/>
  <c r="AO61" i="29"/>
  <c r="AT61" i="29"/>
  <c r="AM63" i="29"/>
  <c r="BC63" i="29"/>
  <c r="AQ64" i="29"/>
  <c r="AM67" i="29"/>
  <c r="BC67" i="29"/>
  <c r="AQ68" i="29"/>
  <c r="AM71" i="29"/>
  <c r="BC71" i="29"/>
  <c r="AQ72" i="29"/>
  <c r="AM75" i="29"/>
  <c r="BC75" i="29"/>
  <c r="AQ76" i="29"/>
  <c r="AM79" i="29"/>
  <c r="BC79" i="29"/>
  <c r="AQ80" i="29"/>
  <c r="AM83" i="29"/>
  <c r="BC83" i="29"/>
  <c r="AQ84" i="29"/>
  <c r="AW88" i="29"/>
  <c r="BD61" i="29"/>
  <c r="AZ61" i="29"/>
  <c r="AV61" i="29"/>
  <c r="O8" i="31" s="1"/>
  <c r="AR61" i="29"/>
  <c r="AN61" i="29"/>
  <c r="AJ61" i="29"/>
  <c r="BB65" i="29"/>
  <c r="AX65" i="29"/>
  <c r="AT65" i="29"/>
  <c r="AP65" i="29"/>
  <c r="AL65" i="29"/>
  <c r="BA65" i="29"/>
  <c r="AW65" i="29"/>
  <c r="AS65" i="29"/>
  <c r="AO65" i="29"/>
  <c r="AK65" i="29"/>
  <c r="BD65" i="29"/>
  <c r="AZ65" i="29"/>
  <c r="AV65" i="29"/>
  <c r="AR65" i="29"/>
  <c r="AN65" i="29"/>
  <c r="AJ65" i="29"/>
  <c r="BB69" i="29"/>
  <c r="AX69" i="29"/>
  <c r="AT69" i="29"/>
  <c r="AP69" i="29"/>
  <c r="AL69" i="29"/>
  <c r="BA69" i="29"/>
  <c r="AW69" i="29"/>
  <c r="AS69" i="29"/>
  <c r="AO69" i="29"/>
  <c r="AK69" i="29"/>
  <c r="BD69" i="29"/>
  <c r="AZ69" i="29"/>
  <c r="AV69" i="29"/>
  <c r="AR69" i="29"/>
  <c r="AN69" i="29"/>
  <c r="AJ69" i="29"/>
  <c r="BB73" i="29"/>
  <c r="AX73" i="29"/>
  <c r="AT73" i="29"/>
  <c r="AP73" i="29"/>
  <c r="AL73" i="29"/>
  <c r="BA73" i="29"/>
  <c r="AW73" i="29"/>
  <c r="AS73" i="29"/>
  <c r="AO73" i="29"/>
  <c r="AK73" i="29"/>
  <c r="P73" i="29"/>
  <c r="BD73" i="29"/>
  <c r="AZ73" i="29"/>
  <c r="AV73" i="29"/>
  <c r="AR73" i="29"/>
  <c r="AN73" i="29"/>
  <c r="AJ73" i="29"/>
  <c r="BB77" i="29"/>
  <c r="AX77" i="29"/>
  <c r="AT77" i="29"/>
  <c r="AP77" i="29"/>
  <c r="AL77" i="29"/>
  <c r="BA77" i="29"/>
  <c r="AW77" i="29"/>
  <c r="AS77" i="29"/>
  <c r="AO77" i="29"/>
  <c r="AK77" i="29"/>
  <c r="BD77" i="29"/>
  <c r="AZ77" i="29"/>
  <c r="AV77" i="29"/>
  <c r="AR77" i="29"/>
  <c r="AN77" i="29"/>
  <c r="AJ77" i="29"/>
  <c r="BB81" i="29"/>
  <c r="AX81" i="29"/>
  <c r="AT81" i="29"/>
  <c r="AP81" i="29"/>
  <c r="AL81" i="29"/>
  <c r="BA81" i="29"/>
  <c r="AW81" i="29"/>
  <c r="AS81" i="29"/>
  <c r="AO81" i="29"/>
  <c r="AK81" i="29"/>
  <c r="P81" i="29"/>
  <c r="BD81" i="29"/>
  <c r="AZ81" i="29"/>
  <c r="AV81" i="29"/>
  <c r="AR81" i="29"/>
  <c r="AN81" i="29"/>
  <c r="AJ81" i="29"/>
  <c r="BB85" i="29"/>
  <c r="AX85" i="29"/>
  <c r="AT85" i="29"/>
  <c r="AP85" i="29"/>
  <c r="AL85" i="29"/>
  <c r="BD85" i="29"/>
  <c r="AZ85" i="29"/>
  <c r="AV85" i="29"/>
  <c r="AY85" i="29"/>
  <c r="AR85" i="29"/>
  <c r="AM85" i="29"/>
  <c r="AW85" i="29"/>
  <c r="AQ85" i="29"/>
  <c r="AK85" i="29"/>
  <c r="BC85" i="29"/>
  <c r="AU85" i="29"/>
  <c r="AO85" i="29"/>
  <c r="AJ85" i="29"/>
  <c r="BB89" i="29"/>
  <c r="AX89" i="29"/>
  <c r="AT89" i="29"/>
  <c r="AP89" i="29"/>
  <c r="AL89" i="29"/>
  <c r="BD89" i="29"/>
  <c r="AZ89" i="29"/>
  <c r="AV89" i="29"/>
  <c r="AR89" i="29"/>
  <c r="AN89" i="29"/>
  <c r="AJ89" i="29"/>
  <c r="AY89" i="29"/>
  <c r="AQ89" i="29"/>
  <c r="AI89" i="29"/>
  <c r="AW89" i="29"/>
  <c r="AO89" i="29"/>
  <c r="BC89" i="29"/>
  <c r="AU89" i="29"/>
  <c r="AM89" i="29"/>
  <c r="BA93" i="29"/>
  <c r="AW93" i="29"/>
  <c r="AS93" i="29"/>
  <c r="AO93" i="29"/>
  <c r="AK93" i="29"/>
  <c r="BC93" i="29"/>
  <c r="AX93" i="29"/>
  <c r="AR93" i="29"/>
  <c r="AM93" i="29"/>
  <c r="AZ93" i="29"/>
  <c r="AU93" i="29"/>
  <c r="AP93" i="29"/>
  <c r="AJ93" i="29"/>
  <c r="AY93" i="29"/>
  <c r="AN93" i="29"/>
  <c r="AV93" i="29"/>
  <c r="AL93" i="29"/>
  <c r="BD93" i="29"/>
  <c r="AT93" i="29"/>
  <c r="AI93" i="29"/>
  <c r="BA97" i="29"/>
  <c r="AW97" i="29"/>
  <c r="AS97" i="29"/>
  <c r="AO97" i="29"/>
  <c r="AK97" i="29"/>
  <c r="BC97" i="29"/>
  <c r="AX97" i="29"/>
  <c r="AR97" i="29"/>
  <c r="AM97" i="29"/>
  <c r="BB97" i="29"/>
  <c r="AV97" i="29"/>
  <c r="AQ97" i="29"/>
  <c r="AL97" i="29"/>
  <c r="AZ97" i="29"/>
  <c r="AU97" i="29"/>
  <c r="AP97" i="29"/>
  <c r="AJ97" i="29"/>
  <c r="AN97" i="29"/>
  <c r="BD97" i="29"/>
  <c r="AI97" i="29"/>
  <c r="AY97" i="29"/>
  <c r="BA101" i="29"/>
  <c r="AW101" i="29"/>
  <c r="AS101" i="29"/>
  <c r="AO101" i="29"/>
  <c r="AK101" i="29"/>
  <c r="BC101" i="29"/>
  <c r="AX101" i="29"/>
  <c r="AR101" i="29"/>
  <c r="AM101" i="29"/>
  <c r="BB101" i="29"/>
  <c r="AV101" i="29"/>
  <c r="AQ101" i="29"/>
  <c r="AL101" i="29"/>
  <c r="AZ101" i="29"/>
  <c r="AU101" i="29"/>
  <c r="AP101" i="29"/>
  <c r="AJ101" i="29"/>
  <c r="BD101" i="29"/>
  <c r="AI101" i="29"/>
  <c r="AY101" i="29"/>
  <c r="AT101" i="29"/>
  <c r="AJ57" i="29"/>
  <c r="C8" i="31" s="1"/>
  <c r="AN57" i="29"/>
  <c r="AR57" i="29"/>
  <c r="AV57" i="29"/>
  <c r="AZ57" i="29"/>
  <c r="S8" i="31" s="1"/>
  <c r="AJ59" i="29"/>
  <c r="AN59" i="29"/>
  <c r="AR59" i="29"/>
  <c r="K8" i="31" s="1"/>
  <c r="AV59" i="29"/>
  <c r="AZ59" i="29"/>
  <c r="AJ60" i="29"/>
  <c r="AN60" i="29"/>
  <c r="AR60" i="29"/>
  <c r="AV60" i="29"/>
  <c r="AZ60" i="29"/>
  <c r="AK61" i="29"/>
  <c r="AP61" i="29"/>
  <c r="AU61" i="29"/>
  <c r="BA61" i="29"/>
  <c r="AQ63" i="29"/>
  <c r="AU64" i="29"/>
  <c r="AI65" i="29"/>
  <c r="AY65" i="29"/>
  <c r="AQ67" i="29"/>
  <c r="AU68" i="29"/>
  <c r="AI69" i="29"/>
  <c r="AY69" i="29"/>
  <c r="AQ71" i="29"/>
  <c r="AU72" i="29"/>
  <c r="R73" i="29"/>
  <c r="AI73" i="29"/>
  <c r="AY73" i="29"/>
  <c r="AQ75" i="29"/>
  <c r="AU76" i="29"/>
  <c r="AI77" i="29"/>
  <c r="AY77" i="29"/>
  <c r="AQ79" i="29"/>
  <c r="AU80" i="29"/>
  <c r="R81" i="29"/>
  <c r="AI81" i="29"/>
  <c r="AY81" i="29"/>
  <c r="AQ83" i="29"/>
  <c r="AU84" i="29"/>
  <c r="AI85" i="29"/>
  <c r="AK87" i="29"/>
  <c r="AS89" i="29"/>
  <c r="AI91" i="29"/>
  <c r="AT97" i="29"/>
  <c r="AQ99" i="29"/>
  <c r="AN101" i="29"/>
  <c r="AL103" i="29"/>
  <c r="AE49" i="30"/>
  <c r="AA49" i="30"/>
  <c r="W49" i="30"/>
  <c r="AD49" i="30"/>
  <c r="Z49" i="30"/>
  <c r="AC49" i="30"/>
  <c r="Y49" i="30"/>
  <c r="D8" i="32" s="1"/>
  <c r="X49" i="30"/>
  <c r="AF49" i="30"/>
  <c r="AB49" i="30"/>
  <c r="AD53" i="30"/>
  <c r="Z53" i="30"/>
  <c r="AC53" i="30"/>
  <c r="Y53" i="30"/>
  <c r="AA53" i="30"/>
  <c r="AF53" i="30"/>
  <c r="X53" i="30"/>
  <c r="AE53" i="30"/>
  <c r="W53" i="30"/>
  <c r="AB53" i="30"/>
  <c r="AD57" i="30"/>
  <c r="Z57" i="30"/>
  <c r="AC57" i="30"/>
  <c r="Y57" i="30"/>
  <c r="AA57" i="30"/>
  <c r="AF57" i="30"/>
  <c r="X57" i="30"/>
  <c r="AE57" i="30"/>
  <c r="W57" i="30"/>
  <c r="AB57" i="30"/>
  <c r="AD61" i="30"/>
  <c r="Z61" i="30"/>
  <c r="AC61" i="30"/>
  <c r="Y61" i="30"/>
  <c r="AA61" i="30"/>
  <c r="AF61" i="30"/>
  <c r="X61" i="30"/>
  <c r="AE61" i="30"/>
  <c r="W61" i="30"/>
  <c r="AB61" i="30"/>
  <c r="AD65" i="30"/>
  <c r="Z65" i="30"/>
  <c r="AC65" i="30"/>
  <c r="Y65" i="30"/>
  <c r="AA65" i="30"/>
  <c r="AF65" i="30"/>
  <c r="X65" i="30"/>
  <c r="AE65" i="30"/>
  <c r="W65" i="30"/>
  <c r="AB65" i="30"/>
  <c r="AD69" i="30"/>
  <c r="Z69" i="30"/>
  <c r="AC69" i="30"/>
  <c r="Y69" i="30"/>
  <c r="AA69" i="30"/>
  <c r="AF69" i="30"/>
  <c r="X69" i="30"/>
  <c r="AE69" i="30"/>
  <c r="W69" i="30"/>
  <c r="AB69" i="30"/>
  <c r="AD73" i="30"/>
  <c r="Z73" i="30"/>
  <c r="AC73" i="30"/>
  <c r="X73" i="30"/>
  <c r="AB73" i="30"/>
  <c r="W73" i="30"/>
  <c r="AF73" i="30"/>
  <c r="AA73" i="30"/>
  <c r="AE73" i="30"/>
  <c r="Y73" i="30"/>
  <c r="AD77" i="30"/>
  <c r="Z77" i="30"/>
  <c r="AC77" i="30"/>
  <c r="X77" i="30"/>
  <c r="AB77" i="30"/>
  <c r="W77" i="30"/>
  <c r="AF77" i="30"/>
  <c r="AA77" i="30"/>
  <c r="Y77" i="30"/>
  <c r="AE77" i="30"/>
  <c r="AD81" i="30"/>
  <c r="Z81" i="30"/>
  <c r="AC81" i="30"/>
  <c r="X81" i="30"/>
  <c r="AB81" i="30"/>
  <c r="W81" i="30"/>
  <c r="AF81" i="30"/>
  <c r="AA81" i="30"/>
  <c r="AE81" i="30"/>
  <c r="Y81" i="30"/>
  <c r="AD50" i="30"/>
  <c r="Z50" i="30"/>
  <c r="AC50" i="30"/>
  <c r="Y50" i="30"/>
  <c r="AE50" i="30"/>
  <c r="J8" i="32" s="1"/>
  <c r="W50" i="30"/>
  <c r="AB50" i="30"/>
  <c r="AA50" i="30"/>
  <c r="F8" i="32" s="1"/>
  <c r="AF50" i="30"/>
  <c r="K10" i="32" s="1"/>
  <c r="AD54" i="30"/>
  <c r="Z54" i="30"/>
  <c r="AC54" i="30"/>
  <c r="Y54" i="30"/>
  <c r="AE54" i="30"/>
  <c r="W54" i="30"/>
  <c r="AB54" i="30"/>
  <c r="AA54" i="30"/>
  <c r="AF54" i="30"/>
  <c r="X54" i="30"/>
  <c r="AD58" i="30"/>
  <c r="Z58" i="30"/>
  <c r="AC58" i="30"/>
  <c r="Y58" i="30"/>
  <c r="AE58" i="30"/>
  <c r="W58" i="30"/>
  <c r="AB58" i="30"/>
  <c r="AA58" i="30"/>
  <c r="AF58" i="30"/>
  <c r="AD62" i="30"/>
  <c r="Z62" i="30"/>
  <c r="AC62" i="30"/>
  <c r="Y62" i="30"/>
  <c r="AE62" i="30"/>
  <c r="W62" i="30"/>
  <c r="AB62" i="30"/>
  <c r="AA62" i="30"/>
  <c r="AF62" i="30"/>
  <c r="X62" i="30"/>
  <c r="X58" i="30"/>
  <c r="AD51" i="30"/>
  <c r="Z51" i="30"/>
  <c r="AC51" i="30"/>
  <c r="Y51" i="30"/>
  <c r="AA51" i="30"/>
  <c r="AF51" i="30"/>
  <c r="X51" i="30"/>
  <c r="AE51" i="30"/>
  <c r="W51" i="30"/>
  <c r="AB51" i="30"/>
  <c r="AD55" i="30"/>
  <c r="Z55" i="30"/>
  <c r="AC55" i="30"/>
  <c r="Y55" i="30"/>
  <c r="AA55" i="30"/>
  <c r="AF55" i="30"/>
  <c r="X55" i="30"/>
  <c r="AE55" i="30"/>
  <c r="W55" i="30"/>
  <c r="AB55" i="30"/>
  <c r="AD59" i="30"/>
  <c r="Z59" i="30"/>
  <c r="AC59" i="30"/>
  <c r="Y59" i="30"/>
  <c r="AA59" i="30"/>
  <c r="AF59" i="30"/>
  <c r="X59" i="30"/>
  <c r="AE59" i="30"/>
  <c r="W59" i="30"/>
  <c r="AB59" i="30"/>
  <c r="AD63" i="30"/>
  <c r="Z63" i="30"/>
  <c r="AC63" i="30"/>
  <c r="Y63" i="30"/>
  <c r="AA63" i="30"/>
  <c r="AF63" i="30"/>
  <c r="X63" i="30"/>
  <c r="AE63" i="30"/>
  <c r="W63" i="30"/>
  <c r="AB63" i="30"/>
  <c r="AD67" i="30"/>
  <c r="Z67" i="30"/>
  <c r="AC67" i="30"/>
  <c r="Y67" i="30"/>
  <c r="AA67" i="30"/>
  <c r="AF67" i="30"/>
  <c r="X67" i="30"/>
  <c r="AE67" i="30"/>
  <c r="W67" i="30"/>
  <c r="AB67" i="30"/>
  <c r="AE71" i="30"/>
  <c r="AA71" i="30"/>
  <c r="AD71" i="30"/>
  <c r="Z71" i="30"/>
  <c r="AC71" i="30"/>
  <c r="Y71" i="30"/>
  <c r="AB71" i="30"/>
  <c r="X71" i="30"/>
  <c r="W71" i="30"/>
  <c r="AF71" i="30"/>
  <c r="AD75" i="30"/>
  <c r="Z75" i="30"/>
  <c r="AF75" i="30"/>
  <c r="AA75" i="30"/>
  <c r="AE75" i="30"/>
  <c r="Y75" i="30"/>
  <c r="AC75" i="30"/>
  <c r="X75" i="30"/>
  <c r="W75" i="30"/>
  <c r="AB75" i="30"/>
  <c r="K8" i="32"/>
  <c r="AE48" i="30"/>
  <c r="AA48" i="30"/>
  <c r="W48" i="30"/>
  <c r="B8" i="32" s="1"/>
  <c r="AD48" i="30"/>
  <c r="Z48" i="30"/>
  <c r="AC48" i="30"/>
  <c r="Y48" i="30"/>
  <c r="AD52" i="30"/>
  <c r="Z52" i="30"/>
  <c r="AC52" i="30"/>
  <c r="Y52" i="30"/>
  <c r="AE52" i="30"/>
  <c r="W52" i="30"/>
  <c r="AB52" i="30"/>
  <c r="AA52" i="30"/>
  <c r="AD56" i="30"/>
  <c r="Z56" i="30"/>
  <c r="AC56" i="30"/>
  <c r="Y56" i="30"/>
  <c r="AE56" i="30"/>
  <c r="W56" i="30"/>
  <c r="AB56" i="30"/>
  <c r="AA56" i="30"/>
  <c r="AD60" i="30"/>
  <c r="Z60" i="30"/>
  <c r="AC60" i="30"/>
  <c r="Y60" i="30"/>
  <c r="AE60" i="30"/>
  <c r="W60" i="30"/>
  <c r="AB60" i="30"/>
  <c r="AA60" i="30"/>
  <c r="AD64" i="30"/>
  <c r="Z64" i="30"/>
  <c r="AC64" i="30"/>
  <c r="Y64" i="30"/>
  <c r="AE64" i="30"/>
  <c r="W64" i="30"/>
  <c r="AB64" i="30"/>
  <c r="AA64" i="30"/>
  <c r="X48" i="30"/>
  <c r="AF52" i="30"/>
  <c r="AF60" i="30"/>
  <c r="AB48" i="30"/>
  <c r="X56" i="30"/>
  <c r="X64" i="30"/>
  <c r="AD66" i="30"/>
  <c r="Z66" i="30"/>
  <c r="AC66" i="30"/>
  <c r="Y66" i="30"/>
  <c r="AD70" i="30"/>
  <c r="Z70" i="30"/>
  <c r="AC70" i="30"/>
  <c r="Y70" i="30"/>
  <c r="AD74" i="30"/>
  <c r="Z74" i="30"/>
  <c r="AE74" i="30"/>
  <c r="Y74" i="30"/>
  <c r="AC74" i="30"/>
  <c r="X74" i="30"/>
  <c r="AB74" i="30"/>
  <c r="W74" i="30"/>
  <c r="AD78" i="30"/>
  <c r="Z78" i="30"/>
  <c r="AE78" i="30"/>
  <c r="Y78" i="30"/>
  <c r="AC78" i="30"/>
  <c r="X78" i="30"/>
  <c r="AB78" i="30"/>
  <c r="W78" i="30"/>
  <c r="AD82" i="30"/>
  <c r="Z82" i="30"/>
  <c r="AE82" i="30"/>
  <c r="Y82" i="30"/>
  <c r="AC82" i="30"/>
  <c r="X82" i="30"/>
  <c r="AB82" i="30"/>
  <c r="W82" i="30"/>
  <c r="AA66" i="30"/>
  <c r="AA68" i="30"/>
  <c r="AA70" i="30"/>
  <c r="AF72" i="30"/>
  <c r="AF74" i="30"/>
  <c r="AB66" i="30"/>
  <c r="AB70" i="30"/>
  <c r="AA82" i="30"/>
  <c r="AD68" i="30"/>
  <c r="Z68" i="30"/>
  <c r="AC68" i="30"/>
  <c r="Y68" i="30"/>
  <c r="AE72" i="30"/>
  <c r="AA72" i="30"/>
  <c r="W72" i="30"/>
  <c r="AD72" i="30"/>
  <c r="Z72" i="30"/>
  <c r="AC72" i="30"/>
  <c r="Y72" i="30"/>
  <c r="AD76" i="30"/>
  <c r="Z76" i="30"/>
  <c r="AB76" i="30"/>
  <c r="W76" i="30"/>
  <c r="AF76" i="30"/>
  <c r="AA76" i="30"/>
  <c r="AE76" i="30"/>
  <c r="Y76" i="30"/>
  <c r="W66" i="30"/>
  <c r="AE66" i="30"/>
  <c r="W68" i="30"/>
  <c r="AE68" i="30"/>
  <c r="W70" i="30"/>
  <c r="AE70" i="30"/>
  <c r="X72" i="30"/>
  <c r="X76" i="30"/>
  <c r="AA78" i="30"/>
  <c r="AF82" i="30"/>
  <c r="M8" i="31"/>
  <c r="G8" i="31"/>
  <c r="H8" i="32"/>
  <c r="Z8" i="27"/>
  <c r="AH8" i="27" s="1"/>
  <c r="Z13" i="27"/>
  <c r="AH13" i="27" s="1"/>
  <c r="Z4" i="27"/>
  <c r="AH4" i="27" s="1"/>
  <c r="AJ6" i="27"/>
  <c r="AJ5" i="27"/>
  <c r="AJ8" i="27"/>
  <c r="AJ13" i="27"/>
  <c r="Z3" i="27"/>
  <c r="AH3" i="27" s="1"/>
  <c r="Z6" i="27"/>
  <c r="AH6" i="27" s="1"/>
  <c r="AJ3" i="27"/>
  <c r="Z5" i="27"/>
  <c r="AH5" i="27" s="1"/>
  <c r="R9" i="27"/>
  <c r="U9" i="27"/>
  <c r="AI9" i="27" s="1"/>
  <c r="M118" i="27"/>
  <c r="U10" i="27" s="1"/>
  <c r="AI10" i="27" s="1"/>
  <c r="R11" i="27"/>
  <c r="M213" i="27"/>
  <c r="U11" i="27" s="1"/>
  <c r="AI11" i="27" s="1"/>
  <c r="R12" i="27"/>
  <c r="M321" i="27"/>
  <c r="U12" i="27" s="1"/>
  <c r="AI12" i="27" s="1"/>
  <c r="AB55" i="7"/>
  <c r="E35" i="5"/>
  <c r="D30" i="5" s="1"/>
  <c r="F35" i="5"/>
  <c r="AJ8" i="16"/>
  <c r="AJ9" i="16" s="1"/>
  <c r="AT5" i="16"/>
  <c r="AT8" i="16" s="1"/>
  <c r="AC117" i="17"/>
  <c r="AC119" i="17"/>
  <c r="AC134" i="17"/>
  <c r="AC110" i="17"/>
  <c r="AC105" i="17"/>
  <c r="AC107" i="17"/>
  <c r="AC122" i="17"/>
  <c r="AC138" i="17"/>
  <c r="AC100" i="17"/>
  <c r="AC108" i="17"/>
  <c r="AC116" i="17"/>
  <c r="AC7" i="17"/>
  <c r="AC11" i="17"/>
  <c r="AC15" i="17"/>
  <c r="AC109" i="17"/>
  <c r="AC111" i="17"/>
  <c r="AI7" i="17" s="1"/>
  <c r="AC126" i="17"/>
  <c r="AC142" i="17"/>
  <c r="AC2" i="17"/>
  <c r="AC4" i="17"/>
  <c r="AC8" i="17"/>
  <c r="AC12" i="17"/>
  <c r="AC16" i="17"/>
  <c r="AC25" i="17"/>
  <c r="AC99" i="17"/>
  <c r="AC113" i="17"/>
  <c r="AC115" i="17"/>
  <c r="AC130" i="17"/>
  <c r="AC104" i="17"/>
  <c r="AC112" i="17"/>
  <c r="AC47" i="17"/>
  <c r="AC123" i="17"/>
  <c r="AC127" i="17"/>
  <c r="AC131" i="17"/>
  <c r="AC135" i="17"/>
  <c r="AC139" i="17"/>
  <c r="AC143" i="17"/>
  <c r="AC20" i="17"/>
  <c r="AC24" i="17"/>
  <c r="AC28" i="17"/>
  <c r="AC32" i="17"/>
  <c r="AC36" i="17"/>
  <c r="AC40" i="17"/>
  <c r="AC44" i="17"/>
  <c r="AC48" i="17"/>
  <c r="AC52" i="17"/>
  <c r="AC56" i="17"/>
  <c r="AC60" i="17"/>
  <c r="AI6" i="17" s="1"/>
  <c r="AC64" i="17"/>
  <c r="AC68" i="17"/>
  <c r="AC72" i="17"/>
  <c r="AC76" i="17"/>
  <c r="AC80" i="17"/>
  <c r="AC84" i="17"/>
  <c r="AC88" i="17"/>
  <c r="AC92" i="17"/>
  <c r="AC96" i="17"/>
  <c r="AC124" i="17"/>
  <c r="AC128" i="17"/>
  <c r="AC132" i="17"/>
  <c r="AC136" i="17"/>
  <c r="AC140" i="17"/>
  <c r="AC144" i="17"/>
  <c r="AC33" i="17"/>
  <c r="AC37" i="17"/>
  <c r="AC41" i="17"/>
  <c r="AC45" i="17"/>
  <c r="AC49" i="17"/>
  <c r="AC53" i="17"/>
  <c r="AC57" i="17"/>
  <c r="AC61" i="17"/>
  <c r="AC65" i="17"/>
  <c r="AC69" i="17"/>
  <c r="AC73" i="17"/>
  <c r="AC77" i="17"/>
  <c r="AC81" i="17"/>
  <c r="AC85" i="17"/>
  <c r="AC89" i="17"/>
  <c r="AC93" i="17"/>
  <c r="AC97" i="17"/>
  <c r="AC121" i="17"/>
  <c r="AC125" i="17"/>
  <c r="AC129" i="17"/>
  <c r="AC133" i="17"/>
  <c r="AC137" i="17"/>
  <c r="AC141" i="17"/>
  <c r="AC145" i="17"/>
  <c r="AO8" i="16"/>
  <c r="AL54" i="8"/>
  <c r="AL54" i="9"/>
  <c r="AL54" i="7"/>
  <c r="AB54" i="8"/>
  <c r="AB54" i="9"/>
  <c r="AB54" i="7"/>
  <c r="Q45" i="13"/>
  <c r="Q45" i="12"/>
  <c r="Q45" i="10"/>
  <c r="Q45" i="11"/>
  <c r="O54" i="9"/>
  <c r="O54" i="8"/>
  <c r="O58" i="8" s="1"/>
  <c r="O54" i="7"/>
  <c r="S54" i="9"/>
  <c r="S54" i="7"/>
  <c r="S54" i="8"/>
  <c r="AJ56" i="7"/>
  <c r="V46" i="13"/>
  <c r="V46" i="10"/>
  <c r="V46" i="11"/>
  <c r="V46" i="12"/>
  <c r="AH55" i="9"/>
  <c r="AH55" i="8"/>
  <c r="AH55" i="7"/>
  <c r="AH57" i="6"/>
  <c r="E28" i="5"/>
  <c r="AD54" i="8"/>
  <c r="AD54" i="9"/>
  <c r="AG56" i="9"/>
  <c r="AG56" i="8"/>
  <c r="AJ54" i="8"/>
  <c r="AJ58" i="8" s="1"/>
  <c r="AJ54" i="9"/>
  <c r="AJ54" i="7"/>
  <c r="X54" i="8"/>
  <c r="X58" i="8" s="1"/>
  <c r="X54" i="9"/>
  <c r="X54" i="7"/>
  <c r="AF54" i="8"/>
  <c r="AF54" i="9"/>
  <c r="AF54" i="7"/>
  <c r="AH56" i="6"/>
  <c r="AJ58" i="6"/>
  <c r="AJ56" i="8"/>
  <c r="V45" i="13"/>
  <c r="V45" i="12"/>
  <c r="V45" i="11"/>
  <c r="V45" i="10"/>
  <c r="X47" i="13"/>
  <c r="X47" i="12"/>
  <c r="X47" i="10"/>
  <c r="X47" i="11"/>
  <c r="Z56" i="9"/>
  <c r="Z56" i="8"/>
  <c r="Z56" i="7"/>
  <c r="Z58" i="6"/>
  <c r="AI55" i="9"/>
  <c r="AI55" i="8"/>
  <c r="AI55" i="7"/>
  <c r="AI57" i="6"/>
  <c r="AA54" i="9"/>
  <c r="AA54" i="7"/>
  <c r="AA54" i="8"/>
  <c r="AA58" i="8" s="1"/>
  <c r="AG54" i="9"/>
  <c r="AG54" i="8"/>
  <c r="Z45" i="13"/>
  <c r="Z45" i="11"/>
  <c r="Z45" i="10"/>
  <c r="Z45" i="12"/>
  <c r="AA56" i="9"/>
  <c r="AA56" i="7"/>
  <c r="AA56" i="8"/>
  <c r="AI56" i="9"/>
  <c r="AI56" i="8"/>
  <c r="AI56" i="7"/>
  <c r="F28" i="5"/>
  <c r="AI58" i="6"/>
  <c r="Y45" i="13"/>
  <c r="Y45" i="12"/>
  <c r="Y49" i="12" s="1"/>
  <c r="Y45" i="10"/>
  <c r="Y45" i="11"/>
  <c r="Y49" i="11" s="1"/>
  <c r="AD55" i="9"/>
  <c r="AD55" i="8"/>
  <c r="AD55" i="7"/>
  <c r="M11" i="6"/>
  <c r="M24" i="6"/>
  <c r="P54" i="8"/>
  <c r="P58" i="8" s="1"/>
  <c r="P54" i="9"/>
  <c r="P54" i="7"/>
  <c r="U54" i="9"/>
  <c r="U54" i="8"/>
  <c r="U58" i="8" s="1"/>
  <c r="U54" i="7"/>
  <c r="W54" i="9"/>
  <c r="W54" i="8"/>
  <c r="W58" i="8" s="1"/>
  <c r="W54" i="7"/>
  <c r="AC54" i="9"/>
  <c r="AC54" i="8"/>
  <c r="AC58" i="8" s="1"/>
  <c r="AC54" i="7"/>
  <c r="AI54" i="9"/>
  <c r="AI54" i="7"/>
  <c r="AI54" i="8"/>
  <c r="AI58" i="8" s="1"/>
  <c r="Z54" i="8"/>
  <c r="Z58" i="8" s="1"/>
  <c r="Z43" i="9" s="1"/>
  <c r="Z54" i="9"/>
  <c r="Z54" i="7"/>
  <c r="AG56" i="7"/>
  <c r="AD56" i="9"/>
  <c r="AD56" i="8"/>
  <c r="V47" i="13"/>
  <c r="V47" i="11"/>
  <c r="V47" i="12"/>
  <c r="Z46" i="13"/>
  <c r="Z46" i="10"/>
  <c r="Z46" i="11"/>
  <c r="Z46" i="12"/>
  <c r="U56" i="9"/>
  <c r="U56" i="8"/>
  <c r="T47" i="13"/>
  <c r="T47" i="12"/>
  <c r="T47" i="10"/>
  <c r="T47" i="11"/>
  <c r="AH56" i="9"/>
  <c r="AH56" i="8"/>
  <c r="Y46" i="12"/>
  <c r="Y46" i="13"/>
  <c r="Y46" i="11"/>
  <c r="Y46" i="10"/>
  <c r="M54" i="9"/>
  <c r="M54" i="8"/>
  <c r="M58" i="8" s="1"/>
  <c r="R54" i="8"/>
  <c r="R58" i="8" s="1"/>
  <c r="R54" i="9"/>
  <c r="U58" i="6"/>
  <c r="AB57" i="6"/>
  <c r="AE54" i="9"/>
  <c r="AE54" i="8"/>
  <c r="AE54" i="7"/>
  <c r="AK54" i="9"/>
  <c r="AK54" i="8"/>
  <c r="AK58" i="8" s="1"/>
  <c r="AD56" i="7"/>
  <c r="AH56" i="7"/>
  <c r="R54" i="7"/>
  <c r="F18" i="5"/>
  <c r="X45" i="13"/>
  <c r="X45" i="12"/>
  <c r="X45" i="11"/>
  <c r="X45" i="10"/>
  <c r="Z47" i="13"/>
  <c r="Z47" i="12"/>
  <c r="Z47" i="11"/>
  <c r="V56" i="9"/>
  <c r="V56" i="8"/>
  <c r="Y47" i="13"/>
  <c r="Y47" i="12"/>
  <c r="Y47" i="11"/>
  <c r="Y47" i="10"/>
  <c r="L54" i="8"/>
  <c r="L58" i="8" s="1"/>
  <c r="L54" i="9"/>
  <c r="L54" i="7"/>
  <c r="Q54" i="9"/>
  <c r="Q54" i="8"/>
  <c r="Q58" i="8" s="1"/>
  <c r="AH58" i="6"/>
  <c r="M54" i="7"/>
  <c r="AK54" i="7"/>
  <c r="AB55" i="8"/>
  <c r="AA51" i="9"/>
  <c r="AA49" i="9"/>
  <c r="AA47" i="9"/>
  <c r="AA44" i="9"/>
  <c r="AA50" i="9"/>
  <c r="AA48" i="9"/>
  <c r="AA45" i="9"/>
  <c r="AA42" i="9"/>
  <c r="AA41" i="9"/>
  <c r="AA39" i="9"/>
  <c r="AA37" i="9"/>
  <c r="AA43" i="9"/>
  <c r="AA46" i="9"/>
  <c r="AA40" i="9"/>
  <c r="AA38" i="9"/>
  <c r="AA36" i="9"/>
  <c r="AA34" i="9"/>
  <c r="AA32" i="9"/>
  <c r="AA30" i="9"/>
  <c r="AA35" i="9"/>
  <c r="AA33" i="9"/>
  <c r="AA28" i="9"/>
  <c r="AA26" i="9"/>
  <c r="AA24" i="9"/>
  <c r="AA31" i="9"/>
  <c r="AA29" i="9"/>
  <c r="AA27" i="9"/>
  <c r="AA25" i="9"/>
  <c r="AA23" i="9"/>
  <c r="AA21" i="9"/>
  <c r="AA19" i="9"/>
  <c r="AA17" i="9"/>
  <c r="AA15" i="9"/>
  <c r="AA13" i="9"/>
  <c r="AA22" i="9"/>
  <c r="AA20" i="9"/>
  <c r="AA16" i="9"/>
  <c r="AA14" i="9"/>
  <c r="AA18" i="9"/>
  <c r="AA7" i="9"/>
  <c r="AA12" i="9"/>
  <c r="AA5" i="9"/>
  <c r="AA10" i="9"/>
  <c r="AA8" i="9"/>
  <c r="AA11" i="9"/>
  <c r="AA9" i="9"/>
  <c r="AA6" i="9"/>
  <c r="Z45" i="9"/>
  <c r="Z34" i="9"/>
  <c r="Z6" i="9"/>
  <c r="M68" i="6"/>
  <c r="AG53" i="7"/>
  <c r="Z53" i="7"/>
  <c r="Z58" i="7" s="1"/>
  <c r="AM57" i="7"/>
  <c r="AF53" i="7"/>
  <c r="AE53" i="7"/>
  <c r="AA53" i="7"/>
  <c r="AA58" i="7" s="1"/>
  <c r="M66" i="6"/>
  <c r="M12" i="6"/>
  <c r="M20" i="6"/>
  <c r="M27" i="6"/>
  <c r="M29" i="6"/>
  <c r="M31" i="6"/>
  <c r="M33" i="6"/>
  <c r="M35" i="6"/>
  <c r="M37" i="6"/>
  <c r="M39" i="6"/>
  <c r="M41" i="6"/>
  <c r="M43" i="6"/>
  <c r="M45" i="6"/>
  <c r="M47" i="6"/>
  <c r="M49" i="6"/>
  <c r="M51" i="6"/>
  <c r="R55" i="6"/>
  <c r="R60" i="6" s="1"/>
  <c r="Y55" i="6"/>
  <c r="Z55" i="6"/>
  <c r="M7" i="6"/>
  <c r="M13" i="6"/>
  <c r="M17" i="6"/>
  <c r="M21" i="6"/>
  <c r="M23" i="6"/>
  <c r="M25" i="6"/>
  <c r="O55" i="6"/>
  <c r="O60" i="6" s="1"/>
  <c r="O40" i="7" s="1"/>
  <c r="S55" i="6"/>
  <c r="S60" i="6" s="1"/>
  <c r="S30" i="7" s="1"/>
  <c r="U55" i="6"/>
  <c r="U60" i="6" s="1"/>
  <c r="AC55" i="6"/>
  <c r="AC60" i="6" s="1"/>
  <c r="AE55" i="6"/>
  <c r="AE60" i="6" s="1"/>
  <c r="M8" i="6"/>
  <c r="M14" i="6"/>
  <c r="M18" i="6"/>
  <c r="M26" i="6"/>
  <c r="M28" i="6"/>
  <c r="M30" i="6"/>
  <c r="M32" i="6"/>
  <c r="M34" i="6"/>
  <c r="M36" i="6"/>
  <c r="M38" i="6"/>
  <c r="M40" i="6"/>
  <c r="M42" i="6"/>
  <c r="M44" i="6"/>
  <c r="M46" i="6"/>
  <c r="M48" i="6"/>
  <c r="M50" i="6"/>
  <c r="L55" i="6"/>
  <c r="L60" i="6" s="1"/>
  <c r="L17" i="7" s="1"/>
  <c r="P55" i="6"/>
  <c r="P60" i="6" s="1"/>
  <c r="V55" i="6"/>
  <c r="W55" i="6"/>
  <c r="W60" i="6" s="1"/>
  <c r="AF55" i="6"/>
  <c r="AF60" i="6" s="1"/>
  <c r="AH55" i="6"/>
  <c r="M19" i="6"/>
  <c r="M22" i="6"/>
  <c r="Q55" i="6"/>
  <c r="Q60" i="6" s="1"/>
  <c r="Q43" i="7" s="1"/>
  <c r="X55" i="6"/>
  <c r="X60" i="6" s="1"/>
  <c r="AA55" i="6"/>
  <c r="D36" i="5"/>
  <c r="Z14" i="9" l="1"/>
  <c r="Z42" i="9"/>
  <c r="Z33" i="9"/>
  <c r="Z22" i="9"/>
  <c r="Z25" i="9"/>
  <c r="Z50" i="9"/>
  <c r="Z19" i="9"/>
  <c r="Z51" i="9"/>
  <c r="Z48" i="9"/>
  <c r="Z40" i="9"/>
  <c r="Z41" i="9"/>
  <c r="Z32" i="9"/>
  <c r="Z23" i="9"/>
  <c r="Z28" i="9"/>
  <c r="Z31" i="9"/>
  <c r="Z15" i="9"/>
  <c r="Z17" i="9"/>
  <c r="Z12" i="9"/>
  <c r="Z5" i="9"/>
  <c r="Z49" i="9"/>
  <c r="Z46" i="9"/>
  <c r="Z38" i="9"/>
  <c r="Z39" i="9"/>
  <c r="Z29" i="9"/>
  <c r="Z35" i="9"/>
  <c r="Z26" i="9"/>
  <c r="Z21" i="9"/>
  <c r="Z13" i="9"/>
  <c r="Z20" i="9"/>
  <c r="Z10" i="9"/>
  <c r="Z7" i="9"/>
  <c r="Z47" i="9"/>
  <c r="Z44" i="9"/>
  <c r="Z36" i="9"/>
  <c r="Z37" i="9"/>
  <c r="Z27" i="9"/>
  <c r="Z30" i="9"/>
  <c r="Z24" i="9"/>
  <c r="Z18" i="9"/>
  <c r="Z11" i="9"/>
  <c r="Z16" i="9"/>
  <c r="Z8" i="9"/>
  <c r="Z9" i="9"/>
  <c r="AI8" i="17"/>
  <c r="M64" i="6"/>
  <c r="AH60" i="6"/>
  <c r="AH23" i="7" s="1"/>
  <c r="X12" i="27"/>
  <c r="AF12" i="27" s="1"/>
  <c r="I42" i="30"/>
  <c r="I42" i="13"/>
  <c r="I42" i="12"/>
  <c r="I42" i="11"/>
  <c r="I42" i="10"/>
  <c r="AF70" i="30"/>
  <c r="X70" i="30"/>
  <c r="AF66" i="30"/>
  <c r="X66" i="30"/>
  <c r="M69" i="6"/>
  <c r="M67" i="6"/>
  <c r="I41" i="30"/>
  <c r="I41" i="13"/>
  <c r="I41" i="12"/>
  <c r="I41" i="11"/>
  <c r="I41" i="10"/>
  <c r="AQ93" i="29"/>
  <c r="AK89" i="29"/>
  <c r="BA89" i="29"/>
  <c r="AS87" i="29"/>
  <c r="BA85" i="29"/>
  <c r="AN85" i="29"/>
  <c r="AU81" i="29"/>
  <c r="AM81" i="29"/>
  <c r="BC81" i="29"/>
  <c r="AU77" i="29"/>
  <c r="BC77" i="29"/>
  <c r="AM77" i="29"/>
  <c r="AU75" i="29"/>
  <c r="AU73" i="29"/>
  <c r="AM73" i="29"/>
  <c r="BC73" i="29"/>
  <c r="AU69" i="29"/>
  <c r="AM69" i="29"/>
  <c r="BC69" i="29"/>
  <c r="AU65" i="29"/>
  <c r="N8" i="31" s="1"/>
  <c r="BC65" i="29"/>
  <c r="AM65" i="29"/>
  <c r="AY61" i="29"/>
  <c r="AQ61" i="29"/>
  <c r="AL61" i="29"/>
  <c r="E8" i="31" s="1"/>
  <c r="AW61" i="29"/>
  <c r="BB61" i="29"/>
  <c r="U8" i="31" s="1"/>
  <c r="I37" i="30"/>
  <c r="I37" i="13"/>
  <c r="I37" i="12"/>
  <c r="I37" i="11"/>
  <c r="I37" i="10"/>
  <c r="I40" i="30"/>
  <c r="I40" i="10"/>
  <c r="I40" i="13"/>
  <c r="I40" i="12"/>
  <c r="I40" i="11"/>
  <c r="AC76" i="30"/>
  <c r="AB68" i="30"/>
  <c r="X68" i="30"/>
  <c r="AF68" i="30"/>
  <c r="X60" i="30"/>
  <c r="BD59" i="29"/>
  <c r="AS59" i="29"/>
  <c r="AO59" i="29"/>
  <c r="AW59" i="29"/>
  <c r="BA59" i="29"/>
  <c r="AK59" i="29"/>
  <c r="AI55" i="6"/>
  <c r="AI60" i="6" s="1"/>
  <c r="R10" i="27"/>
  <c r="I36" i="30"/>
  <c r="I36" i="10"/>
  <c r="AA44" i="10" s="1"/>
  <c r="I36" i="13"/>
  <c r="I36" i="12"/>
  <c r="I36" i="11"/>
  <c r="W44" i="11" s="1"/>
  <c r="AP100" i="29"/>
  <c r="I6" i="31" s="1"/>
  <c r="AX96" i="29"/>
  <c r="AM96" i="29"/>
  <c r="BC92" i="29"/>
  <c r="AR92" i="29"/>
  <c r="BC84" i="29"/>
  <c r="AI84" i="29"/>
  <c r="AY84" i="29"/>
  <c r="BC80" i="29"/>
  <c r="AY80" i="29"/>
  <c r="AI80" i="29"/>
  <c r="R80" i="29"/>
  <c r="BC76" i="29"/>
  <c r="R76" i="29"/>
  <c r="AI76" i="29"/>
  <c r="AY76" i="29"/>
  <c r="BC72" i="29"/>
  <c r="AI72" i="29"/>
  <c r="AY72" i="29"/>
  <c r="BC68" i="29"/>
  <c r="AY68" i="29"/>
  <c r="AI68" i="29"/>
  <c r="BC64" i="29"/>
  <c r="AI64" i="29"/>
  <c r="B10" i="31" s="1"/>
  <c r="AY64" i="29"/>
  <c r="BD60" i="29"/>
  <c r="AO60" i="29"/>
  <c r="BA60" i="29"/>
  <c r="T10" i="31" s="1"/>
  <c r="AK60" i="29"/>
  <c r="AS60" i="29"/>
  <c r="AW60" i="29"/>
  <c r="M63" i="6"/>
  <c r="BD57" i="29"/>
  <c r="W10" i="31" s="1"/>
  <c r="AW57" i="29"/>
  <c r="P8" i="31" s="1"/>
  <c r="AS57" i="29"/>
  <c r="L8" i="31" s="1"/>
  <c r="BA57" i="29"/>
  <c r="AK57" i="29"/>
  <c r="D8" i="31" s="1"/>
  <c r="AO57" i="29"/>
  <c r="H8" i="31" s="1"/>
  <c r="G10" i="32"/>
  <c r="G8" i="32"/>
  <c r="I10" i="32"/>
  <c r="I8" i="32"/>
  <c r="F10" i="32"/>
  <c r="G6" i="31"/>
  <c r="G10" i="31"/>
  <c r="R10" i="31"/>
  <c r="R6" i="31"/>
  <c r="I10" i="31"/>
  <c r="D10" i="31"/>
  <c r="C10" i="32"/>
  <c r="C8" i="32"/>
  <c r="J10" i="32"/>
  <c r="S6" i="31"/>
  <c r="S10" i="31"/>
  <c r="C6" i="31"/>
  <c r="C10" i="31"/>
  <c r="N10" i="31"/>
  <c r="N6" i="31"/>
  <c r="U10" i="31"/>
  <c r="U6" i="31"/>
  <c r="E10" i="31"/>
  <c r="E6" i="31"/>
  <c r="P6" i="31"/>
  <c r="H6" i="31"/>
  <c r="D10" i="32"/>
  <c r="O6" i="31"/>
  <c r="O10" i="31"/>
  <c r="J10" i="31"/>
  <c r="J6" i="31"/>
  <c r="J8" i="31"/>
  <c r="Q10" i="31"/>
  <c r="Q6" i="31"/>
  <c r="H10" i="32"/>
  <c r="E10" i="32"/>
  <c r="E8" i="32"/>
  <c r="B10" i="32"/>
  <c r="K6" i="31"/>
  <c r="K10" i="31"/>
  <c r="V10" i="31"/>
  <c r="V6" i="31"/>
  <c r="V8" i="31"/>
  <c r="F10" i="31"/>
  <c r="F6" i="31"/>
  <c r="F8" i="31"/>
  <c r="M10" i="31"/>
  <c r="M6" i="31"/>
  <c r="X9" i="27"/>
  <c r="AF9" i="27" s="1"/>
  <c r="X11" i="27"/>
  <c r="AF11" i="27" s="1"/>
  <c r="X10" i="27"/>
  <c r="AF10" i="27" s="1"/>
  <c r="D4" i="5"/>
  <c r="F30" i="5"/>
  <c r="AT9" i="16"/>
  <c r="AO9" i="16"/>
  <c r="S40" i="7"/>
  <c r="S27" i="7"/>
  <c r="Q37" i="7"/>
  <c r="O47" i="7"/>
  <c r="L31" i="7"/>
  <c r="Q30" i="7"/>
  <c r="F36" i="5"/>
  <c r="Q47" i="13"/>
  <c r="Q47" i="12"/>
  <c r="Q47" i="10"/>
  <c r="Q47" i="11"/>
  <c r="AC25" i="7"/>
  <c r="AC20" i="7"/>
  <c r="AC18" i="7"/>
  <c r="AC11" i="7"/>
  <c r="AC9" i="7"/>
  <c r="AC16" i="7"/>
  <c r="AC14" i="7"/>
  <c r="AC7" i="7"/>
  <c r="AC5" i="7"/>
  <c r="AC22" i="7"/>
  <c r="AC19" i="7"/>
  <c r="AC10" i="7"/>
  <c r="AC17" i="7"/>
  <c r="AC15" i="7"/>
  <c r="AC8" i="7"/>
  <c r="AC49" i="7"/>
  <c r="AC48" i="7"/>
  <c r="AC47" i="7"/>
  <c r="AC31" i="7"/>
  <c r="AC13" i="7"/>
  <c r="AC12" i="7"/>
  <c r="AC6" i="7"/>
  <c r="AC26" i="7"/>
  <c r="AC43" i="7"/>
  <c r="AC23" i="7"/>
  <c r="AC34" i="7"/>
  <c r="AC29" i="7"/>
  <c r="AC27" i="7"/>
  <c r="AC40" i="7"/>
  <c r="AC38" i="7"/>
  <c r="AC51" i="7"/>
  <c r="AC28" i="7"/>
  <c r="AC42" i="7"/>
  <c r="AC37" i="7"/>
  <c r="AC44" i="7"/>
  <c r="AC30" i="7"/>
  <c r="AC46" i="7"/>
  <c r="AC35" i="7"/>
  <c r="AC32" i="7"/>
  <c r="AC50" i="7"/>
  <c r="AC41" i="7"/>
  <c r="AC33" i="7"/>
  <c r="AC24" i="7"/>
  <c r="AC36" i="7"/>
  <c r="AC45" i="7"/>
  <c r="AC39" i="7"/>
  <c r="AC21" i="7"/>
  <c r="R29" i="7"/>
  <c r="R24" i="7"/>
  <c r="R28" i="7"/>
  <c r="R26" i="7"/>
  <c r="R22" i="7"/>
  <c r="R15" i="7"/>
  <c r="R13" i="7"/>
  <c r="R8" i="7"/>
  <c r="R6" i="7"/>
  <c r="R27" i="7"/>
  <c r="R25" i="7"/>
  <c r="R20" i="7"/>
  <c r="R18" i="7"/>
  <c r="R11" i="7"/>
  <c r="R9" i="7"/>
  <c r="R21" i="7"/>
  <c r="R16" i="7"/>
  <c r="R12" i="7"/>
  <c r="R51" i="7"/>
  <c r="R23" i="7"/>
  <c r="R42" i="7"/>
  <c r="R34" i="7"/>
  <c r="R14" i="7"/>
  <c r="R10" i="7"/>
  <c r="R7" i="7"/>
  <c r="R19" i="7"/>
  <c r="R5" i="7"/>
  <c r="R47" i="7"/>
  <c r="R38" i="7"/>
  <c r="R17" i="7"/>
  <c r="R44" i="7"/>
  <c r="R45" i="7"/>
  <c r="R35" i="7"/>
  <c r="R46" i="7"/>
  <c r="R39" i="7"/>
  <c r="R33" i="7"/>
  <c r="R50" i="7"/>
  <c r="R36" i="7"/>
  <c r="R32" i="7"/>
  <c r="R37" i="7"/>
  <c r="R43" i="7"/>
  <c r="R49" i="7"/>
  <c r="R40" i="7"/>
  <c r="R41" i="7"/>
  <c r="R31" i="7"/>
  <c r="R48" i="7"/>
  <c r="R30" i="7"/>
  <c r="Q43" i="9"/>
  <c r="L17" i="9"/>
  <c r="O40" i="9"/>
  <c r="R7" i="9"/>
  <c r="AH44" i="7"/>
  <c r="E36" i="5"/>
  <c r="Q46" i="13"/>
  <c r="Q46" i="12"/>
  <c r="Q46" i="10"/>
  <c r="Q46" i="11"/>
  <c r="X50" i="7"/>
  <c r="X44" i="7"/>
  <c r="X42" i="7"/>
  <c r="X40" i="7"/>
  <c r="X38" i="7"/>
  <c r="X36" i="7"/>
  <c r="X27" i="7"/>
  <c r="X25" i="7"/>
  <c r="X51" i="7"/>
  <c r="X32" i="7"/>
  <c r="X29" i="7"/>
  <c r="X28" i="7"/>
  <c r="X26" i="7"/>
  <c r="X20" i="7"/>
  <c r="X18" i="7"/>
  <c r="X11" i="7"/>
  <c r="X9" i="7"/>
  <c r="X46" i="7"/>
  <c r="X45" i="7"/>
  <c r="X43" i="7"/>
  <c r="X41" i="7"/>
  <c r="X39" i="7"/>
  <c r="X37" i="7"/>
  <c r="X35" i="7"/>
  <c r="X30" i="7"/>
  <c r="X24" i="7"/>
  <c r="X23" i="7"/>
  <c r="X21" i="7"/>
  <c r="X16" i="7"/>
  <c r="X14" i="7"/>
  <c r="X7" i="7"/>
  <c r="X5" i="7"/>
  <c r="X33" i="7"/>
  <c r="X22" i="7"/>
  <c r="X17" i="7"/>
  <c r="X48" i="7"/>
  <c r="X47" i="7"/>
  <c r="X15" i="7"/>
  <c r="X12" i="7"/>
  <c r="X8" i="7"/>
  <c r="X49" i="7"/>
  <c r="X31" i="7"/>
  <c r="X13" i="7"/>
  <c r="X10" i="7"/>
  <c r="X6" i="7"/>
  <c r="X34" i="7"/>
  <c r="X19" i="7"/>
  <c r="P23" i="7"/>
  <c r="P21" i="7"/>
  <c r="P16" i="7"/>
  <c r="P14" i="7"/>
  <c r="P7" i="7"/>
  <c r="P5" i="7"/>
  <c r="P29" i="7"/>
  <c r="P28" i="7"/>
  <c r="P26" i="7"/>
  <c r="P19" i="7"/>
  <c r="P17" i="7"/>
  <c r="P12" i="7"/>
  <c r="P10" i="7"/>
  <c r="P46" i="7"/>
  <c r="P45" i="7"/>
  <c r="P37" i="7"/>
  <c r="P20" i="7"/>
  <c r="P15" i="7"/>
  <c r="P9" i="7"/>
  <c r="P8" i="7"/>
  <c r="P39" i="7"/>
  <c r="P33" i="7"/>
  <c r="P27" i="7"/>
  <c r="P22" i="7"/>
  <c r="P18" i="7"/>
  <c r="P13" i="7"/>
  <c r="P6" i="7"/>
  <c r="P50" i="7"/>
  <c r="P41" i="7"/>
  <c r="P24" i="7"/>
  <c r="P49" i="7"/>
  <c r="P25" i="7"/>
  <c r="P11" i="7"/>
  <c r="P44" i="7"/>
  <c r="P42" i="7"/>
  <c r="P47" i="7"/>
  <c r="P32" i="7"/>
  <c r="P51" i="7"/>
  <c r="P30" i="7"/>
  <c r="P43" i="7"/>
  <c r="P40" i="7"/>
  <c r="P34" i="7"/>
  <c r="U47" i="7"/>
  <c r="U34" i="7"/>
  <c r="U32" i="7"/>
  <c r="U30" i="7"/>
  <c r="U51" i="7"/>
  <c r="U48" i="7"/>
  <c r="U50" i="7"/>
  <c r="U49" i="7"/>
  <c r="U33" i="7"/>
  <c r="U27" i="7"/>
  <c r="U25" i="7"/>
  <c r="U23" i="7"/>
  <c r="U21" i="7"/>
  <c r="U16" i="7"/>
  <c r="U14" i="7"/>
  <c r="U7" i="7"/>
  <c r="U5" i="7"/>
  <c r="U44" i="7"/>
  <c r="U42" i="7"/>
  <c r="U40" i="7"/>
  <c r="U38" i="7"/>
  <c r="U36" i="7"/>
  <c r="U31" i="7"/>
  <c r="U19" i="7"/>
  <c r="U17" i="7"/>
  <c r="U12" i="7"/>
  <c r="U10" i="7"/>
  <c r="U43" i="7"/>
  <c r="U35" i="7"/>
  <c r="U29" i="7"/>
  <c r="U46" i="7"/>
  <c r="U37" i="7"/>
  <c r="U13" i="7"/>
  <c r="U41" i="7"/>
  <c r="U28" i="7"/>
  <c r="U26" i="7"/>
  <c r="U24" i="7"/>
  <c r="U22" i="7"/>
  <c r="U11" i="7"/>
  <c r="U39" i="7"/>
  <c r="U20" i="7"/>
  <c r="U15" i="7"/>
  <c r="U9" i="7"/>
  <c r="U8" i="7"/>
  <c r="U45" i="7"/>
  <c r="U18" i="7"/>
  <c r="U6" i="7"/>
  <c r="Q48" i="7"/>
  <c r="AH35" i="7"/>
  <c r="S45" i="7"/>
  <c r="P31" i="7"/>
  <c r="O30" i="7"/>
  <c r="Q28" i="7"/>
  <c r="Q26" i="7"/>
  <c r="Q29" i="7"/>
  <c r="Q10" i="7"/>
  <c r="Q24" i="7"/>
  <c r="Q22" i="7"/>
  <c r="Q15" i="7"/>
  <c r="Q13" i="7"/>
  <c r="Q8" i="7"/>
  <c r="Q6" i="7"/>
  <c r="Q47" i="7"/>
  <c r="Q31" i="7"/>
  <c r="Q23" i="7"/>
  <c r="Q20" i="7"/>
  <c r="Q9" i="7"/>
  <c r="Q44" i="7"/>
  <c r="Q36" i="7"/>
  <c r="Q21" i="7"/>
  <c r="Q16" i="7"/>
  <c r="Q33" i="7"/>
  <c r="Q27" i="7"/>
  <c r="Q25" i="7"/>
  <c r="Q14" i="7"/>
  <c r="Q11" i="7"/>
  <c r="Q40" i="7"/>
  <c r="Q5" i="7"/>
  <c r="Q38" i="7"/>
  <c r="Q34" i="7"/>
  <c r="Q41" i="7"/>
  <c r="Q51" i="7"/>
  <c r="Q7" i="7"/>
  <c r="Q42" i="7"/>
  <c r="Q46" i="7"/>
  <c r="Q19" i="7"/>
  <c r="Q12" i="7"/>
  <c r="Q50" i="7"/>
  <c r="Q45" i="7"/>
  <c r="Q35" i="7"/>
  <c r="Q18" i="7"/>
  <c r="Q32" i="7"/>
  <c r="Q17" i="7"/>
  <c r="Q49" i="7"/>
  <c r="Q39" i="7"/>
  <c r="L28" i="7"/>
  <c r="L26" i="7"/>
  <c r="L10" i="7"/>
  <c r="L27" i="7"/>
  <c r="L24" i="7"/>
  <c r="L22" i="7"/>
  <c r="L15" i="7"/>
  <c r="L13" i="7"/>
  <c r="L8" i="7"/>
  <c r="L6" i="7"/>
  <c r="L14" i="7"/>
  <c r="L7" i="7"/>
  <c r="L42" i="7"/>
  <c r="L34" i="7"/>
  <c r="L16" i="7"/>
  <c r="L38" i="7"/>
  <c r="L9" i="7"/>
  <c r="L5" i="7"/>
  <c r="L23" i="7"/>
  <c r="L18" i="7"/>
  <c r="L50" i="7"/>
  <c r="L29" i="7"/>
  <c r="L21" i="7"/>
  <c r="L11" i="7"/>
  <c r="L40" i="7"/>
  <c r="L48" i="7"/>
  <c r="L25" i="7"/>
  <c r="L30" i="7"/>
  <c r="L43" i="7"/>
  <c r="L37" i="7"/>
  <c r="L47" i="7"/>
  <c r="L44" i="7"/>
  <c r="L33" i="7"/>
  <c r="L46" i="7"/>
  <c r="L32" i="7"/>
  <c r="L19" i="7"/>
  <c r="L51" i="7"/>
  <c r="L41" i="7"/>
  <c r="L20" i="7"/>
  <c r="L35" i="7"/>
  <c r="L45" i="7"/>
  <c r="S25" i="7"/>
  <c r="S20" i="7"/>
  <c r="S18" i="7"/>
  <c r="S11" i="7"/>
  <c r="S9" i="7"/>
  <c r="S16" i="7"/>
  <c r="S14" i="7"/>
  <c r="S7" i="7"/>
  <c r="S5" i="7"/>
  <c r="S13" i="7"/>
  <c r="S10" i="7"/>
  <c r="S6" i="7"/>
  <c r="S31" i="7"/>
  <c r="S12" i="7"/>
  <c r="S8" i="7"/>
  <c r="S19" i="7"/>
  <c r="S51" i="7"/>
  <c r="S32" i="7"/>
  <c r="S28" i="7"/>
  <c r="S22" i="7"/>
  <c r="S17" i="7"/>
  <c r="S15" i="7"/>
  <c r="S29" i="7"/>
  <c r="S38" i="7"/>
  <c r="S47" i="7"/>
  <c r="S23" i="7"/>
  <c r="S46" i="7"/>
  <c r="S33" i="7"/>
  <c r="S49" i="7"/>
  <c r="S44" i="7"/>
  <c r="S26" i="7"/>
  <c r="S42" i="7"/>
  <c r="S35" i="7"/>
  <c r="S48" i="7"/>
  <c r="S37" i="7"/>
  <c r="S34" i="7"/>
  <c r="S50" i="7"/>
  <c r="S39" i="7"/>
  <c r="S21" i="7"/>
  <c r="S41" i="7"/>
  <c r="S36" i="7"/>
  <c r="AA53" i="9"/>
  <c r="O47" i="9"/>
  <c r="L8" i="9"/>
  <c r="L49" i="7"/>
  <c r="S24" i="7"/>
  <c r="L39" i="7"/>
  <c r="P48" i="7"/>
  <c r="P38" i="7"/>
  <c r="S43" i="7"/>
  <c r="P36" i="7"/>
  <c r="L36" i="7"/>
  <c r="AH19" i="7"/>
  <c r="AH17" i="7"/>
  <c r="AH10" i="7"/>
  <c r="AH8" i="7"/>
  <c r="AH25" i="7"/>
  <c r="AH20" i="7"/>
  <c r="AH15" i="7"/>
  <c r="AH13" i="7"/>
  <c r="AH6" i="7"/>
  <c r="AH50" i="7"/>
  <c r="AH12" i="7"/>
  <c r="AH9" i="7"/>
  <c r="AH5" i="7"/>
  <c r="AH42" i="7"/>
  <c r="AH34" i="7"/>
  <c r="AH29" i="7"/>
  <c r="AH11" i="7"/>
  <c r="AH38" i="7"/>
  <c r="AH18" i="7"/>
  <c r="AH51" i="7"/>
  <c r="AH46" i="7"/>
  <c r="AH45" i="7"/>
  <c r="AH21" i="7"/>
  <c r="AH16" i="7"/>
  <c r="AH14" i="7"/>
  <c r="AH7" i="7"/>
  <c r="AH32" i="7"/>
  <c r="AH22" i="7"/>
  <c r="AH39" i="7"/>
  <c r="AH49" i="7"/>
  <c r="AH36" i="7"/>
  <c r="AH27" i="7"/>
  <c r="AH43" i="7"/>
  <c r="AH24" i="7"/>
  <c r="AH40" i="7"/>
  <c r="AH33" i="7"/>
  <c r="AH31" i="7"/>
  <c r="AH47" i="7"/>
  <c r="AH37" i="7"/>
  <c r="AH26" i="7"/>
  <c r="R45" i="13"/>
  <c r="R45" i="12"/>
  <c r="R45" i="11"/>
  <c r="R45" i="10"/>
  <c r="W49" i="7"/>
  <c r="W46" i="7"/>
  <c r="W33" i="7"/>
  <c r="W31" i="7"/>
  <c r="W29" i="7"/>
  <c r="W24" i="7"/>
  <c r="W50" i="7"/>
  <c r="W34" i="7"/>
  <c r="W22" i="7"/>
  <c r="W15" i="7"/>
  <c r="W13" i="7"/>
  <c r="W8" i="7"/>
  <c r="W6" i="7"/>
  <c r="W51" i="7"/>
  <c r="W32" i="7"/>
  <c r="W28" i="7"/>
  <c r="W26" i="7"/>
  <c r="W20" i="7"/>
  <c r="W18" i="7"/>
  <c r="W11" i="7"/>
  <c r="W9" i="7"/>
  <c r="W42" i="7"/>
  <c r="W41" i="7"/>
  <c r="W27" i="7"/>
  <c r="W25" i="7"/>
  <c r="W19" i="7"/>
  <c r="W5" i="7"/>
  <c r="W44" i="7"/>
  <c r="W43" i="7"/>
  <c r="W36" i="7"/>
  <c r="W35" i="7"/>
  <c r="W14" i="7"/>
  <c r="W10" i="7"/>
  <c r="W7" i="7"/>
  <c r="W40" i="7"/>
  <c r="W39" i="7"/>
  <c r="W23" i="7"/>
  <c r="W17" i="7"/>
  <c r="W48" i="7"/>
  <c r="W47" i="7"/>
  <c r="W45" i="7"/>
  <c r="W38" i="7"/>
  <c r="W37" i="7"/>
  <c r="W21" i="7"/>
  <c r="W16" i="7"/>
  <c r="W12" i="7"/>
  <c r="W30" i="7"/>
  <c r="O25" i="7"/>
  <c r="O20" i="7"/>
  <c r="O18" i="7"/>
  <c r="O11" i="7"/>
  <c r="O9" i="7"/>
  <c r="O16" i="7"/>
  <c r="O14" i="7"/>
  <c r="O7" i="7"/>
  <c r="O5" i="7"/>
  <c r="O39" i="7"/>
  <c r="O22" i="7"/>
  <c r="O17" i="7"/>
  <c r="O48" i="7"/>
  <c r="O41" i="7"/>
  <c r="O28" i="7"/>
  <c r="O24" i="7"/>
  <c r="O19" i="7"/>
  <c r="O15" i="7"/>
  <c r="O12" i="7"/>
  <c r="O8" i="7"/>
  <c r="O43" i="7"/>
  <c r="O35" i="7"/>
  <c r="O29" i="7"/>
  <c r="O13" i="7"/>
  <c r="O10" i="7"/>
  <c r="O6" i="7"/>
  <c r="O32" i="7"/>
  <c r="O46" i="7"/>
  <c r="O37" i="7"/>
  <c r="O51" i="7"/>
  <c r="O38" i="7"/>
  <c r="O27" i="7"/>
  <c r="O44" i="7"/>
  <c r="O49" i="7"/>
  <c r="O42" i="7"/>
  <c r="O45" i="7"/>
  <c r="O26" i="7"/>
  <c r="O50" i="7"/>
  <c r="O31" i="7"/>
  <c r="O23" i="7"/>
  <c r="O21" i="7"/>
  <c r="O33" i="7"/>
  <c r="O36" i="7"/>
  <c r="AA48" i="8"/>
  <c r="Z48" i="29" s="1"/>
  <c r="Z100" i="29" s="1"/>
  <c r="AA44" i="8"/>
  <c r="Z44" i="29" s="1"/>
  <c r="Z96" i="29" s="1"/>
  <c r="AA40" i="8"/>
  <c r="Z40" i="29" s="1"/>
  <c r="Z92" i="29" s="1"/>
  <c r="AA51" i="8"/>
  <c r="Z51" i="29" s="1"/>
  <c r="Z103" i="29" s="1"/>
  <c r="AA47" i="8"/>
  <c r="Z47" i="29" s="1"/>
  <c r="Z99" i="29" s="1"/>
  <c r="AA43" i="8"/>
  <c r="Z43" i="29" s="1"/>
  <c r="Z95" i="29" s="1"/>
  <c r="AA39" i="8"/>
  <c r="Z39" i="29" s="1"/>
  <c r="Z91" i="29" s="1"/>
  <c r="AA46" i="8"/>
  <c r="Z46" i="29" s="1"/>
  <c r="Z98" i="29" s="1"/>
  <c r="AA38" i="8"/>
  <c r="Z38" i="29" s="1"/>
  <c r="Z90" i="29" s="1"/>
  <c r="AA34" i="8"/>
  <c r="Z34" i="29" s="1"/>
  <c r="Z86" i="29" s="1"/>
  <c r="AA31" i="8"/>
  <c r="Z31" i="29" s="1"/>
  <c r="Z83" i="29" s="1"/>
  <c r="AA27" i="8"/>
  <c r="Z27" i="29" s="1"/>
  <c r="Z79" i="29" s="1"/>
  <c r="AA23" i="8"/>
  <c r="Z23" i="29" s="1"/>
  <c r="Z75" i="29" s="1"/>
  <c r="AA19" i="8"/>
  <c r="Z19" i="29" s="1"/>
  <c r="Z71" i="29" s="1"/>
  <c r="AA15" i="8"/>
  <c r="Z15" i="29" s="1"/>
  <c r="Z67" i="29" s="1"/>
  <c r="AA45" i="8"/>
  <c r="Z45" i="29" s="1"/>
  <c r="Z97" i="29" s="1"/>
  <c r="AA37" i="8"/>
  <c r="Z37" i="29" s="1"/>
  <c r="Z89" i="29" s="1"/>
  <c r="AA33" i="8"/>
  <c r="Z33" i="29" s="1"/>
  <c r="Z85" i="29" s="1"/>
  <c r="AA30" i="8"/>
  <c r="Z30" i="29" s="1"/>
  <c r="Z82" i="29" s="1"/>
  <c r="AA26" i="8"/>
  <c r="Z26" i="29" s="1"/>
  <c r="Z78" i="29" s="1"/>
  <c r="AA22" i="8"/>
  <c r="Z22" i="29" s="1"/>
  <c r="Z74" i="29" s="1"/>
  <c r="AA18" i="8"/>
  <c r="Z18" i="29" s="1"/>
  <c r="Z70" i="29" s="1"/>
  <c r="AA14" i="8"/>
  <c r="Z14" i="29" s="1"/>
  <c r="Z66" i="29" s="1"/>
  <c r="AA11" i="8"/>
  <c r="Z11" i="29" s="1"/>
  <c r="Z63" i="29" s="1"/>
  <c r="AA9" i="8"/>
  <c r="Z9" i="29" s="1"/>
  <c r="Z61" i="29" s="1"/>
  <c r="AA7" i="8"/>
  <c r="Z7" i="29" s="1"/>
  <c r="Z59" i="29" s="1"/>
  <c r="AA5" i="8"/>
  <c r="Z5" i="29" s="1"/>
  <c r="Z57" i="29" s="1"/>
  <c r="P7" i="31" s="1"/>
  <c r="AA50" i="8"/>
  <c r="Z50" i="29" s="1"/>
  <c r="Z102" i="29" s="1"/>
  <c r="AA25" i="8"/>
  <c r="Z25" i="29" s="1"/>
  <c r="Z77" i="29" s="1"/>
  <c r="AA17" i="8"/>
  <c r="Z17" i="29" s="1"/>
  <c r="Z69" i="29" s="1"/>
  <c r="AA36" i="8"/>
  <c r="Z36" i="29" s="1"/>
  <c r="Z88" i="29" s="1"/>
  <c r="AA49" i="8"/>
  <c r="Z49" i="29" s="1"/>
  <c r="Z101" i="29" s="1"/>
  <c r="AA32" i="8"/>
  <c r="Z32" i="29" s="1"/>
  <c r="Z84" i="29" s="1"/>
  <c r="AA24" i="8"/>
  <c r="Z24" i="29" s="1"/>
  <c r="Z76" i="29" s="1"/>
  <c r="AA16" i="8"/>
  <c r="Z16" i="29" s="1"/>
  <c r="Z68" i="29" s="1"/>
  <c r="AA10" i="8"/>
  <c r="Z10" i="29" s="1"/>
  <c r="Z62" i="29" s="1"/>
  <c r="AA6" i="8"/>
  <c r="Z6" i="29" s="1"/>
  <c r="Z58" i="29" s="1"/>
  <c r="AA42" i="8"/>
  <c r="Z42" i="29" s="1"/>
  <c r="Z94" i="29" s="1"/>
  <c r="AA29" i="8"/>
  <c r="Z29" i="29" s="1"/>
  <c r="Z81" i="29" s="1"/>
  <c r="AA21" i="8"/>
  <c r="Z21" i="29" s="1"/>
  <c r="Z73" i="29" s="1"/>
  <c r="AA13" i="8"/>
  <c r="Z13" i="29" s="1"/>
  <c r="Z65" i="29" s="1"/>
  <c r="AA35" i="8"/>
  <c r="Z35" i="29" s="1"/>
  <c r="Z87" i="29" s="1"/>
  <c r="AA8" i="8"/>
  <c r="Z8" i="29" s="1"/>
  <c r="Z60" i="29" s="1"/>
  <c r="AA12" i="8"/>
  <c r="Z12" i="29" s="1"/>
  <c r="Z64" i="29" s="1"/>
  <c r="AA41" i="8"/>
  <c r="Z41" i="29" s="1"/>
  <c r="Z93" i="29" s="1"/>
  <c r="AA28" i="8"/>
  <c r="Z28" i="29" s="1"/>
  <c r="Z80" i="29" s="1"/>
  <c r="AA20" i="8"/>
  <c r="Z20" i="29" s="1"/>
  <c r="Z72" i="29" s="1"/>
  <c r="Z49" i="8"/>
  <c r="Y49" i="29" s="1"/>
  <c r="Y101" i="29" s="1"/>
  <c r="Z45" i="8"/>
  <c r="Y45" i="29" s="1"/>
  <c r="Y97" i="29" s="1"/>
  <c r="Z41" i="8"/>
  <c r="Y41" i="29" s="1"/>
  <c r="Y93" i="29" s="1"/>
  <c r="Z48" i="8"/>
  <c r="Y48" i="29" s="1"/>
  <c r="Y100" i="29" s="1"/>
  <c r="Z44" i="8"/>
  <c r="Y44" i="29" s="1"/>
  <c r="Y96" i="29" s="1"/>
  <c r="Z40" i="8"/>
  <c r="Y40" i="29" s="1"/>
  <c r="Y92" i="29" s="1"/>
  <c r="Z47" i="8"/>
  <c r="Y47" i="29" s="1"/>
  <c r="Y99" i="29" s="1"/>
  <c r="Z39" i="8"/>
  <c r="Y39" i="29" s="1"/>
  <c r="Y91" i="29" s="1"/>
  <c r="Z35" i="8"/>
  <c r="Y35" i="29" s="1"/>
  <c r="Y87" i="29" s="1"/>
  <c r="Z32" i="8"/>
  <c r="Y32" i="29" s="1"/>
  <c r="Y84" i="29" s="1"/>
  <c r="Z28" i="8"/>
  <c r="Y28" i="29" s="1"/>
  <c r="Y80" i="29" s="1"/>
  <c r="Z24" i="8"/>
  <c r="Y24" i="29" s="1"/>
  <c r="Y76" i="29" s="1"/>
  <c r="Z20" i="8"/>
  <c r="Y20" i="29" s="1"/>
  <c r="Y72" i="29" s="1"/>
  <c r="Z16" i="8"/>
  <c r="Y16" i="29" s="1"/>
  <c r="Y68" i="29" s="1"/>
  <c r="Z12" i="8"/>
  <c r="Y12" i="29" s="1"/>
  <c r="Y64" i="29" s="1"/>
  <c r="Z10" i="8"/>
  <c r="Y10" i="29" s="1"/>
  <c r="Y62" i="29" s="1"/>
  <c r="Z8" i="8"/>
  <c r="Y8" i="29" s="1"/>
  <c r="Y60" i="29" s="1"/>
  <c r="Z6" i="8"/>
  <c r="Y6" i="29" s="1"/>
  <c r="Y58" i="29" s="1"/>
  <c r="Z46" i="8"/>
  <c r="Y46" i="29" s="1"/>
  <c r="Y98" i="29" s="1"/>
  <c r="Z38" i="8"/>
  <c r="Y38" i="29" s="1"/>
  <c r="Y90" i="29" s="1"/>
  <c r="Z34" i="8"/>
  <c r="Y34" i="29" s="1"/>
  <c r="Y86" i="29" s="1"/>
  <c r="Z31" i="8"/>
  <c r="Y31" i="29" s="1"/>
  <c r="Y83" i="29" s="1"/>
  <c r="Z27" i="8"/>
  <c r="Y27" i="29" s="1"/>
  <c r="Y79" i="29" s="1"/>
  <c r="Z23" i="8"/>
  <c r="Y23" i="29" s="1"/>
  <c r="Y75" i="29" s="1"/>
  <c r="Z19" i="8"/>
  <c r="Y19" i="29" s="1"/>
  <c r="Y71" i="29" s="1"/>
  <c r="Z15" i="8"/>
  <c r="Y15" i="29" s="1"/>
  <c r="Y67" i="29" s="1"/>
  <c r="Z51" i="8"/>
  <c r="Y51" i="29" s="1"/>
  <c r="Y103" i="29" s="1"/>
  <c r="Z33" i="8"/>
  <c r="Y33" i="29" s="1"/>
  <c r="Y85" i="29" s="1"/>
  <c r="Z26" i="8"/>
  <c r="Y26" i="29" s="1"/>
  <c r="Y78" i="29" s="1"/>
  <c r="Z18" i="8"/>
  <c r="Y18" i="29" s="1"/>
  <c r="Y70" i="29" s="1"/>
  <c r="Z11" i="8"/>
  <c r="Y11" i="29" s="1"/>
  <c r="Y63" i="29" s="1"/>
  <c r="Z7" i="8"/>
  <c r="Y7" i="29" s="1"/>
  <c r="Y59" i="29" s="1"/>
  <c r="Z43" i="8"/>
  <c r="Y43" i="29" s="1"/>
  <c r="Y95" i="29" s="1"/>
  <c r="Z37" i="8"/>
  <c r="Y37" i="29" s="1"/>
  <c r="Y89" i="29" s="1"/>
  <c r="Z50" i="8"/>
  <c r="Y50" i="29" s="1"/>
  <c r="Y102" i="29" s="1"/>
  <c r="Z25" i="8"/>
  <c r="Y25" i="29" s="1"/>
  <c r="Y77" i="29" s="1"/>
  <c r="Z17" i="8"/>
  <c r="Y17" i="29" s="1"/>
  <c r="Y69" i="29" s="1"/>
  <c r="Z30" i="8"/>
  <c r="Y30" i="29" s="1"/>
  <c r="Y82" i="29" s="1"/>
  <c r="Z22" i="8"/>
  <c r="Y22" i="29" s="1"/>
  <c r="Y74" i="29" s="1"/>
  <c r="Z29" i="8"/>
  <c r="Y29" i="29" s="1"/>
  <c r="Y81" i="29" s="1"/>
  <c r="Z14" i="8"/>
  <c r="Y14" i="29" s="1"/>
  <c r="Y66" i="29" s="1"/>
  <c r="Z5" i="8"/>
  <c r="Y5" i="29" s="1"/>
  <c r="Y57" i="29" s="1"/>
  <c r="Z42" i="8"/>
  <c r="Y42" i="29" s="1"/>
  <c r="Y94" i="29" s="1"/>
  <c r="Z36" i="8"/>
  <c r="Y36" i="29" s="1"/>
  <c r="Y88" i="29" s="1"/>
  <c r="Z21" i="8"/>
  <c r="Y21" i="29" s="1"/>
  <c r="Y73" i="29" s="1"/>
  <c r="Z13" i="8"/>
  <c r="Y13" i="29" s="1"/>
  <c r="Y65" i="29" s="1"/>
  <c r="Z9" i="8"/>
  <c r="Y9" i="29" s="1"/>
  <c r="Y61" i="29" s="1"/>
  <c r="AH41" i="7"/>
  <c r="AH48" i="7"/>
  <c r="O34" i="7"/>
  <c r="AH30" i="7"/>
  <c r="AH28" i="7"/>
  <c r="L12" i="7"/>
  <c r="P35" i="7"/>
  <c r="AH54" i="8"/>
  <c r="AH58" i="8" s="1"/>
  <c r="AH8" i="9" s="1"/>
  <c r="AH54" i="9"/>
  <c r="AH54" i="7"/>
  <c r="AL55" i="9"/>
  <c r="AL55" i="8"/>
  <c r="AL55" i="7"/>
  <c r="AL57" i="6"/>
  <c r="Q49" i="11"/>
  <c r="Q48" i="11" s="1"/>
  <c r="AL56" i="9"/>
  <c r="AL56" i="8"/>
  <c r="AL58" i="6"/>
  <c r="AL56" i="7"/>
  <c r="AB56" i="9"/>
  <c r="AB56" i="8"/>
  <c r="AB58" i="6"/>
  <c r="AB56" i="7"/>
  <c r="X6" i="9"/>
  <c r="Q49" i="12"/>
  <c r="Q48" i="12" s="1"/>
  <c r="Z53" i="9"/>
  <c r="M55" i="6"/>
  <c r="M60" i="6" s="1"/>
  <c r="M32" i="7" s="1"/>
  <c r="Y56" i="6"/>
  <c r="V60" i="6"/>
  <c r="V56" i="6"/>
  <c r="D34" i="5"/>
  <c r="O9" i="31" l="1"/>
  <c r="L10" i="31"/>
  <c r="B8" i="31"/>
  <c r="W6" i="31"/>
  <c r="AC84" i="30"/>
  <c r="Z84" i="30"/>
  <c r="AB84" i="30"/>
  <c r="AA84" i="30"/>
  <c r="AF84" i="30"/>
  <c r="W84" i="30"/>
  <c r="X84" i="30"/>
  <c r="AE84" i="30"/>
  <c r="Y84" i="30"/>
  <c r="AD84" i="30"/>
  <c r="L6" i="31"/>
  <c r="P10" i="31"/>
  <c r="B6" i="31"/>
  <c r="T8" i="31"/>
  <c r="R44" i="10"/>
  <c r="M48" i="10"/>
  <c r="Y48" i="10"/>
  <c r="L44" i="10"/>
  <c r="T44" i="10"/>
  <c r="T48" i="10"/>
  <c r="S44" i="10"/>
  <c r="O48" i="10"/>
  <c r="W48" i="10"/>
  <c r="N44" i="10"/>
  <c r="N49" i="10" s="1"/>
  <c r="V44" i="10"/>
  <c r="N48" i="10"/>
  <c r="X44" i="10"/>
  <c r="S48" i="10"/>
  <c r="O44" i="10"/>
  <c r="O49" i="10" s="1"/>
  <c r="P44" i="10"/>
  <c r="W44" i="10"/>
  <c r="W49" i="10" s="1"/>
  <c r="U44" i="10"/>
  <c r="U49" i="10" s="1"/>
  <c r="M44" i="10"/>
  <c r="Q44" i="10"/>
  <c r="Q49" i="10" s="1"/>
  <c r="Y44" i="10"/>
  <c r="Y49" i="10" s="1"/>
  <c r="Z44" i="10"/>
  <c r="U48" i="10"/>
  <c r="AI39" i="7"/>
  <c r="AI43" i="7"/>
  <c r="AI21" i="7"/>
  <c r="AI35" i="7"/>
  <c r="AI14" i="7"/>
  <c r="AI5" i="7"/>
  <c r="AI8" i="7"/>
  <c r="AI37" i="7"/>
  <c r="AI41" i="7"/>
  <c r="AI26" i="7"/>
  <c r="AI46" i="7"/>
  <c r="AI50" i="7"/>
  <c r="AI16" i="7"/>
  <c r="AI38" i="7"/>
  <c r="AI45" i="7"/>
  <c r="AI15" i="7"/>
  <c r="AI27" i="7"/>
  <c r="AI49" i="7"/>
  <c r="AI19" i="7"/>
  <c r="AI23" i="7"/>
  <c r="AI51" i="7"/>
  <c r="AI32" i="7"/>
  <c r="AI33" i="7"/>
  <c r="AI18" i="7"/>
  <c r="AI40" i="7"/>
  <c r="AI20" i="7"/>
  <c r="AI28" i="7"/>
  <c r="AI24" i="7"/>
  <c r="AI12" i="7"/>
  <c r="AI10" i="7"/>
  <c r="AI31" i="7"/>
  <c r="AI9" i="7"/>
  <c r="AI34" i="7"/>
  <c r="AI42" i="7"/>
  <c r="AI6" i="7"/>
  <c r="AI22" i="7"/>
  <c r="AI47" i="7"/>
  <c r="AI7" i="7"/>
  <c r="AI30" i="7"/>
  <c r="AI36" i="7"/>
  <c r="AI25" i="7"/>
  <c r="AI29" i="7"/>
  <c r="AI44" i="7"/>
  <c r="AI48" i="7"/>
  <c r="AI17" i="7"/>
  <c r="AI11" i="7"/>
  <c r="AI13" i="7"/>
  <c r="Z83" i="30"/>
  <c r="AF83" i="30"/>
  <c r="Y83" i="30"/>
  <c r="X83" i="30"/>
  <c r="W83" i="30"/>
  <c r="AC83" i="30"/>
  <c r="AA83" i="30"/>
  <c r="AE83" i="30"/>
  <c r="AB83" i="30"/>
  <c r="AD83" i="30"/>
  <c r="D6" i="31"/>
  <c r="H10" i="31"/>
  <c r="T6" i="31"/>
  <c r="P9" i="31"/>
  <c r="P11" i="31"/>
  <c r="O7" i="31"/>
  <c r="W8" i="31"/>
  <c r="X44" i="11"/>
  <c r="AD79" i="30"/>
  <c r="AE79" i="30"/>
  <c r="AC79" i="30"/>
  <c r="AB79" i="30"/>
  <c r="Z79" i="30"/>
  <c r="AF79" i="30"/>
  <c r="K6" i="32" s="1"/>
  <c r="Y79" i="30"/>
  <c r="X79" i="30"/>
  <c r="W79" i="30"/>
  <c r="AA79" i="30"/>
  <c r="X80" i="30"/>
  <c r="AD80" i="30"/>
  <c r="AF80" i="30"/>
  <c r="Y80" i="30"/>
  <c r="Z80" i="30"/>
  <c r="AB80" i="30"/>
  <c r="AA80" i="30"/>
  <c r="W80" i="30"/>
  <c r="AC80" i="30"/>
  <c r="AE80" i="30"/>
  <c r="R8" i="31"/>
  <c r="O11" i="31"/>
  <c r="AD85" i="30"/>
  <c r="AA85" i="30"/>
  <c r="Y85" i="30"/>
  <c r="AF85" i="30"/>
  <c r="Z85" i="30"/>
  <c r="AC85" i="30"/>
  <c r="AB85" i="30"/>
  <c r="AE85" i="30"/>
  <c r="X85" i="30"/>
  <c r="W85" i="30"/>
  <c r="M70" i="6"/>
  <c r="L8" i="32"/>
  <c r="L10" i="32"/>
  <c r="Z53" i="8"/>
  <c r="Q37" i="9"/>
  <c r="Q30" i="9"/>
  <c r="L31" i="9"/>
  <c r="F4" i="5"/>
  <c r="E4" i="5"/>
  <c r="P10" i="9"/>
  <c r="E30" i="5"/>
  <c r="M36" i="7"/>
  <c r="M20" i="7"/>
  <c r="M51" i="7"/>
  <c r="M38" i="7"/>
  <c r="M48" i="7"/>
  <c r="M21" i="7"/>
  <c r="M47" i="7"/>
  <c r="M50" i="7"/>
  <c r="M22" i="7"/>
  <c r="M32" i="9"/>
  <c r="V54" i="8"/>
  <c r="V58" i="8" s="1"/>
  <c r="V54" i="7"/>
  <c r="V54" i="9"/>
  <c r="O16" i="11"/>
  <c r="O10" i="11"/>
  <c r="O5" i="11"/>
  <c r="O11" i="11"/>
  <c r="O9" i="11"/>
  <c r="O7" i="11"/>
  <c r="O6" i="11"/>
  <c r="O37" i="11"/>
  <c r="O15" i="11"/>
  <c r="O8" i="11"/>
  <c r="O20" i="11"/>
  <c r="O12" i="11"/>
  <c r="O34" i="11"/>
  <c r="O26" i="11"/>
  <c r="O24" i="11"/>
  <c r="O35" i="11"/>
  <c r="O32" i="11"/>
  <c r="O41" i="11"/>
  <c r="O22" i="11"/>
  <c r="O19" i="11"/>
  <c r="O17" i="11"/>
  <c r="O30" i="11"/>
  <c r="O42" i="11"/>
  <c r="O23" i="11"/>
  <c r="O28" i="11"/>
  <c r="O21" i="11"/>
  <c r="O38" i="11"/>
  <c r="O13" i="11"/>
  <c r="O31" i="11"/>
  <c r="O36" i="11"/>
  <c r="O29" i="11"/>
  <c r="O14" i="11"/>
  <c r="O40" i="11"/>
  <c r="O25" i="11"/>
  <c r="O33" i="11"/>
  <c r="O39" i="11"/>
  <c r="O27" i="11"/>
  <c r="O18" i="11"/>
  <c r="O21" i="9"/>
  <c r="O37" i="9"/>
  <c r="O19" i="9"/>
  <c r="O9" i="9"/>
  <c r="W47" i="9"/>
  <c r="W44" i="9"/>
  <c r="W28" i="9"/>
  <c r="W31" i="9"/>
  <c r="AH47" i="9"/>
  <c r="AH49" i="9"/>
  <c r="AH45" i="9"/>
  <c r="AH50" i="9"/>
  <c r="P36" i="9"/>
  <c r="M20" i="9"/>
  <c r="M36" i="9"/>
  <c r="L47" i="9"/>
  <c r="L23" i="9"/>
  <c r="L15" i="9"/>
  <c r="Q49" i="9"/>
  <c r="Q51" i="9"/>
  <c r="Q21" i="9"/>
  <c r="Q6" i="9"/>
  <c r="Q26" i="9"/>
  <c r="P31" i="9"/>
  <c r="M51" i="9"/>
  <c r="U15" i="9"/>
  <c r="U41" i="9"/>
  <c r="U29" i="9"/>
  <c r="U36" i="9"/>
  <c r="U16" i="9"/>
  <c r="U48" i="9"/>
  <c r="M38" i="9"/>
  <c r="P47" i="9"/>
  <c r="P50" i="9"/>
  <c r="P8" i="9"/>
  <c r="P12" i="9"/>
  <c r="P14" i="9"/>
  <c r="X13" i="9"/>
  <c r="X17" i="9"/>
  <c r="X23" i="9"/>
  <c r="X45" i="9"/>
  <c r="X29" i="9"/>
  <c r="X42" i="9"/>
  <c r="R40" i="9"/>
  <c r="R39" i="9"/>
  <c r="R53" i="7"/>
  <c r="R5" i="9"/>
  <c r="R51" i="9"/>
  <c r="R9" i="9"/>
  <c r="R28" i="9"/>
  <c r="AD39" i="7"/>
  <c r="AC39" i="9"/>
  <c r="AD39" i="9" s="1"/>
  <c r="AD35" i="7"/>
  <c r="AC35" i="9"/>
  <c r="AD35" i="9" s="1"/>
  <c r="AD37" i="7"/>
  <c r="AC37" i="9"/>
  <c r="AD37" i="9" s="1"/>
  <c r="AD34" i="7"/>
  <c r="AC34" i="9"/>
  <c r="AD34" i="9" s="1"/>
  <c r="AD6" i="7"/>
  <c r="AC6" i="9"/>
  <c r="AD6" i="9" s="1"/>
  <c r="AD47" i="7"/>
  <c r="AC47" i="9"/>
  <c r="AD47" i="9" s="1"/>
  <c r="AD15" i="7"/>
  <c r="AC15" i="9"/>
  <c r="AD15" i="9" s="1"/>
  <c r="AD22" i="7"/>
  <c r="AC22" i="9"/>
  <c r="AD22" i="9" s="1"/>
  <c r="AD16" i="7"/>
  <c r="AC16" i="9"/>
  <c r="AD16" i="9" s="1"/>
  <c r="AD20" i="7"/>
  <c r="AC20" i="9"/>
  <c r="AD20" i="9" s="1"/>
  <c r="P35" i="9"/>
  <c r="M12" i="7"/>
  <c r="M17" i="7"/>
  <c r="O23" i="9"/>
  <c r="O45" i="9"/>
  <c r="O27" i="9"/>
  <c r="O46" i="9"/>
  <c r="O13" i="9"/>
  <c r="O8" i="9"/>
  <c r="O24" i="9"/>
  <c r="O17" i="9"/>
  <c r="O7" i="9"/>
  <c r="O11" i="9"/>
  <c r="M26" i="7"/>
  <c r="W30" i="9"/>
  <c r="W37" i="9"/>
  <c r="W48" i="9"/>
  <c r="W40" i="9"/>
  <c r="W35" i="9"/>
  <c r="W5" i="9"/>
  <c r="W53" i="7"/>
  <c r="W58" i="7" s="1"/>
  <c r="W48" i="8" s="1"/>
  <c r="V48" i="29" s="1"/>
  <c r="V100" i="29" s="1"/>
  <c r="W41" i="9"/>
  <c r="W18" i="9"/>
  <c r="W32" i="9"/>
  <c r="W13" i="9"/>
  <c r="W50" i="9"/>
  <c r="W33" i="9"/>
  <c r="L45" i="13"/>
  <c r="L45" i="12"/>
  <c r="L49" i="12" s="1"/>
  <c r="L45" i="10"/>
  <c r="L45" i="11"/>
  <c r="L49" i="11" s="1"/>
  <c r="AH31" i="9"/>
  <c r="AH43" i="9"/>
  <c r="AH39" i="9"/>
  <c r="AH14" i="9"/>
  <c r="AH46" i="9"/>
  <c r="AH11" i="9"/>
  <c r="AH5" i="9"/>
  <c r="AH53" i="7"/>
  <c r="AH58" i="7" s="1"/>
  <c r="AH23" i="8" s="1"/>
  <c r="AD23" i="29" s="1"/>
  <c r="AD75" i="29" s="1"/>
  <c r="AH6" i="9"/>
  <c r="AH25" i="9"/>
  <c r="AH19" i="9"/>
  <c r="M33" i="7"/>
  <c r="S53" i="7"/>
  <c r="M44" i="7"/>
  <c r="L41" i="9"/>
  <c r="L46" i="9"/>
  <c r="L37" i="9"/>
  <c r="L48" i="9"/>
  <c r="L29" i="9"/>
  <c r="L5" i="9"/>
  <c r="L53" i="7"/>
  <c r="L58" i="7" s="1"/>
  <c r="L23" i="8" s="1"/>
  <c r="L23" i="29" s="1"/>
  <c r="L75" i="29" s="1"/>
  <c r="L34" i="9"/>
  <c r="L6" i="9"/>
  <c r="L22" i="9"/>
  <c r="L26" i="9"/>
  <c r="Q17" i="9"/>
  <c r="Q45" i="9"/>
  <c r="Q46" i="9"/>
  <c r="Q41" i="9"/>
  <c r="Q40" i="9"/>
  <c r="Q27" i="9"/>
  <c r="Q36" i="9"/>
  <c r="Q23" i="9"/>
  <c r="Q8" i="9"/>
  <c r="Q24" i="9"/>
  <c r="Q28" i="9"/>
  <c r="M11" i="7"/>
  <c r="M27" i="7"/>
  <c r="M7" i="7"/>
  <c r="U45" i="9"/>
  <c r="U20" i="9"/>
  <c r="U24" i="9"/>
  <c r="U13" i="9"/>
  <c r="U35" i="9"/>
  <c r="U17" i="9"/>
  <c r="U38" i="9"/>
  <c r="U53" i="7"/>
  <c r="U58" i="7" s="1"/>
  <c r="U15" i="8" s="1"/>
  <c r="T15" i="29" s="1"/>
  <c r="T67" i="29" s="1"/>
  <c r="U5" i="9"/>
  <c r="U21" i="9"/>
  <c r="U33" i="9"/>
  <c r="U51" i="9"/>
  <c r="U47" i="9"/>
  <c r="M46" i="7"/>
  <c r="P30" i="9"/>
  <c r="P42" i="9"/>
  <c r="P49" i="9"/>
  <c r="P6" i="9"/>
  <c r="P27" i="9"/>
  <c r="P9" i="9"/>
  <c r="P45" i="9"/>
  <c r="P17" i="9"/>
  <c r="P29" i="9"/>
  <c r="P16" i="9"/>
  <c r="X34" i="9"/>
  <c r="X31" i="9"/>
  <c r="X15" i="9"/>
  <c r="X22" i="9"/>
  <c r="X14" i="9"/>
  <c r="X24" i="9"/>
  <c r="X39" i="9"/>
  <c r="X46" i="9"/>
  <c r="X20" i="9"/>
  <c r="X32" i="9"/>
  <c r="X36" i="9"/>
  <c r="X44" i="9"/>
  <c r="R48" i="9"/>
  <c r="R49" i="9"/>
  <c r="R36" i="9"/>
  <c r="R46" i="9"/>
  <c r="R17" i="9"/>
  <c r="R19" i="9"/>
  <c r="R34" i="9"/>
  <c r="R12" i="9"/>
  <c r="R11" i="9"/>
  <c r="R27" i="9"/>
  <c r="R15" i="9"/>
  <c r="R24" i="9"/>
  <c r="M37" i="7"/>
  <c r="AD45" i="7"/>
  <c r="AC45" i="9"/>
  <c r="AD45" i="9" s="1"/>
  <c r="AD41" i="7"/>
  <c r="AC41" i="9"/>
  <c r="AD41" i="9" s="1"/>
  <c r="AD46" i="7"/>
  <c r="AC46" i="9"/>
  <c r="AD46" i="9" s="1"/>
  <c r="AD42" i="7"/>
  <c r="AC42" i="9"/>
  <c r="AD42" i="9" s="1"/>
  <c r="AD40" i="7"/>
  <c r="AC40" i="9"/>
  <c r="AD40" i="9" s="1"/>
  <c r="AD23" i="7"/>
  <c r="AC23" i="9"/>
  <c r="AD23" i="9" s="1"/>
  <c r="AD12" i="7"/>
  <c r="AC12" i="9"/>
  <c r="AD12" i="9" s="1"/>
  <c r="AD48" i="7"/>
  <c r="AC48" i="9"/>
  <c r="AD48" i="9" s="1"/>
  <c r="AD17" i="7"/>
  <c r="AC17" i="9"/>
  <c r="AD17" i="9" s="1"/>
  <c r="AD5" i="7"/>
  <c r="AC5" i="9"/>
  <c r="AC53" i="7"/>
  <c r="AC58" i="7" s="1"/>
  <c r="AC35" i="8" s="1"/>
  <c r="AA35" i="29" s="1"/>
  <c r="AA87" i="29" s="1"/>
  <c r="AD9" i="7"/>
  <c r="AC9" i="9"/>
  <c r="AD9" i="9" s="1"/>
  <c r="AD25" i="7"/>
  <c r="AC25" i="9"/>
  <c r="AD25" i="9" s="1"/>
  <c r="AH23" i="9"/>
  <c r="M25" i="7"/>
  <c r="AH30" i="8"/>
  <c r="AD30" i="29" s="1"/>
  <c r="AD82" i="29" s="1"/>
  <c r="AH30" i="9"/>
  <c r="O26" i="9"/>
  <c r="O10" i="9"/>
  <c r="O48" i="9"/>
  <c r="M50" i="9"/>
  <c r="W39" i="8"/>
  <c r="V39" i="29" s="1"/>
  <c r="V91" i="29" s="1"/>
  <c r="W39" i="9"/>
  <c r="W27" i="8"/>
  <c r="V27" i="29" s="1"/>
  <c r="V79" i="29" s="1"/>
  <c r="W27" i="9"/>
  <c r="W34" i="8"/>
  <c r="V34" i="29" s="1"/>
  <c r="V86" i="29" s="1"/>
  <c r="W34" i="9"/>
  <c r="AH7" i="8"/>
  <c r="AD7" i="29" s="1"/>
  <c r="AD59" i="29" s="1"/>
  <c r="AH7" i="9"/>
  <c r="AH42" i="8"/>
  <c r="AD42" i="29" s="1"/>
  <c r="AD94" i="29" s="1"/>
  <c r="AH42" i="9"/>
  <c r="AH17" i="8"/>
  <c r="AD17" i="29" s="1"/>
  <c r="AD69" i="29" s="1"/>
  <c r="AH17" i="9"/>
  <c r="L39" i="8"/>
  <c r="L39" i="29" s="1"/>
  <c r="L91" i="29" s="1"/>
  <c r="L39" i="9"/>
  <c r="M21" i="9"/>
  <c r="L20" i="8"/>
  <c r="L20" i="29" s="1"/>
  <c r="L72" i="29" s="1"/>
  <c r="L20" i="9"/>
  <c r="L21" i="8"/>
  <c r="L21" i="29" s="1"/>
  <c r="L73" i="29" s="1"/>
  <c r="L21" i="9"/>
  <c r="L14" i="8"/>
  <c r="L14" i="29" s="1"/>
  <c r="L66" i="29" s="1"/>
  <c r="L14" i="9"/>
  <c r="Q35" i="9"/>
  <c r="Q25" i="9"/>
  <c r="U18" i="9"/>
  <c r="U22" i="9"/>
  <c r="U12" i="9"/>
  <c r="U44" i="8"/>
  <c r="T44" i="29" s="1"/>
  <c r="T96" i="29" s="1"/>
  <c r="U44" i="9"/>
  <c r="U27" i="9"/>
  <c r="U34" i="8"/>
  <c r="T34" i="29" s="1"/>
  <c r="T86" i="29" s="1"/>
  <c r="U34" i="9"/>
  <c r="P43" i="9"/>
  <c r="P25" i="9"/>
  <c r="P22" i="9"/>
  <c r="P37" i="9"/>
  <c r="P28" i="9"/>
  <c r="X19" i="9"/>
  <c r="X12" i="9"/>
  <c r="X7" i="9"/>
  <c r="X37" i="9"/>
  <c r="X18" i="9"/>
  <c r="X27" i="9"/>
  <c r="AH44" i="9"/>
  <c r="R30" i="9"/>
  <c r="R32" i="9"/>
  <c r="R44" i="9"/>
  <c r="R14" i="9"/>
  <c r="R25" i="9"/>
  <c r="M48" i="9"/>
  <c r="AD33" i="7"/>
  <c r="AC33" i="9"/>
  <c r="AD33" i="9" s="1"/>
  <c r="AD38" i="7"/>
  <c r="AC38" i="9"/>
  <c r="AD38" i="9" s="1"/>
  <c r="M45" i="7"/>
  <c r="V51" i="7"/>
  <c r="V48" i="7"/>
  <c r="V45" i="7"/>
  <c r="V43" i="7"/>
  <c r="V41" i="7"/>
  <c r="V39" i="7"/>
  <c r="V37" i="7"/>
  <c r="V35" i="7"/>
  <c r="V28" i="7"/>
  <c r="V26" i="7"/>
  <c r="V49" i="7"/>
  <c r="V47" i="7"/>
  <c r="V44" i="7"/>
  <c r="V42" i="7"/>
  <c r="V40" i="7"/>
  <c r="V38" i="7"/>
  <c r="V36" i="7"/>
  <c r="V31" i="7"/>
  <c r="V19" i="7"/>
  <c r="V17" i="7"/>
  <c r="V12" i="7"/>
  <c r="V10" i="7"/>
  <c r="V34" i="7"/>
  <c r="V29" i="7"/>
  <c r="V22" i="7"/>
  <c r="V15" i="7"/>
  <c r="V13" i="7"/>
  <c r="V8" i="7"/>
  <c r="V6" i="7"/>
  <c r="V30" i="7"/>
  <c r="V24" i="7"/>
  <c r="V14" i="7"/>
  <c r="V11" i="7"/>
  <c r="V7" i="7"/>
  <c r="V21" i="7"/>
  <c r="V50" i="7"/>
  <c r="V33" i="7"/>
  <c r="V32" i="7"/>
  <c r="V27" i="7"/>
  <c r="V25" i="7"/>
  <c r="V20" i="7"/>
  <c r="V9" i="7"/>
  <c r="V5" i="7"/>
  <c r="V46" i="7"/>
  <c r="V23" i="7"/>
  <c r="V18" i="7"/>
  <c r="V16" i="7"/>
  <c r="D45" i="5"/>
  <c r="P45" i="13"/>
  <c r="P45" i="12"/>
  <c r="P45" i="10"/>
  <c r="P45" i="11"/>
  <c r="Y60" i="6"/>
  <c r="Y54" i="9"/>
  <c r="Y54" i="8"/>
  <c r="Y58" i="8" s="1"/>
  <c r="Y54" i="7"/>
  <c r="L12" i="8"/>
  <c r="L12" i="29" s="1"/>
  <c r="L64" i="29" s="1"/>
  <c r="L12" i="9"/>
  <c r="O34" i="9"/>
  <c r="AH41" i="8"/>
  <c r="AD41" i="29" s="1"/>
  <c r="AD93" i="29" s="1"/>
  <c r="AH41" i="9"/>
  <c r="AA53" i="8"/>
  <c r="M31" i="7"/>
  <c r="O36" i="9"/>
  <c r="O31" i="9"/>
  <c r="O42" i="9"/>
  <c r="O38" i="9"/>
  <c r="O32" i="9"/>
  <c r="O29" i="9"/>
  <c r="O12" i="9"/>
  <c r="O28" i="9"/>
  <c r="O22" i="9"/>
  <c r="O14" i="9"/>
  <c r="O18" i="9"/>
  <c r="M34" i="7"/>
  <c r="W12" i="8"/>
  <c r="V12" i="29" s="1"/>
  <c r="V64" i="29" s="1"/>
  <c r="W12" i="9"/>
  <c r="W38" i="8"/>
  <c r="V38" i="29" s="1"/>
  <c r="V90" i="29" s="1"/>
  <c r="W38" i="9"/>
  <c r="W17" i="8"/>
  <c r="V17" i="29" s="1"/>
  <c r="V69" i="29" s="1"/>
  <c r="W17" i="9"/>
  <c r="W7" i="8"/>
  <c r="V7" i="29" s="1"/>
  <c r="V59" i="29" s="1"/>
  <c r="W7" i="9"/>
  <c r="W36" i="8"/>
  <c r="V36" i="29" s="1"/>
  <c r="V88" i="29" s="1"/>
  <c r="W36" i="9"/>
  <c r="W19" i="8"/>
  <c r="V19" i="29" s="1"/>
  <c r="V71" i="29" s="1"/>
  <c r="W19" i="9"/>
  <c r="W42" i="8"/>
  <c r="V42" i="29" s="1"/>
  <c r="V94" i="29" s="1"/>
  <c r="W42" i="9"/>
  <c r="W20" i="8"/>
  <c r="V20" i="29" s="1"/>
  <c r="V72" i="29" s="1"/>
  <c r="W20" i="9"/>
  <c r="W51" i="8"/>
  <c r="V51" i="29" s="1"/>
  <c r="V103" i="29" s="1"/>
  <c r="W51" i="9"/>
  <c r="W15" i="8"/>
  <c r="V15" i="29" s="1"/>
  <c r="V67" i="29" s="1"/>
  <c r="W15" i="9"/>
  <c r="W24" i="8"/>
  <c r="V24" i="29" s="1"/>
  <c r="V76" i="29" s="1"/>
  <c r="W24" i="9"/>
  <c r="W46" i="8"/>
  <c r="V46" i="29" s="1"/>
  <c r="V98" i="29" s="1"/>
  <c r="W46" i="9"/>
  <c r="AH26" i="8"/>
  <c r="AD26" i="29" s="1"/>
  <c r="AD78" i="29" s="1"/>
  <c r="AH26" i="9"/>
  <c r="AH33" i="8"/>
  <c r="AD33" i="29" s="1"/>
  <c r="AD85" i="29" s="1"/>
  <c r="AH33" i="9"/>
  <c r="AH27" i="8"/>
  <c r="AD27" i="29" s="1"/>
  <c r="AD79" i="29" s="1"/>
  <c r="AH27" i="9"/>
  <c r="AH22" i="8"/>
  <c r="AD22" i="29" s="1"/>
  <c r="AD74" i="29" s="1"/>
  <c r="AH22" i="9"/>
  <c r="AH16" i="8"/>
  <c r="AD16" i="29" s="1"/>
  <c r="AD68" i="29" s="1"/>
  <c r="AH16" i="9"/>
  <c r="AH51" i="8"/>
  <c r="AD51" i="29" s="1"/>
  <c r="AD103" i="29" s="1"/>
  <c r="AH51" i="9"/>
  <c r="AH29" i="8"/>
  <c r="AD29" i="29" s="1"/>
  <c r="AD81" i="29" s="1"/>
  <c r="AH29" i="9"/>
  <c r="AH9" i="8"/>
  <c r="AD9" i="29" s="1"/>
  <c r="AD61" i="29" s="1"/>
  <c r="AH9" i="9"/>
  <c r="AH13" i="8"/>
  <c r="AD13" i="29" s="1"/>
  <c r="AD65" i="29" s="1"/>
  <c r="AH13" i="9"/>
  <c r="AH8" i="8"/>
  <c r="AD8" i="29" s="1"/>
  <c r="AD60" i="29" s="1"/>
  <c r="P38" i="9"/>
  <c r="L49" i="8"/>
  <c r="L49" i="29" s="1"/>
  <c r="L101" i="29" s="1"/>
  <c r="L49" i="9"/>
  <c r="U9" i="11"/>
  <c r="U6" i="11"/>
  <c r="U5" i="11"/>
  <c r="U11" i="11"/>
  <c r="U7" i="11"/>
  <c r="U24" i="11"/>
  <c r="U16" i="11"/>
  <c r="U20" i="11"/>
  <c r="U12" i="11"/>
  <c r="U35" i="11"/>
  <c r="U32" i="11"/>
  <c r="U27" i="11"/>
  <c r="U10" i="11"/>
  <c r="U8" i="11"/>
  <c r="U15" i="11"/>
  <c r="U38" i="11"/>
  <c r="U28" i="11"/>
  <c r="U21" i="11"/>
  <c r="U18" i="11"/>
  <c r="U34" i="11"/>
  <c r="U14" i="11"/>
  <c r="U39" i="11"/>
  <c r="U36" i="11"/>
  <c r="U41" i="11"/>
  <c r="U25" i="11"/>
  <c r="U22" i="11"/>
  <c r="U42" i="11"/>
  <c r="U19" i="11"/>
  <c r="U40" i="11"/>
  <c r="U37" i="11"/>
  <c r="U26" i="11"/>
  <c r="U23" i="11"/>
  <c r="U29" i="11"/>
  <c r="U33" i="11"/>
  <c r="U31" i="11"/>
  <c r="U17" i="11"/>
  <c r="U13" i="11"/>
  <c r="U30" i="11"/>
  <c r="M41" i="7"/>
  <c r="M8" i="7"/>
  <c r="L45" i="8"/>
  <c r="L45" i="29" s="1"/>
  <c r="L97" i="29" s="1"/>
  <c r="L45" i="9"/>
  <c r="L51" i="8"/>
  <c r="L51" i="29" s="1"/>
  <c r="L103" i="29" s="1"/>
  <c r="L51" i="9"/>
  <c r="L33" i="8"/>
  <c r="L33" i="29" s="1"/>
  <c r="L85" i="29" s="1"/>
  <c r="L33" i="9"/>
  <c r="L43" i="8"/>
  <c r="L43" i="29" s="1"/>
  <c r="L95" i="29" s="1"/>
  <c r="L43" i="9"/>
  <c r="L40" i="8"/>
  <c r="L40" i="29" s="1"/>
  <c r="L92" i="29" s="1"/>
  <c r="L40" i="9"/>
  <c r="L50" i="8"/>
  <c r="L50" i="29" s="1"/>
  <c r="L102" i="29" s="1"/>
  <c r="L50" i="9"/>
  <c r="L9" i="8"/>
  <c r="L9" i="29" s="1"/>
  <c r="L61" i="29" s="1"/>
  <c r="L9" i="9"/>
  <c r="L42" i="8"/>
  <c r="L42" i="29" s="1"/>
  <c r="L94" i="29" s="1"/>
  <c r="L42" i="9"/>
  <c r="L8" i="8"/>
  <c r="L8" i="29" s="1"/>
  <c r="L60" i="29" s="1"/>
  <c r="L24" i="8"/>
  <c r="L24" i="29" s="1"/>
  <c r="L76" i="29" s="1"/>
  <c r="L24" i="9"/>
  <c r="L28" i="8"/>
  <c r="L28" i="29" s="1"/>
  <c r="L80" i="29" s="1"/>
  <c r="L28" i="9"/>
  <c r="Q32" i="9"/>
  <c r="Q50" i="9"/>
  <c r="Q42" i="9"/>
  <c r="Q34" i="9"/>
  <c r="Q11" i="9"/>
  <c r="Q33" i="9"/>
  <c r="Q44" i="9"/>
  <c r="Q31" i="9"/>
  <c r="Q13" i="9"/>
  <c r="Q10" i="9"/>
  <c r="O30" i="9"/>
  <c r="AH35" i="8"/>
  <c r="AD35" i="29" s="1"/>
  <c r="AD87" i="29" s="1"/>
  <c r="AH35" i="9"/>
  <c r="M35" i="7"/>
  <c r="M23" i="7"/>
  <c r="U8" i="8"/>
  <c r="T8" i="29" s="1"/>
  <c r="T60" i="29" s="1"/>
  <c r="U8" i="9"/>
  <c r="U39" i="8"/>
  <c r="T39" i="29" s="1"/>
  <c r="T91" i="29" s="1"/>
  <c r="U39" i="9"/>
  <c r="U26" i="8"/>
  <c r="T26" i="29" s="1"/>
  <c r="T78" i="29" s="1"/>
  <c r="U26" i="9"/>
  <c r="U37" i="8"/>
  <c r="T37" i="29" s="1"/>
  <c r="T89" i="29" s="1"/>
  <c r="U37" i="9"/>
  <c r="U43" i="8"/>
  <c r="T43" i="29" s="1"/>
  <c r="T95" i="29" s="1"/>
  <c r="U43" i="9"/>
  <c r="U19" i="8"/>
  <c r="T19" i="29" s="1"/>
  <c r="T71" i="29" s="1"/>
  <c r="U19" i="9"/>
  <c r="U40" i="8"/>
  <c r="T40" i="29" s="1"/>
  <c r="T92" i="29" s="1"/>
  <c r="U40" i="9"/>
  <c r="U7" i="8"/>
  <c r="T7" i="29" s="1"/>
  <c r="T59" i="29" s="1"/>
  <c r="U7" i="9"/>
  <c r="U23" i="8"/>
  <c r="T23" i="29" s="1"/>
  <c r="T75" i="29" s="1"/>
  <c r="U23" i="9"/>
  <c r="U49" i="8"/>
  <c r="T49" i="29" s="1"/>
  <c r="T101" i="29" s="1"/>
  <c r="U49" i="9"/>
  <c r="U30" i="8"/>
  <c r="T30" i="29" s="1"/>
  <c r="T82" i="29" s="1"/>
  <c r="U30" i="9"/>
  <c r="M14" i="7"/>
  <c r="P34" i="9"/>
  <c r="P51" i="9"/>
  <c r="P44" i="9"/>
  <c r="P24" i="9"/>
  <c r="P13" i="9"/>
  <c r="P33" i="9"/>
  <c r="P15" i="9"/>
  <c r="P46" i="9"/>
  <c r="P19" i="9"/>
  <c r="P53" i="7"/>
  <c r="P58" i="7" s="1"/>
  <c r="P31" i="8" s="1"/>
  <c r="P31" i="29" s="1"/>
  <c r="P83" i="29" s="1"/>
  <c r="P5" i="9"/>
  <c r="P21" i="9"/>
  <c r="X49" i="9"/>
  <c r="X47" i="9"/>
  <c r="X33" i="9"/>
  <c r="X16" i="9"/>
  <c r="X30" i="9"/>
  <c r="X41" i="9"/>
  <c r="X9" i="9"/>
  <c r="X26" i="9"/>
  <c r="X51" i="9"/>
  <c r="X38" i="9"/>
  <c r="X50" i="9"/>
  <c r="R31" i="9"/>
  <c r="R43" i="9"/>
  <c r="R50" i="9"/>
  <c r="R35" i="9"/>
  <c r="R38" i="9"/>
  <c r="R42" i="9"/>
  <c r="R16" i="9"/>
  <c r="R18" i="9"/>
  <c r="R6" i="9"/>
  <c r="R22" i="9"/>
  <c r="R29" i="9"/>
  <c r="M13" i="7"/>
  <c r="AD36" i="7"/>
  <c r="AC36" i="8"/>
  <c r="AA36" i="29" s="1"/>
  <c r="AA88" i="29" s="1"/>
  <c r="AC36" i="9"/>
  <c r="AD36" i="9" s="1"/>
  <c r="AD50" i="7"/>
  <c r="AC50" i="8"/>
  <c r="AA50" i="29" s="1"/>
  <c r="AA102" i="29" s="1"/>
  <c r="AC50" i="9"/>
  <c r="AD50" i="9" s="1"/>
  <c r="AD30" i="7"/>
  <c r="AC30" i="8"/>
  <c r="AA30" i="29" s="1"/>
  <c r="AA82" i="29" s="1"/>
  <c r="AC30" i="9"/>
  <c r="AD30" i="9" s="1"/>
  <c r="AC28" i="8"/>
  <c r="AA28" i="29" s="1"/>
  <c r="AA80" i="29" s="1"/>
  <c r="AD28" i="7"/>
  <c r="AC28" i="9"/>
  <c r="AD28" i="9" s="1"/>
  <c r="AD27" i="7"/>
  <c r="AC27" i="8"/>
  <c r="AA27" i="29" s="1"/>
  <c r="AA79" i="29" s="1"/>
  <c r="AC27" i="9"/>
  <c r="AD27" i="9" s="1"/>
  <c r="AD43" i="7"/>
  <c r="AC43" i="8"/>
  <c r="AA43" i="29" s="1"/>
  <c r="AA95" i="29" s="1"/>
  <c r="AC43" i="9"/>
  <c r="AD43" i="9" s="1"/>
  <c r="AD13" i="7"/>
  <c r="AC13" i="8"/>
  <c r="AA13" i="29" s="1"/>
  <c r="AA65" i="29" s="1"/>
  <c r="AC13" i="9"/>
  <c r="AD13" i="9" s="1"/>
  <c r="AC49" i="8"/>
  <c r="AA49" i="29" s="1"/>
  <c r="AA101" i="29" s="1"/>
  <c r="AD49" i="7"/>
  <c r="AC49" i="9"/>
  <c r="AD49" i="9" s="1"/>
  <c r="AD10" i="7"/>
  <c r="AC10" i="8"/>
  <c r="AA10" i="29" s="1"/>
  <c r="AA62" i="29" s="1"/>
  <c r="AC10" i="9"/>
  <c r="AD10" i="9" s="1"/>
  <c r="AD7" i="7"/>
  <c r="AC7" i="8"/>
  <c r="AA7" i="29" s="1"/>
  <c r="AA59" i="29" s="1"/>
  <c r="AC7" i="9"/>
  <c r="AD7" i="9" s="1"/>
  <c r="AD11" i="7"/>
  <c r="AC11" i="8"/>
  <c r="AA11" i="29" s="1"/>
  <c r="AA63" i="29" s="1"/>
  <c r="AC11" i="9"/>
  <c r="AD11" i="9" s="1"/>
  <c r="M40" i="7"/>
  <c r="M47" i="9"/>
  <c r="O44" i="9"/>
  <c r="O43" i="9"/>
  <c r="O5" i="9"/>
  <c r="O53" i="7"/>
  <c r="O58" i="7" s="1"/>
  <c r="O21" i="8" s="1"/>
  <c r="O21" i="29" s="1"/>
  <c r="O73" i="29" s="1"/>
  <c r="O25" i="9"/>
  <c r="W21" i="8"/>
  <c r="V21" i="29" s="1"/>
  <c r="V73" i="29" s="1"/>
  <c r="W21" i="9"/>
  <c r="W14" i="8"/>
  <c r="V14" i="29" s="1"/>
  <c r="V66" i="29" s="1"/>
  <c r="W14" i="9"/>
  <c r="W11" i="8"/>
  <c r="V11" i="29" s="1"/>
  <c r="V63" i="29" s="1"/>
  <c r="W11" i="9"/>
  <c r="W8" i="8"/>
  <c r="V8" i="29" s="1"/>
  <c r="V60" i="29" s="1"/>
  <c r="W8" i="9"/>
  <c r="M22" i="9"/>
  <c r="AH24" i="8"/>
  <c r="AD24" i="29" s="1"/>
  <c r="AD76" i="29" s="1"/>
  <c r="AH24" i="9"/>
  <c r="AH38" i="8"/>
  <c r="AD38" i="29" s="1"/>
  <c r="AD90" i="29" s="1"/>
  <c r="AH38" i="9"/>
  <c r="AH20" i="8"/>
  <c r="AD20" i="29" s="1"/>
  <c r="AD72" i="29" s="1"/>
  <c r="AH20" i="9"/>
  <c r="L32" i="8"/>
  <c r="L32" i="29" s="1"/>
  <c r="L84" i="29" s="1"/>
  <c r="L32" i="9"/>
  <c r="L25" i="8"/>
  <c r="L25" i="29" s="1"/>
  <c r="L77" i="29" s="1"/>
  <c r="L25" i="9"/>
  <c r="L16" i="8"/>
  <c r="L16" i="29" s="1"/>
  <c r="L68" i="29" s="1"/>
  <c r="L16" i="9"/>
  <c r="L10" i="8"/>
  <c r="L10" i="29" s="1"/>
  <c r="L62" i="29" s="1"/>
  <c r="L10" i="9"/>
  <c r="Q19" i="9"/>
  <c r="Q5" i="9"/>
  <c r="Q53" i="7"/>
  <c r="Q58" i="7" s="1"/>
  <c r="Q50" i="8" s="1"/>
  <c r="Q50" i="29" s="1"/>
  <c r="Q102" i="29" s="1"/>
  <c r="Q20" i="9"/>
  <c r="Q22" i="9"/>
  <c r="R13" i="9"/>
  <c r="M15" i="7"/>
  <c r="M6" i="7"/>
  <c r="M9" i="7"/>
  <c r="M5" i="7"/>
  <c r="M16" i="7"/>
  <c r="M10" i="7"/>
  <c r="Y16" i="11"/>
  <c r="Y10" i="11"/>
  <c r="Y9" i="11"/>
  <c r="Y8" i="11"/>
  <c r="Y6" i="11"/>
  <c r="Y23" i="11"/>
  <c r="Y19" i="11"/>
  <c r="Y13" i="11"/>
  <c r="Y28" i="11"/>
  <c r="Y14" i="11"/>
  <c r="Y7" i="11"/>
  <c r="Y29" i="11"/>
  <c r="Y5" i="11"/>
  <c r="Y40" i="11"/>
  <c r="Y26" i="11"/>
  <c r="Y11" i="11"/>
  <c r="Y34" i="11"/>
  <c r="Y21" i="11"/>
  <c r="Y31" i="11"/>
  <c r="Y24" i="11"/>
  <c r="Y18" i="11"/>
  <c r="Y38" i="11"/>
  <c r="Y25" i="11"/>
  <c r="Y36" i="11"/>
  <c r="Y32" i="11"/>
  <c r="Y12" i="11"/>
  <c r="Y35" i="11"/>
  <c r="Y22" i="11"/>
  <c r="Y33" i="11"/>
  <c r="Y15" i="11"/>
  <c r="Y37" i="11"/>
  <c r="Y42" i="11"/>
  <c r="Y39" i="11"/>
  <c r="Y30" i="11"/>
  <c r="Y20" i="11"/>
  <c r="Y41" i="11"/>
  <c r="Y17" i="11"/>
  <c r="Y27" i="11"/>
  <c r="M24" i="7"/>
  <c r="AH28" i="8"/>
  <c r="AD28" i="29" s="1"/>
  <c r="AD80" i="29" s="1"/>
  <c r="AH28" i="9"/>
  <c r="AH48" i="8"/>
  <c r="AD48" i="29" s="1"/>
  <c r="AD100" i="29" s="1"/>
  <c r="AH48" i="9"/>
  <c r="M39" i="7"/>
  <c r="O33" i="9"/>
  <c r="O50" i="9"/>
  <c r="O49" i="9"/>
  <c r="O51" i="9"/>
  <c r="O6" i="9"/>
  <c r="O35" i="9"/>
  <c r="O15" i="9"/>
  <c r="O41" i="9"/>
  <c r="O39" i="9"/>
  <c r="O16" i="9"/>
  <c r="O20" i="9"/>
  <c r="M42" i="7"/>
  <c r="W16" i="8"/>
  <c r="V16" i="29" s="1"/>
  <c r="V68" i="29" s="1"/>
  <c r="W16" i="9"/>
  <c r="W45" i="8"/>
  <c r="V45" i="29" s="1"/>
  <c r="V97" i="29" s="1"/>
  <c r="W45" i="9"/>
  <c r="W23" i="8"/>
  <c r="V23" i="29" s="1"/>
  <c r="V75" i="29" s="1"/>
  <c r="W23" i="9"/>
  <c r="W10" i="8"/>
  <c r="V10" i="29" s="1"/>
  <c r="V62" i="29" s="1"/>
  <c r="W10" i="9"/>
  <c r="W43" i="8"/>
  <c r="V43" i="29" s="1"/>
  <c r="V95" i="29" s="1"/>
  <c r="W43" i="9"/>
  <c r="W25" i="8"/>
  <c r="V25" i="29" s="1"/>
  <c r="V77" i="29" s="1"/>
  <c r="W25" i="9"/>
  <c r="W9" i="8"/>
  <c r="V9" i="29" s="1"/>
  <c r="V61" i="29" s="1"/>
  <c r="W9" i="9"/>
  <c r="W26" i="8"/>
  <c r="V26" i="29" s="1"/>
  <c r="V78" i="29" s="1"/>
  <c r="W26" i="9"/>
  <c r="W6" i="8"/>
  <c r="V6" i="29" s="1"/>
  <c r="V58" i="29" s="1"/>
  <c r="W6" i="9"/>
  <c r="W22" i="8"/>
  <c r="V22" i="29" s="1"/>
  <c r="V74" i="29" s="1"/>
  <c r="W22" i="9"/>
  <c r="W29" i="8"/>
  <c r="V29" i="29" s="1"/>
  <c r="V81" i="29" s="1"/>
  <c r="W29" i="9"/>
  <c r="W49" i="8"/>
  <c r="V49" i="29" s="1"/>
  <c r="V101" i="29" s="1"/>
  <c r="W49" i="9"/>
  <c r="AH37" i="8"/>
  <c r="AD37" i="29" s="1"/>
  <c r="AD89" i="29" s="1"/>
  <c r="AH37" i="9"/>
  <c r="AH40" i="8"/>
  <c r="AD40" i="29" s="1"/>
  <c r="AD92" i="29" s="1"/>
  <c r="AH40" i="9"/>
  <c r="AH36" i="8"/>
  <c r="AD36" i="29" s="1"/>
  <c r="AD88" i="29" s="1"/>
  <c r="AH36" i="9"/>
  <c r="AH32" i="8"/>
  <c r="AD32" i="29" s="1"/>
  <c r="AD84" i="29" s="1"/>
  <c r="AH32" i="9"/>
  <c r="AH21" i="8"/>
  <c r="AD21" i="29" s="1"/>
  <c r="AD73" i="29" s="1"/>
  <c r="AH21" i="9"/>
  <c r="AH18" i="8"/>
  <c r="AD18" i="29" s="1"/>
  <c r="AD70" i="29" s="1"/>
  <c r="AH18" i="9"/>
  <c r="AH34" i="8"/>
  <c r="AD34" i="29" s="1"/>
  <c r="AD86" i="29" s="1"/>
  <c r="AH34" i="9"/>
  <c r="AH12" i="8"/>
  <c r="AD12" i="29" s="1"/>
  <c r="AD64" i="29" s="1"/>
  <c r="AH12" i="9"/>
  <c r="AH15" i="8"/>
  <c r="AD15" i="29" s="1"/>
  <c r="AD67" i="29" s="1"/>
  <c r="AH15" i="9"/>
  <c r="AH10" i="8"/>
  <c r="AD10" i="29" s="1"/>
  <c r="AD62" i="29" s="1"/>
  <c r="AH10" i="9"/>
  <c r="L36" i="8"/>
  <c r="L36" i="29" s="1"/>
  <c r="L88" i="29" s="1"/>
  <c r="L36" i="9"/>
  <c r="P48" i="9"/>
  <c r="M49" i="7"/>
  <c r="M28" i="7"/>
  <c r="L35" i="8"/>
  <c r="L35" i="29" s="1"/>
  <c r="L87" i="29" s="1"/>
  <c r="L35" i="9"/>
  <c r="L19" i="8"/>
  <c r="L19" i="29" s="1"/>
  <c r="L71" i="29" s="1"/>
  <c r="L19" i="9"/>
  <c r="L44" i="8"/>
  <c r="L44" i="29" s="1"/>
  <c r="L96" i="29" s="1"/>
  <c r="L44" i="9"/>
  <c r="L30" i="8"/>
  <c r="L30" i="29" s="1"/>
  <c r="L82" i="29" s="1"/>
  <c r="L30" i="9"/>
  <c r="L11" i="8"/>
  <c r="L11" i="29" s="1"/>
  <c r="L63" i="29" s="1"/>
  <c r="L11" i="9"/>
  <c r="L18" i="8"/>
  <c r="L18" i="29" s="1"/>
  <c r="L70" i="29" s="1"/>
  <c r="L18" i="9"/>
  <c r="L38" i="8"/>
  <c r="L38" i="29" s="1"/>
  <c r="L90" i="29" s="1"/>
  <c r="L38" i="9"/>
  <c r="L7" i="8"/>
  <c r="L7" i="29" s="1"/>
  <c r="L59" i="29" s="1"/>
  <c r="L7" i="9"/>
  <c r="L13" i="8"/>
  <c r="L13" i="29" s="1"/>
  <c r="L65" i="29" s="1"/>
  <c r="L13" i="9"/>
  <c r="L27" i="8"/>
  <c r="L27" i="29" s="1"/>
  <c r="L79" i="29" s="1"/>
  <c r="L27" i="9"/>
  <c r="Q39" i="9"/>
  <c r="Q18" i="8"/>
  <c r="Q18" i="29" s="1"/>
  <c r="Q70" i="29" s="1"/>
  <c r="Q18" i="9"/>
  <c r="Q12" i="9"/>
  <c r="Q7" i="8"/>
  <c r="Q7" i="29" s="1"/>
  <c r="Q59" i="29" s="1"/>
  <c r="Q7" i="9"/>
  <c r="Q38" i="9"/>
  <c r="Q14" i="9"/>
  <c r="Q16" i="9"/>
  <c r="Q9" i="8"/>
  <c r="Q9" i="29" s="1"/>
  <c r="Q61" i="29" s="1"/>
  <c r="Q9" i="9"/>
  <c r="Q47" i="9"/>
  <c r="Q15" i="8"/>
  <c r="Q15" i="29" s="1"/>
  <c r="Q67" i="29" s="1"/>
  <c r="Q15" i="9"/>
  <c r="Q29" i="9"/>
  <c r="Q48" i="8"/>
  <c r="Q48" i="29" s="1"/>
  <c r="Q100" i="29" s="1"/>
  <c r="Q48" i="9"/>
  <c r="M43" i="7"/>
  <c r="U6" i="8"/>
  <c r="T6" i="29" s="1"/>
  <c r="T58" i="29" s="1"/>
  <c r="U6" i="9"/>
  <c r="U9" i="8"/>
  <c r="T9" i="29" s="1"/>
  <c r="T61" i="29" s="1"/>
  <c r="U9" i="9"/>
  <c r="U11" i="8"/>
  <c r="T11" i="29" s="1"/>
  <c r="T63" i="29" s="1"/>
  <c r="U11" i="9"/>
  <c r="U28" i="8"/>
  <c r="T28" i="29" s="1"/>
  <c r="T80" i="29" s="1"/>
  <c r="U28" i="9"/>
  <c r="U46" i="8"/>
  <c r="T46" i="29" s="1"/>
  <c r="T98" i="29" s="1"/>
  <c r="U46" i="9"/>
  <c r="U10" i="8"/>
  <c r="T10" i="29" s="1"/>
  <c r="T62" i="29" s="1"/>
  <c r="U10" i="9"/>
  <c r="U31" i="8"/>
  <c r="T31" i="29" s="1"/>
  <c r="T83" i="29" s="1"/>
  <c r="U31" i="9"/>
  <c r="U42" i="8"/>
  <c r="T42" i="29" s="1"/>
  <c r="T94" i="29" s="1"/>
  <c r="U42" i="9"/>
  <c r="U14" i="8"/>
  <c r="T14" i="29" s="1"/>
  <c r="T66" i="29" s="1"/>
  <c r="U14" i="9"/>
  <c r="U25" i="8"/>
  <c r="T25" i="29" s="1"/>
  <c r="T77" i="29" s="1"/>
  <c r="U25" i="9"/>
  <c r="U50" i="8"/>
  <c r="T50" i="29" s="1"/>
  <c r="T102" i="29" s="1"/>
  <c r="U50" i="9"/>
  <c r="U32" i="8"/>
  <c r="T32" i="29" s="1"/>
  <c r="T84" i="29" s="1"/>
  <c r="U32" i="9"/>
  <c r="M30" i="7"/>
  <c r="P40" i="9"/>
  <c r="P32" i="8"/>
  <c r="P32" i="29" s="1"/>
  <c r="P84" i="29" s="1"/>
  <c r="P32" i="9"/>
  <c r="P11" i="9"/>
  <c r="P41" i="8"/>
  <c r="P41" i="29" s="1"/>
  <c r="P93" i="29" s="1"/>
  <c r="P41" i="9"/>
  <c r="P18" i="9"/>
  <c r="P39" i="8"/>
  <c r="P39" i="29" s="1"/>
  <c r="P91" i="29" s="1"/>
  <c r="P39" i="9"/>
  <c r="P20" i="9"/>
  <c r="P10" i="8"/>
  <c r="P10" i="29" s="1"/>
  <c r="P62" i="29" s="1"/>
  <c r="P26" i="8"/>
  <c r="P26" i="9"/>
  <c r="P7" i="8"/>
  <c r="P7" i="29" s="1"/>
  <c r="P59" i="29" s="1"/>
  <c r="P7" i="9"/>
  <c r="P23" i="8"/>
  <c r="P23" i="9"/>
  <c r="X10" i="9"/>
  <c r="X8" i="9"/>
  <c r="X48" i="9"/>
  <c r="X5" i="9"/>
  <c r="X53" i="7"/>
  <c r="X58" i="7" s="1"/>
  <c r="X31" i="8" s="1"/>
  <c r="W31" i="29" s="1"/>
  <c r="W83" i="29" s="1"/>
  <c r="X21" i="9"/>
  <c r="X35" i="9"/>
  <c r="X43" i="9"/>
  <c r="X11" i="9"/>
  <c r="X28" i="9"/>
  <c r="X25" i="9"/>
  <c r="X40" i="9"/>
  <c r="R46" i="13"/>
  <c r="R46" i="10"/>
  <c r="R46" i="11"/>
  <c r="R46" i="12"/>
  <c r="M29" i="7"/>
  <c r="R41" i="9"/>
  <c r="R37" i="9"/>
  <c r="R33" i="9"/>
  <c r="R45" i="9"/>
  <c r="R47" i="9"/>
  <c r="R10" i="9"/>
  <c r="R23" i="9"/>
  <c r="R21" i="9"/>
  <c r="R20" i="9"/>
  <c r="R8" i="9"/>
  <c r="R26" i="9"/>
  <c r="M18" i="7"/>
  <c r="AD21" i="7"/>
  <c r="AC21" i="8"/>
  <c r="AA21" i="29" s="1"/>
  <c r="AA73" i="29" s="1"/>
  <c r="AC21" i="9"/>
  <c r="AD21" i="9" s="1"/>
  <c r="AC24" i="8"/>
  <c r="AA24" i="29" s="1"/>
  <c r="AA76" i="29" s="1"/>
  <c r="AD24" i="7"/>
  <c r="AC24" i="9"/>
  <c r="AD24" i="9" s="1"/>
  <c r="AD32" i="7"/>
  <c r="AC32" i="8"/>
  <c r="AA32" i="29" s="1"/>
  <c r="AA84" i="29" s="1"/>
  <c r="AC32" i="9"/>
  <c r="AD32" i="9" s="1"/>
  <c r="AD44" i="7"/>
  <c r="AC44" i="8"/>
  <c r="AA44" i="29" s="1"/>
  <c r="AA96" i="29" s="1"/>
  <c r="AC44" i="9"/>
  <c r="AD44" i="9" s="1"/>
  <c r="AC51" i="8"/>
  <c r="AA51" i="29" s="1"/>
  <c r="AA103" i="29" s="1"/>
  <c r="AD51" i="7"/>
  <c r="AC51" i="9"/>
  <c r="AD51" i="9" s="1"/>
  <c r="AD29" i="7"/>
  <c r="AC29" i="8"/>
  <c r="AA29" i="29" s="1"/>
  <c r="AA81" i="29" s="1"/>
  <c r="AC29" i="9"/>
  <c r="AD29" i="9" s="1"/>
  <c r="AD26" i="7"/>
  <c r="AC26" i="8"/>
  <c r="AA26" i="29" s="1"/>
  <c r="AA78" i="29" s="1"/>
  <c r="AC26" i="9"/>
  <c r="AD26" i="9" s="1"/>
  <c r="AD31" i="7"/>
  <c r="AC31" i="8"/>
  <c r="AA31" i="29" s="1"/>
  <c r="AA83" i="29" s="1"/>
  <c r="AC31" i="9"/>
  <c r="AD31" i="9" s="1"/>
  <c r="AD8" i="7"/>
  <c r="AC8" i="8"/>
  <c r="AA8" i="29" s="1"/>
  <c r="AA60" i="29" s="1"/>
  <c r="AC8" i="9"/>
  <c r="AD8" i="9" s="1"/>
  <c r="AD19" i="7"/>
  <c r="AC19" i="8"/>
  <c r="AA19" i="29" s="1"/>
  <c r="AA71" i="29" s="1"/>
  <c r="AC19" i="9"/>
  <c r="AD19" i="9" s="1"/>
  <c r="AD14" i="7"/>
  <c r="AC14" i="8"/>
  <c r="AA14" i="29" s="1"/>
  <c r="AA66" i="29" s="1"/>
  <c r="AC14" i="9"/>
  <c r="AD14" i="9" s="1"/>
  <c r="AD18" i="7"/>
  <c r="AC18" i="8"/>
  <c r="AA18" i="29" s="1"/>
  <c r="AA70" i="29" s="1"/>
  <c r="AC18" i="9"/>
  <c r="AD18" i="9" s="1"/>
  <c r="R47" i="13"/>
  <c r="R47" i="11"/>
  <c r="R47" i="12"/>
  <c r="R47" i="10"/>
  <c r="M19" i="7"/>
  <c r="N56" i="6"/>
  <c r="D10" i="5"/>
  <c r="T56" i="6" s="1"/>
  <c r="X10" i="31" l="1"/>
  <c r="X8" i="31"/>
  <c r="P15" i="31" s="1"/>
  <c r="X6" i="31"/>
  <c r="O13" i="31" s="1"/>
  <c r="F6" i="32"/>
  <c r="C6" i="32"/>
  <c r="J6" i="32"/>
  <c r="AI17" i="9"/>
  <c r="AI25" i="9"/>
  <c r="AI47" i="9"/>
  <c r="AI34" i="9"/>
  <c r="AI12" i="9"/>
  <c r="AI40" i="9"/>
  <c r="AI51" i="9"/>
  <c r="AI27" i="9"/>
  <c r="AI16" i="9"/>
  <c r="AI41" i="9"/>
  <c r="AI14" i="9"/>
  <c r="AI39" i="9"/>
  <c r="Q20" i="11"/>
  <c r="Q11" i="11"/>
  <c r="Q10" i="11"/>
  <c r="Q37" i="11"/>
  <c r="Q16" i="11"/>
  <c r="Q36" i="11"/>
  <c r="Q28" i="11"/>
  <c r="Q29" i="11"/>
  <c r="Q41" i="11"/>
  <c r="Q40" i="11"/>
  <c r="Q24" i="11"/>
  <c r="Q9" i="11"/>
  <c r="Q39" i="11"/>
  <c r="Q38" i="11"/>
  <c r="Q13" i="11"/>
  <c r="Q22" i="11"/>
  <c r="Q25" i="11"/>
  <c r="Q14" i="11"/>
  <c r="Q34" i="11"/>
  <c r="Q42" i="11"/>
  <c r="Q23" i="11"/>
  <c r="Q7" i="11"/>
  <c r="Q5" i="11"/>
  <c r="Q33" i="11"/>
  <c r="Q21" i="11"/>
  <c r="Q12" i="11"/>
  <c r="Q30" i="11"/>
  <c r="Q35" i="11"/>
  <c r="Q19" i="11"/>
  <c r="Q6" i="11"/>
  <c r="Q17" i="11"/>
  <c r="Q27" i="11"/>
  <c r="Q8" i="11"/>
  <c r="Q31" i="11"/>
  <c r="Q26" i="11"/>
  <c r="Q32" i="11"/>
  <c r="Q15" i="11"/>
  <c r="Q18" i="11"/>
  <c r="N48" i="12"/>
  <c r="N48" i="11"/>
  <c r="O48" i="11"/>
  <c r="O48" i="12"/>
  <c r="D6" i="32"/>
  <c r="AI48" i="9"/>
  <c r="AI36" i="9"/>
  <c r="AI22" i="9"/>
  <c r="AI9" i="9"/>
  <c r="AI24" i="9"/>
  <c r="AI18" i="9"/>
  <c r="AI23" i="9"/>
  <c r="AI15" i="9"/>
  <c r="AI50" i="9"/>
  <c r="AI37" i="9"/>
  <c r="AI35" i="9"/>
  <c r="U48" i="12"/>
  <c r="U48" i="11"/>
  <c r="M49" i="10"/>
  <c r="S49" i="10"/>
  <c r="Y48" i="12"/>
  <c r="Y48" i="11"/>
  <c r="G6" i="32"/>
  <c r="I6" i="32"/>
  <c r="AI13" i="9"/>
  <c r="AI44" i="9"/>
  <c r="AI30" i="9"/>
  <c r="AI6" i="9"/>
  <c r="AI31" i="9"/>
  <c r="AI28" i="9"/>
  <c r="AI33" i="9"/>
  <c r="AI19" i="9"/>
  <c r="AI45" i="9"/>
  <c r="AI46" i="9"/>
  <c r="AI8" i="9"/>
  <c r="AI21" i="9"/>
  <c r="S48" i="11"/>
  <c r="S48" i="12"/>
  <c r="N27" i="11"/>
  <c r="N10" i="11"/>
  <c r="N23" i="11"/>
  <c r="N9" i="11"/>
  <c r="N7" i="11"/>
  <c r="N22" i="11"/>
  <c r="N24" i="11"/>
  <c r="N25" i="11"/>
  <c r="N42" i="11"/>
  <c r="N41" i="11"/>
  <c r="N5" i="11"/>
  <c r="N19" i="11"/>
  <c r="N31" i="11"/>
  <c r="N28" i="11"/>
  <c r="N13" i="11"/>
  <c r="N29" i="11"/>
  <c r="N40" i="11"/>
  <c r="N33" i="11"/>
  <c r="N21" i="11"/>
  <c r="N8" i="11"/>
  <c r="N35" i="11"/>
  <c r="N6" i="11"/>
  <c r="N20" i="11"/>
  <c r="N14" i="11"/>
  <c r="N39" i="11"/>
  <c r="N38" i="11"/>
  <c r="N12" i="11"/>
  <c r="N15" i="11"/>
  <c r="N32" i="11"/>
  <c r="N16" i="11"/>
  <c r="N34" i="11"/>
  <c r="N18" i="11"/>
  <c r="N11" i="11"/>
  <c r="N26" i="11"/>
  <c r="N36" i="11"/>
  <c r="N30" i="11"/>
  <c r="N37" i="11"/>
  <c r="N17" i="11"/>
  <c r="T48" i="11"/>
  <c r="T48" i="12"/>
  <c r="M48" i="11"/>
  <c r="M48" i="12"/>
  <c r="Q14" i="8"/>
  <c r="Q14" i="29" s="1"/>
  <c r="Q66" i="29" s="1"/>
  <c r="B6" i="32"/>
  <c r="E6" i="32"/>
  <c r="H6" i="32"/>
  <c r="AI11" i="9"/>
  <c r="AI29" i="9"/>
  <c r="AI7" i="9"/>
  <c r="AI42" i="9"/>
  <c r="AI10" i="9"/>
  <c r="AI20" i="9"/>
  <c r="AI32" i="9"/>
  <c r="AI49" i="9"/>
  <c r="AI38" i="9"/>
  <c r="AI26" i="9"/>
  <c r="AI5" i="9"/>
  <c r="AI53" i="7"/>
  <c r="AI58" i="7" s="1"/>
  <c r="AI15" i="8" s="1"/>
  <c r="AE15" i="29" s="1"/>
  <c r="AE67" i="29" s="1"/>
  <c r="AI43" i="9"/>
  <c r="T49" i="10"/>
  <c r="O14" i="31"/>
  <c r="P14" i="31"/>
  <c r="O15" i="31"/>
  <c r="P13" i="31"/>
  <c r="AD51" i="8"/>
  <c r="AD14" i="8"/>
  <c r="AD26" i="8"/>
  <c r="AD24" i="8"/>
  <c r="AD8" i="8"/>
  <c r="AD21" i="8"/>
  <c r="P20" i="8"/>
  <c r="P20" i="29" s="1"/>
  <c r="P72" i="29" s="1"/>
  <c r="P18" i="8"/>
  <c r="P18" i="29" s="1"/>
  <c r="P70" i="29" s="1"/>
  <c r="P11" i="8"/>
  <c r="P11" i="29" s="1"/>
  <c r="P63" i="29" s="1"/>
  <c r="P40" i="8"/>
  <c r="P40" i="29" s="1"/>
  <c r="P92" i="29" s="1"/>
  <c r="AD10" i="8"/>
  <c r="AD49" i="8"/>
  <c r="AD27" i="8"/>
  <c r="AD28" i="8"/>
  <c r="AD36" i="8"/>
  <c r="U22" i="8"/>
  <c r="T22" i="29" s="1"/>
  <c r="T74" i="29" s="1"/>
  <c r="U47" i="8"/>
  <c r="T47" i="29" s="1"/>
  <c r="T99" i="29" s="1"/>
  <c r="L5" i="8"/>
  <c r="L5" i="29" s="1"/>
  <c r="L57" i="29" s="1"/>
  <c r="B7" i="31" s="1"/>
  <c r="AD7" i="8"/>
  <c r="AD43" i="8"/>
  <c r="AD50" i="8"/>
  <c r="AD35" i="8"/>
  <c r="AD19" i="8"/>
  <c r="AD29" i="8"/>
  <c r="AD32" i="8"/>
  <c r="AD11" i="8"/>
  <c r="AD13" i="8"/>
  <c r="AD30" i="8"/>
  <c r="AD18" i="8"/>
  <c r="AD31" i="8"/>
  <c r="AD44" i="8"/>
  <c r="P48" i="8"/>
  <c r="P48" i="29" s="1"/>
  <c r="P100" i="29" s="1"/>
  <c r="P21" i="8"/>
  <c r="AC9" i="8"/>
  <c r="AA9" i="29" s="1"/>
  <c r="AA61" i="29" s="1"/>
  <c r="AC5" i="8"/>
  <c r="AA5" i="29" s="1"/>
  <c r="AA57" i="29" s="1"/>
  <c r="U33" i="8"/>
  <c r="T33" i="29" s="1"/>
  <c r="T85" i="29" s="1"/>
  <c r="X5" i="8"/>
  <c r="W5" i="29" s="1"/>
  <c r="W57" i="29" s="1"/>
  <c r="O20" i="8"/>
  <c r="O20" i="29" s="1"/>
  <c r="O72" i="29" s="1"/>
  <c r="O39" i="8"/>
  <c r="O39" i="29" s="1"/>
  <c r="O91" i="29" s="1"/>
  <c r="O15" i="8"/>
  <c r="O15" i="29" s="1"/>
  <c r="O67" i="29" s="1"/>
  <c r="O6" i="8"/>
  <c r="O6" i="29" s="1"/>
  <c r="O58" i="29" s="1"/>
  <c r="O49" i="8"/>
  <c r="O49" i="29" s="1"/>
  <c r="O101" i="29" s="1"/>
  <c r="O33" i="8"/>
  <c r="O33" i="29" s="1"/>
  <c r="O85" i="29" s="1"/>
  <c r="Q20" i="8"/>
  <c r="Q20" i="29" s="1"/>
  <c r="Q72" i="29" s="1"/>
  <c r="O25" i="8"/>
  <c r="O25" i="29" s="1"/>
  <c r="O77" i="29" s="1"/>
  <c r="X9" i="8"/>
  <c r="W9" i="29" s="1"/>
  <c r="W61" i="29" s="1"/>
  <c r="Q11" i="8"/>
  <c r="Q11" i="29" s="1"/>
  <c r="Q63" i="29" s="1"/>
  <c r="O34" i="8"/>
  <c r="O34" i="29" s="1"/>
  <c r="O86" i="29" s="1"/>
  <c r="AC38" i="8"/>
  <c r="AA38" i="29" s="1"/>
  <c r="AA90" i="29" s="1"/>
  <c r="AH44" i="8"/>
  <c r="AD44" i="29" s="1"/>
  <c r="AD96" i="29" s="1"/>
  <c r="L48" i="8"/>
  <c r="L48" i="29" s="1"/>
  <c r="L100" i="29" s="1"/>
  <c r="AH31" i="8"/>
  <c r="AD31" i="29" s="1"/>
  <c r="AD83" i="29" s="1"/>
  <c r="W50" i="8"/>
  <c r="V50" i="29" s="1"/>
  <c r="V102" i="29" s="1"/>
  <c r="W32" i="8"/>
  <c r="V32" i="29" s="1"/>
  <c r="V84" i="29" s="1"/>
  <c r="W41" i="8"/>
  <c r="V41" i="29" s="1"/>
  <c r="V93" i="29" s="1"/>
  <c r="AC15" i="8"/>
  <c r="AA15" i="29" s="1"/>
  <c r="AA67" i="29" s="1"/>
  <c r="AC47" i="8"/>
  <c r="AA47" i="29" s="1"/>
  <c r="AA99" i="29" s="1"/>
  <c r="X23" i="8"/>
  <c r="W23" i="29" s="1"/>
  <c r="W75" i="29" s="1"/>
  <c r="AH50" i="8"/>
  <c r="AD50" i="29" s="1"/>
  <c r="AD102" i="29" s="1"/>
  <c r="O9" i="8"/>
  <c r="O9" i="29" s="1"/>
  <c r="O61" i="29" s="1"/>
  <c r="X51" i="8"/>
  <c r="W51" i="29" s="1"/>
  <c r="W103" i="29" s="1"/>
  <c r="Q44" i="8"/>
  <c r="Q44" i="29" s="1"/>
  <c r="Q96" i="29" s="1"/>
  <c r="U17" i="8"/>
  <c r="T17" i="29" s="1"/>
  <c r="T69" i="29" s="1"/>
  <c r="U13" i="8"/>
  <c r="T13" i="29" s="1"/>
  <c r="T65" i="29" s="1"/>
  <c r="U20" i="8"/>
  <c r="T20" i="29" s="1"/>
  <c r="T72" i="29" s="1"/>
  <c r="AH39" i="8"/>
  <c r="AD39" i="29" s="1"/>
  <c r="AD91" i="29" s="1"/>
  <c r="W30" i="8"/>
  <c r="V30" i="29" s="1"/>
  <c r="V82" i="29" s="1"/>
  <c r="X29" i="8"/>
  <c r="W29" i="29" s="1"/>
  <c r="W81" i="29" s="1"/>
  <c r="P50" i="8"/>
  <c r="P50" i="29" s="1"/>
  <c r="P102" i="29" s="1"/>
  <c r="W44" i="8"/>
  <c r="V44" i="29" s="1"/>
  <c r="V96" i="29" s="1"/>
  <c r="O16" i="8"/>
  <c r="O16" i="29" s="1"/>
  <c r="O68" i="29" s="1"/>
  <c r="O41" i="8"/>
  <c r="O41" i="29" s="1"/>
  <c r="O93" i="29" s="1"/>
  <c r="O35" i="8"/>
  <c r="O35" i="29" s="1"/>
  <c r="O87" i="29" s="1"/>
  <c r="O51" i="8"/>
  <c r="O51" i="29" s="1"/>
  <c r="O103" i="29" s="1"/>
  <c r="O50" i="8"/>
  <c r="O50" i="29" s="1"/>
  <c r="O102" i="29" s="1"/>
  <c r="Q22" i="8"/>
  <c r="Q22" i="29" s="1"/>
  <c r="Q74" i="29" s="1"/>
  <c r="X50" i="8"/>
  <c r="W50" i="29" s="1"/>
  <c r="W102" i="29" s="1"/>
  <c r="X33" i="8"/>
  <c r="W33" i="29" s="1"/>
  <c r="W85" i="29" s="1"/>
  <c r="Q13" i="8"/>
  <c r="Q13" i="29" s="1"/>
  <c r="Q65" i="29" s="1"/>
  <c r="Q32" i="8"/>
  <c r="Q32" i="29" s="1"/>
  <c r="Q84" i="29" s="1"/>
  <c r="AC23" i="8"/>
  <c r="AA23" i="29" s="1"/>
  <c r="AA75" i="29" s="1"/>
  <c r="U5" i="8"/>
  <c r="T5" i="29" s="1"/>
  <c r="T57" i="29" s="1"/>
  <c r="AH46" i="8"/>
  <c r="AD46" i="29" s="1"/>
  <c r="AD98" i="29" s="1"/>
  <c r="W33" i="8"/>
  <c r="V33" i="29" s="1"/>
  <c r="V85" i="29" s="1"/>
  <c r="W13" i="8"/>
  <c r="V13" i="29" s="1"/>
  <c r="V65" i="29" s="1"/>
  <c r="W18" i="8"/>
  <c r="V18" i="29" s="1"/>
  <c r="V70" i="29" s="1"/>
  <c r="AC20" i="8"/>
  <c r="AA20" i="29" s="1"/>
  <c r="AA72" i="29" s="1"/>
  <c r="AC37" i="8"/>
  <c r="AA37" i="29" s="1"/>
  <c r="AA89" i="29" s="1"/>
  <c r="P12" i="8"/>
  <c r="P12" i="29" s="1"/>
  <c r="P64" i="29" s="1"/>
  <c r="W31" i="8"/>
  <c r="V31" i="29" s="1"/>
  <c r="V83" i="29" s="1"/>
  <c r="X8" i="8"/>
  <c r="W8" i="29" s="1"/>
  <c r="W60" i="29" s="1"/>
  <c r="Q29" i="8"/>
  <c r="Q29" i="29" s="1"/>
  <c r="Q81" i="29" s="1"/>
  <c r="Q47" i="8"/>
  <c r="Q47" i="29" s="1"/>
  <c r="Q99" i="29" s="1"/>
  <c r="Q16" i="8"/>
  <c r="Q16" i="29" s="1"/>
  <c r="Q68" i="29" s="1"/>
  <c r="Q38" i="8"/>
  <c r="Q38" i="29" s="1"/>
  <c r="Q90" i="29" s="1"/>
  <c r="Q12" i="8"/>
  <c r="Q12" i="29" s="1"/>
  <c r="Q64" i="29" s="1"/>
  <c r="Q39" i="8"/>
  <c r="Q39" i="29" s="1"/>
  <c r="Q91" i="29" s="1"/>
  <c r="X30" i="8"/>
  <c r="W30" i="29" s="1"/>
  <c r="W82" i="29" s="1"/>
  <c r="Q42" i="8"/>
  <c r="Q42" i="29" s="1"/>
  <c r="Q94" i="29" s="1"/>
  <c r="U27" i="8"/>
  <c r="T27" i="29" s="1"/>
  <c r="T79" i="29" s="1"/>
  <c r="U12" i="8"/>
  <c r="T12" i="29" s="1"/>
  <c r="T64" i="29" s="1"/>
  <c r="U18" i="8"/>
  <c r="T18" i="29" s="1"/>
  <c r="T70" i="29" s="1"/>
  <c r="AC41" i="8"/>
  <c r="AA41" i="29" s="1"/>
  <c r="AA93" i="29" s="1"/>
  <c r="AC45" i="8"/>
  <c r="AA45" i="29" s="1"/>
  <c r="AA97" i="29" s="1"/>
  <c r="U51" i="8"/>
  <c r="T51" i="29" s="1"/>
  <c r="T103" i="29" s="1"/>
  <c r="U21" i="8"/>
  <c r="T21" i="29" s="1"/>
  <c r="T73" i="29" s="1"/>
  <c r="U35" i="8"/>
  <c r="T35" i="29" s="1"/>
  <c r="T87" i="29" s="1"/>
  <c r="U24" i="8"/>
  <c r="T24" i="29" s="1"/>
  <c r="T76" i="29" s="1"/>
  <c r="L46" i="8"/>
  <c r="L46" i="29" s="1"/>
  <c r="L98" i="29" s="1"/>
  <c r="AH5" i="8"/>
  <c r="AD5" i="29" s="1"/>
  <c r="AD57" i="29" s="1"/>
  <c r="W5" i="8"/>
  <c r="V5" i="29" s="1"/>
  <c r="V57" i="29" s="1"/>
  <c r="X13" i="8"/>
  <c r="W13" i="29" s="1"/>
  <c r="W65" i="29" s="1"/>
  <c r="U36" i="8"/>
  <c r="T36" i="29" s="1"/>
  <c r="T88" i="29" s="1"/>
  <c r="AH49" i="8"/>
  <c r="AD49" i="29" s="1"/>
  <c r="AD101" i="29" s="1"/>
  <c r="O37" i="8"/>
  <c r="O37" i="29" s="1"/>
  <c r="O89" i="29" s="1"/>
  <c r="N56" i="9"/>
  <c r="N56" i="8"/>
  <c r="N56" i="7"/>
  <c r="M19" i="9"/>
  <c r="M43" i="9"/>
  <c r="Q53" i="9"/>
  <c r="M23" i="9"/>
  <c r="U42" i="12"/>
  <c r="S42" i="30" s="1"/>
  <c r="S85" i="30" s="1"/>
  <c r="U42" i="13"/>
  <c r="U15" i="12"/>
  <c r="S15" i="30" s="1"/>
  <c r="S58" i="30" s="1"/>
  <c r="U15" i="13"/>
  <c r="U5" i="12"/>
  <c r="S5" i="30" s="1"/>
  <c r="S48" i="30" s="1"/>
  <c r="U5" i="13"/>
  <c r="U44" i="11"/>
  <c r="M31" i="9"/>
  <c r="V32" i="9"/>
  <c r="V30" i="9"/>
  <c r="V10" i="9"/>
  <c r="V26" i="9"/>
  <c r="O53" i="9"/>
  <c r="R53" i="9"/>
  <c r="O33" i="12"/>
  <c r="O33" i="30" s="1"/>
  <c r="O76" i="30" s="1"/>
  <c r="O33" i="13"/>
  <c r="O29" i="12"/>
  <c r="O29" i="30" s="1"/>
  <c r="O72" i="30" s="1"/>
  <c r="O29" i="13"/>
  <c r="O38" i="12"/>
  <c r="O38" i="30" s="1"/>
  <c r="O81" i="30" s="1"/>
  <c r="O38" i="13"/>
  <c r="O42" i="12"/>
  <c r="O42" i="30" s="1"/>
  <c r="O85" i="30" s="1"/>
  <c r="O42" i="13"/>
  <c r="O22" i="12"/>
  <c r="O22" i="30" s="1"/>
  <c r="O65" i="30" s="1"/>
  <c r="O22" i="13"/>
  <c r="O24" i="12"/>
  <c r="O24" i="30" s="1"/>
  <c r="O67" i="30" s="1"/>
  <c r="O24" i="13"/>
  <c r="O20" i="12"/>
  <c r="O20" i="30" s="1"/>
  <c r="O63" i="30" s="1"/>
  <c r="O20" i="13"/>
  <c r="O6" i="12"/>
  <c r="O6" i="30" s="1"/>
  <c r="O49" i="30" s="1"/>
  <c r="O6" i="13"/>
  <c r="O5" i="12"/>
  <c r="O5" i="30" s="1"/>
  <c r="O48" i="30" s="1"/>
  <c r="O5" i="13"/>
  <c r="O44" i="11"/>
  <c r="E34" i="5"/>
  <c r="L46" i="12"/>
  <c r="L46" i="13"/>
  <c r="L46" i="10"/>
  <c r="L46" i="11"/>
  <c r="N54" i="8"/>
  <c r="N58" i="8" s="1"/>
  <c r="N54" i="9"/>
  <c r="N54" i="7"/>
  <c r="M18" i="9"/>
  <c r="X40" i="8"/>
  <c r="W40" i="29" s="1"/>
  <c r="W92" i="29" s="1"/>
  <c r="X28" i="8"/>
  <c r="W28" i="29" s="1"/>
  <c r="W80" i="29" s="1"/>
  <c r="X43" i="8"/>
  <c r="W43" i="29" s="1"/>
  <c r="W95" i="29" s="1"/>
  <c r="X21" i="8"/>
  <c r="W21" i="29" s="1"/>
  <c r="W73" i="29" s="1"/>
  <c r="M42" i="9"/>
  <c r="M24" i="9"/>
  <c r="Z20" i="11"/>
  <c r="Y20" i="12"/>
  <c r="Z20" i="12" s="1"/>
  <c r="Y20" i="13"/>
  <c r="Z20" i="13" s="1"/>
  <c r="Y37" i="12"/>
  <c r="Z37" i="12" s="1"/>
  <c r="Z37" i="11"/>
  <c r="Y37" i="13"/>
  <c r="Z37" i="13" s="1"/>
  <c r="Z35" i="11"/>
  <c r="Y35" i="12"/>
  <c r="Z35" i="12" s="1"/>
  <c r="Y35" i="13"/>
  <c r="Z35" i="13" s="1"/>
  <c r="Y25" i="12"/>
  <c r="Z25" i="12" s="1"/>
  <c r="Z25" i="11"/>
  <c r="Y25" i="13"/>
  <c r="Z25" i="13" s="1"/>
  <c r="Z31" i="11"/>
  <c r="Y31" i="12"/>
  <c r="Z31" i="12" s="1"/>
  <c r="Y31" i="13"/>
  <c r="Z31" i="13" s="1"/>
  <c r="Z26" i="11"/>
  <c r="Y26" i="12"/>
  <c r="Z26" i="12" s="1"/>
  <c r="Y26" i="13"/>
  <c r="Z26" i="13" s="1"/>
  <c r="Z7" i="11"/>
  <c r="Y7" i="12"/>
  <c r="Z7" i="12" s="1"/>
  <c r="Y7" i="13"/>
  <c r="Z7" i="13" s="1"/>
  <c r="Y19" i="12"/>
  <c r="Z19" i="12" s="1"/>
  <c r="Z19" i="11"/>
  <c r="Y19" i="13"/>
  <c r="Z19" i="13" s="1"/>
  <c r="Y9" i="12"/>
  <c r="Z9" i="12" s="1"/>
  <c r="Z9" i="11"/>
  <c r="Y9" i="13"/>
  <c r="Z9" i="13" s="1"/>
  <c r="M16" i="9"/>
  <c r="M15" i="9"/>
  <c r="Q5" i="8"/>
  <c r="Q5" i="29" s="1"/>
  <c r="Q57" i="29" s="1"/>
  <c r="O5" i="8"/>
  <c r="O5" i="29" s="1"/>
  <c r="O57" i="29" s="1"/>
  <c r="O44" i="8"/>
  <c r="O44" i="29" s="1"/>
  <c r="O96" i="29" s="1"/>
  <c r="X49" i="8"/>
  <c r="W49" i="29" s="1"/>
  <c r="W101" i="29" s="1"/>
  <c r="P53" i="9"/>
  <c r="P19" i="8"/>
  <c r="P19" i="29" s="1"/>
  <c r="P71" i="29" s="1"/>
  <c r="P15" i="8"/>
  <c r="P15" i="29" s="1"/>
  <c r="P67" i="29" s="1"/>
  <c r="P13" i="8"/>
  <c r="P13" i="29" s="1"/>
  <c r="P65" i="29" s="1"/>
  <c r="P44" i="8"/>
  <c r="P44" i="29" s="1"/>
  <c r="P96" i="29" s="1"/>
  <c r="P34" i="8"/>
  <c r="P34" i="29" s="1"/>
  <c r="P86" i="29" s="1"/>
  <c r="U53" i="9"/>
  <c r="M35" i="9"/>
  <c r="O30" i="8"/>
  <c r="O30" i="29" s="1"/>
  <c r="O82" i="29" s="1"/>
  <c r="U30" i="12"/>
  <c r="S30" i="30" s="1"/>
  <c r="S73" i="30" s="1"/>
  <c r="U30" i="13"/>
  <c r="U33" i="12"/>
  <c r="S33" i="30" s="1"/>
  <c r="S76" i="30" s="1"/>
  <c r="U33" i="13"/>
  <c r="U37" i="12"/>
  <c r="S37" i="30" s="1"/>
  <c r="S80" i="30" s="1"/>
  <c r="U37" i="13"/>
  <c r="U22" i="12"/>
  <c r="S22" i="30" s="1"/>
  <c r="S65" i="30" s="1"/>
  <c r="U22" i="13"/>
  <c r="U39" i="12"/>
  <c r="S39" i="30" s="1"/>
  <c r="S82" i="30" s="1"/>
  <c r="U39" i="13"/>
  <c r="U21" i="12"/>
  <c r="S21" i="30" s="1"/>
  <c r="S64" i="30" s="1"/>
  <c r="U21" i="13"/>
  <c r="U8" i="12"/>
  <c r="S8" i="30" s="1"/>
  <c r="S51" i="30" s="1"/>
  <c r="U8" i="13"/>
  <c r="U35" i="12"/>
  <c r="S35" i="30" s="1"/>
  <c r="S78" i="30" s="1"/>
  <c r="U35" i="13"/>
  <c r="U24" i="12"/>
  <c r="S24" i="30" s="1"/>
  <c r="S67" i="30" s="1"/>
  <c r="U24" i="13"/>
  <c r="U6" i="12"/>
  <c r="S6" i="30" s="1"/>
  <c r="S49" i="30" s="1"/>
  <c r="U6" i="13"/>
  <c r="M34" i="9"/>
  <c r="O14" i="8"/>
  <c r="O14" i="29" s="1"/>
  <c r="O66" i="29" s="1"/>
  <c r="O28" i="8"/>
  <c r="O28" i="29" s="1"/>
  <c r="O80" i="29" s="1"/>
  <c r="O29" i="8"/>
  <c r="O29" i="29" s="1"/>
  <c r="O81" i="29" s="1"/>
  <c r="O38" i="8"/>
  <c r="O38" i="29" s="1"/>
  <c r="O90" i="29" s="1"/>
  <c r="O31" i="8"/>
  <c r="O31" i="29" s="1"/>
  <c r="O83" i="29" s="1"/>
  <c r="Y16" i="7"/>
  <c r="Y14" i="7"/>
  <c r="Y7" i="7"/>
  <c r="Y5" i="7"/>
  <c r="Y25" i="7"/>
  <c r="Y19" i="7"/>
  <c r="Y17" i="7"/>
  <c r="Y12" i="7"/>
  <c r="Y10" i="7"/>
  <c r="Y50" i="7"/>
  <c r="Y26" i="7"/>
  <c r="Y20" i="7"/>
  <c r="Y15" i="7"/>
  <c r="Y9" i="7"/>
  <c r="Y8" i="7"/>
  <c r="Y29" i="7"/>
  <c r="Y11" i="7"/>
  <c r="Y49" i="7"/>
  <c r="Y38" i="7"/>
  <c r="Y18" i="7"/>
  <c r="Y13" i="7"/>
  <c r="Y6" i="7"/>
  <c r="Y42" i="7"/>
  <c r="Y22" i="7"/>
  <c r="Y36" i="7"/>
  <c r="Y40" i="7"/>
  <c r="Y41" i="7"/>
  <c r="Y43" i="7"/>
  <c r="Y31" i="7"/>
  <c r="Y44" i="7"/>
  <c r="Y24" i="7"/>
  <c r="Y45" i="7"/>
  <c r="Y23" i="7"/>
  <c r="Y27" i="7"/>
  <c r="Y47" i="7"/>
  <c r="Y30" i="7"/>
  <c r="Y33" i="7"/>
  <c r="Y21" i="7"/>
  <c r="Y32" i="7"/>
  <c r="Y35" i="7"/>
  <c r="Y51" i="7"/>
  <c r="Y34" i="7"/>
  <c r="Y28" i="7"/>
  <c r="Y37" i="7"/>
  <c r="Y48" i="7"/>
  <c r="Y46" i="7"/>
  <c r="Y39" i="7"/>
  <c r="V23" i="9"/>
  <c r="V20" i="9"/>
  <c r="V33" i="9"/>
  <c r="V11" i="9"/>
  <c r="V6" i="9"/>
  <c r="V22" i="9"/>
  <c r="V12" i="9"/>
  <c r="V36" i="9"/>
  <c r="V44" i="9"/>
  <c r="V28" i="9"/>
  <c r="V41" i="9"/>
  <c r="V51" i="9"/>
  <c r="X18" i="8"/>
  <c r="W18" i="29" s="1"/>
  <c r="W70" i="29" s="1"/>
  <c r="X7" i="8"/>
  <c r="W7" i="29" s="1"/>
  <c r="W59" i="29" s="1"/>
  <c r="X19" i="8"/>
  <c r="W19" i="29" s="1"/>
  <c r="W71" i="29" s="1"/>
  <c r="P37" i="8"/>
  <c r="P37" i="29" s="1"/>
  <c r="P89" i="29" s="1"/>
  <c r="P25" i="8"/>
  <c r="P25" i="29" s="1"/>
  <c r="P77" i="29" s="1"/>
  <c r="Q25" i="8"/>
  <c r="Q25" i="29" s="1"/>
  <c r="Q77" i="29" s="1"/>
  <c r="O10" i="8"/>
  <c r="O10" i="29" s="1"/>
  <c r="O62" i="29" s="1"/>
  <c r="AC25" i="8"/>
  <c r="AA25" i="29" s="1"/>
  <c r="AA77" i="29" s="1"/>
  <c r="AD53" i="7"/>
  <c r="AC12" i="8"/>
  <c r="AA12" i="29" s="1"/>
  <c r="AA64" i="29" s="1"/>
  <c r="AC46" i="8"/>
  <c r="AA46" i="29" s="1"/>
  <c r="AA98" i="29" s="1"/>
  <c r="M37" i="9"/>
  <c r="X36" i="8"/>
  <c r="W36" i="29" s="1"/>
  <c r="W88" i="29" s="1"/>
  <c r="X20" i="8"/>
  <c r="W20" i="29" s="1"/>
  <c r="W72" i="29" s="1"/>
  <c r="X39" i="8"/>
  <c r="W39" i="29" s="1"/>
  <c r="W91" i="29" s="1"/>
  <c r="X14" i="8"/>
  <c r="W14" i="29" s="1"/>
  <c r="W66" i="29" s="1"/>
  <c r="X15" i="8"/>
  <c r="W15" i="29" s="1"/>
  <c r="W67" i="29" s="1"/>
  <c r="X34" i="8"/>
  <c r="W34" i="29" s="1"/>
  <c r="W86" i="29" s="1"/>
  <c r="P29" i="8"/>
  <c r="P45" i="8"/>
  <c r="P45" i="29" s="1"/>
  <c r="P97" i="29" s="1"/>
  <c r="P27" i="8"/>
  <c r="P49" i="8"/>
  <c r="P49" i="29" s="1"/>
  <c r="P101" i="29" s="1"/>
  <c r="P30" i="8"/>
  <c r="P30" i="29" s="1"/>
  <c r="P82" i="29" s="1"/>
  <c r="U38" i="8"/>
  <c r="T38" i="29" s="1"/>
  <c r="T90" i="29" s="1"/>
  <c r="U45" i="8"/>
  <c r="T45" i="29" s="1"/>
  <c r="T97" i="29" s="1"/>
  <c r="Q28" i="8"/>
  <c r="Q28" i="29" s="1"/>
  <c r="Q80" i="29" s="1"/>
  <c r="Q8" i="8"/>
  <c r="Q8" i="29" s="1"/>
  <c r="Q60" i="29" s="1"/>
  <c r="Q36" i="8"/>
  <c r="Q36" i="29" s="1"/>
  <c r="Q88" i="29" s="1"/>
  <c r="Q40" i="8"/>
  <c r="Q40" i="29" s="1"/>
  <c r="Q92" i="29" s="1"/>
  <c r="Q46" i="8"/>
  <c r="Q46" i="29" s="1"/>
  <c r="Q98" i="29" s="1"/>
  <c r="Q17" i="8"/>
  <c r="Q17" i="29" s="1"/>
  <c r="Q69" i="29" s="1"/>
  <c r="L22" i="8"/>
  <c r="L22" i="29" s="1"/>
  <c r="L74" i="29" s="1"/>
  <c r="L34" i="8"/>
  <c r="L34" i="29" s="1"/>
  <c r="L86" i="29" s="1"/>
  <c r="M33" i="9"/>
  <c r="AH19" i="8"/>
  <c r="AD19" i="29" s="1"/>
  <c r="AD71" i="29" s="1"/>
  <c r="AH6" i="8"/>
  <c r="AD6" i="29" s="1"/>
  <c r="AD58" i="29" s="1"/>
  <c r="AB41" i="7"/>
  <c r="W40" i="8"/>
  <c r="V40" i="29" s="1"/>
  <c r="V92" i="29" s="1"/>
  <c r="W37" i="8"/>
  <c r="V37" i="29" s="1"/>
  <c r="V89" i="29" s="1"/>
  <c r="M26" i="9"/>
  <c r="O7" i="8"/>
  <c r="O7" i="29" s="1"/>
  <c r="O59" i="29" s="1"/>
  <c r="O24" i="8"/>
  <c r="O24" i="29" s="1"/>
  <c r="O76" i="29" s="1"/>
  <c r="O13" i="8"/>
  <c r="O13" i="29" s="1"/>
  <c r="O65" i="29" s="1"/>
  <c r="O27" i="8"/>
  <c r="O27" i="29" s="1"/>
  <c r="O79" i="29" s="1"/>
  <c r="O23" i="8"/>
  <c r="O23" i="29" s="1"/>
  <c r="O75" i="29" s="1"/>
  <c r="P35" i="8"/>
  <c r="P35" i="29" s="1"/>
  <c r="P87" i="29" s="1"/>
  <c r="AC22" i="8"/>
  <c r="AA22" i="29" s="1"/>
  <c r="AA74" i="29" s="1"/>
  <c r="AC34" i="8"/>
  <c r="AA34" i="29" s="1"/>
  <c r="AA86" i="29" s="1"/>
  <c r="U16" i="8"/>
  <c r="T16" i="29" s="1"/>
  <c r="T68" i="29" s="1"/>
  <c r="AB36" i="7"/>
  <c r="U41" i="8"/>
  <c r="T41" i="29" s="1"/>
  <c r="T93" i="29" s="1"/>
  <c r="Q26" i="8"/>
  <c r="Q26" i="29" s="1"/>
  <c r="Q78" i="29" s="1"/>
  <c r="Q21" i="8"/>
  <c r="Q21" i="29" s="1"/>
  <c r="Q73" i="29" s="1"/>
  <c r="Q49" i="8"/>
  <c r="Q49" i="29" s="1"/>
  <c r="Q101" i="29" s="1"/>
  <c r="O18" i="12"/>
  <c r="O18" i="30" s="1"/>
  <c r="O61" i="30" s="1"/>
  <c r="O18" i="13"/>
  <c r="O25" i="12"/>
  <c r="O25" i="30" s="1"/>
  <c r="O68" i="30" s="1"/>
  <c r="O25" i="13"/>
  <c r="O36" i="12"/>
  <c r="O36" i="30" s="1"/>
  <c r="O79" i="30" s="1"/>
  <c r="O36" i="13"/>
  <c r="O21" i="12"/>
  <c r="O21" i="30" s="1"/>
  <c r="O64" i="30" s="1"/>
  <c r="O21" i="13"/>
  <c r="O30" i="12"/>
  <c r="O30" i="30" s="1"/>
  <c r="O73" i="30" s="1"/>
  <c r="O30" i="13"/>
  <c r="O41" i="12"/>
  <c r="O41" i="30" s="1"/>
  <c r="O84" i="30" s="1"/>
  <c r="O41" i="13"/>
  <c r="O26" i="12"/>
  <c r="O26" i="30" s="1"/>
  <c r="O69" i="30" s="1"/>
  <c r="O26" i="13"/>
  <c r="O8" i="12"/>
  <c r="O8" i="30" s="1"/>
  <c r="O51" i="30" s="1"/>
  <c r="O8" i="13"/>
  <c r="O7" i="12"/>
  <c r="O7" i="30" s="1"/>
  <c r="O50" i="30" s="1"/>
  <c r="O7" i="13"/>
  <c r="O10" i="13"/>
  <c r="O10" i="12"/>
  <c r="O10" i="30" s="1"/>
  <c r="O53" i="30" s="1"/>
  <c r="V9" i="9"/>
  <c r="M30" i="9"/>
  <c r="Y41" i="12"/>
  <c r="Z41" i="12" s="1"/>
  <c r="Z41" i="11"/>
  <c r="Y41" i="13"/>
  <c r="Z41" i="13" s="1"/>
  <c r="Z22" i="11"/>
  <c r="Y22" i="12"/>
  <c r="Z22" i="12" s="1"/>
  <c r="Y22" i="13"/>
  <c r="Z22" i="13" s="1"/>
  <c r="Z24" i="11"/>
  <c r="Y24" i="12"/>
  <c r="Z24" i="12" s="1"/>
  <c r="Y24" i="13"/>
  <c r="Z24" i="13" s="1"/>
  <c r="Y29" i="12"/>
  <c r="Z29" i="12" s="1"/>
  <c r="Z29" i="11"/>
  <c r="Y29" i="13"/>
  <c r="Z29" i="13" s="1"/>
  <c r="Z8" i="11"/>
  <c r="Y8" i="12"/>
  <c r="Z8" i="12" s="1"/>
  <c r="Y8" i="13"/>
  <c r="Z8" i="13" s="1"/>
  <c r="M6" i="9"/>
  <c r="M40" i="9"/>
  <c r="U26" i="12"/>
  <c r="S26" i="30" s="1"/>
  <c r="S69" i="30" s="1"/>
  <c r="U26" i="13"/>
  <c r="U18" i="12"/>
  <c r="S18" i="30" s="1"/>
  <c r="S61" i="30" s="1"/>
  <c r="U18" i="13"/>
  <c r="U16" i="12"/>
  <c r="S16" i="30" s="1"/>
  <c r="S59" i="30" s="1"/>
  <c r="U16" i="13"/>
  <c r="V18" i="9"/>
  <c r="V42" i="9"/>
  <c r="AD5" i="8"/>
  <c r="F34" i="5"/>
  <c r="L47" i="13"/>
  <c r="L47" i="12"/>
  <c r="L47" i="10"/>
  <c r="L47" i="11"/>
  <c r="X48" i="8"/>
  <c r="W48" i="29" s="1"/>
  <c r="W100" i="29" s="1"/>
  <c r="X10" i="8"/>
  <c r="W10" i="29" s="1"/>
  <c r="W62" i="29" s="1"/>
  <c r="AB42" i="7"/>
  <c r="M28" i="9"/>
  <c r="Z27" i="11"/>
  <c r="Y27" i="12"/>
  <c r="Z27" i="12" s="1"/>
  <c r="Y27" i="13"/>
  <c r="Z27" i="13" s="1"/>
  <c r="Z30" i="11"/>
  <c r="Y30" i="12"/>
  <c r="Z30" i="12" s="1"/>
  <c r="Y30" i="13"/>
  <c r="Z30" i="13" s="1"/>
  <c r="Z15" i="11"/>
  <c r="Y15" i="12"/>
  <c r="Z15" i="12" s="1"/>
  <c r="Y15" i="13"/>
  <c r="Z15" i="13" s="1"/>
  <c r="Y12" i="13"/>
  <c r="Z12" i="13" s="1"/>
  <c r="Y12" i="12"/>
  <c r="Z12" i="12" s="1"/>
  <c r="Z12" i="11"/>
  <c r="Z38" i="11"/>
  <c r="Y38" i="12"/>
  <c r="Z38" i="12" s="1"/>
  <c r="Y38" i="13"/>
  <c r="Z38" i="13" s="1"/>
  <c r="Y21" i="12"/>
  <c r="Z21" i="12" s="1"/>
  <c r="Z21" i="11"/>
  <c r="Y21" i="13"/>
  <c r="Z21" i="13" s="1"/>
  <c r="Z40" i="11"/>
  <c r="Y40" i="12"/>
  <c r="Z40" i="12" s="1"/>
  <c r="Y40" i="13"/>
  <c r="Z40" i="13" s="1"/>
  <c r="Z14" i="11"/>
  <c r="Y14" i="13"/>
  <c r="Z14" i="13" s="1"/>
  <c r="Y14" i="12"/>
  <c r="Z14" i="12" s="1"/>
  <c r="Z23" i="11"/>
  <c r="Y23" i="12"/>
  <c r="Z23" i="12" s="1"/>
  <c r="Y23" i="13"/>
  <c r="Z23" i="13" s="1"/>
  <c r="Z10" i="11"/>
  <c r="Y10" i="13"/>
  <c r="Z10" i="13" s="1"/>
  <c r="Y10" i="12"/>
  <c r="Z10" i="12" s="1"/>
  <c r="M5" i="9"/>
  <c r="M53" i="7"/>
  <c r="M58" i="7" s="1"/>
  <c r="M19" i="8" s="1"/>
  <c r="M19" i="29" s="1"/>
  <c r="M71" i="29" s="1"/>
  <c r="M13" i="9"/>
  <c r="X38" i="8"/>
  <c r="W38" i="29" s="1"/>
  <c r="W90" i="29" s="1"/>
  <c r="X26" i="8"/>
  <c r="W26" i="29" s="1"/>
  <c r="W78" i="29" s="1"/>
  <c r="X41" i="8"/>
  <c r="W41" i="29" s="1"/>
  <c r="W93" i="29" s="1"/>
  <c r="X16" i="8"/>
  <c r="W16" i="29" s="1"/>
  <c r="W68" i="29" s="1"/>
  <c r="X47" i="8"/>
  <c r="W47" i="29" s="1"/>
  <c r="W99" i="29" s="1"/>
  <c r="X6" i="8"/>
  <c r="W6" i="29" s="1"/>
  <c r="W58" i="29" s="1"/>
  <c r="M14" i="9"/>
  <c r="Q10" i="8"/>
  <c r="Q10" i="29" s="1"/>
  <c r="Q62" i="29" s="1"/>
  <c r="Q31" i="8"/>
  <c r="Q31" i="29" s="1"/>
  <c r="Q83" i="29" s="1"/>
  <c r="Q33" i="8"/>
  <c r="Q33" i="29" s="1"/>
  <c r="Q85" i="29" s="1"/>
  <c r="Q34" i="8"/>
  <c r="Q34" i="29" s="1"/>
  <c r="Q86" i="29" s="1"/>
  <c r="M8" i="9"/>
  <c r="U13" i="12"/>
  <c r="S13" i="30" s="1"/>
  <c r="S56" i="30" s="1"/>
  <c r="U13" i="13"/>
  <c r="U29" i="12"/>
  <c r="S29" i="30" s="1"/>
  <c r="S72" i="30" s="1"/>
  <c r="U29" i="13"/>
  <c r="U40" i="12"/>
  <c r="S40" i="30" s="1"/>
  <c r="S83" i="30" s="1"/>
  <c r="U40" i="13"/>
  <c r="U25" i="12"/>
  <c r="S25" i="30" s="1"/>
  <c r="S68" i="30" s="1"/>
  <c r="U25" i="13"/>
  <c r="U14" i="12"/>
  <c r="S14" i="30" s="1"/>
  <c r="S57" i="30" s="1"/>
  <c r="U14" i="13"/>
  <c r="U28" i="12"/>
  <c r="S28" i="30" s="1"/>
  <c r="S71" i="30" s="1"/>
  <c r="U28" i="13"/>
  <c r="U10" i="12"/>
  <c r="S10" i="30" s="1"/>
  <c r="S53" i="30" s="1"/>
  <c r="U10" i="13"/>
  <c r="U12" i="12"/>
  <c r="S12" i="30" s="1"/>
  <c r="S55" i="30" s="1"/>
  <c r="U12" i="13"/>
  <c r="U7" i="12"/>
  <c r="S7" i="30" s="1"/>
  <c r="S50" i="30" s="1"/>
  <c r="U7" i="13"/>
  <c r="U9" i="12"/>
  <c r="S9" i="30" s="1"/>
  <c r="S52" i="30" s="1"/>
  <c r="U9" i="13"/>
  <c r="P38" i="8"/>
  <c r="P38" i="29" s="1"/>
  <c r="P90" i="29" s="1"/>
  <c r="AA45" i="12"/>
  <c r="AA45" i="11"/>
  <c r="AA45" i="13"/>
  <c r="AA45" i="10"/>
  <c r="V46" i="9"/>
  <c r="V25" i="9"/>
  <c r="V50" i="9"/>
  <c r="V14" i="9"/>
  <c r="V8" i="9"/>
  <c r="V29" i="9"/>
  <c r="V17" i="9"/>
  <c r="V38" i="9"/>
  <c r="V47" i="9"/>
  <c r="V35" i="9"/>
  <c r="V43" i="9"/>
  <c r="M45" i="8"/>
  <c r="M45" i="29" s="1"/>
  <c r="M97" i="29" s="1"/>
  <c r="M45" i="9"/>
  <c r="M25" i="8"/>
  <c r="M25" i="29" s="1"/>
  <c r="M77" i="29" s="1"/>
  <c r="M25" i="9"/>
  <c r="AC48" i="8"/>
  <c r="AA48" i="29" s="1"/>
  <c r="AA100" i="29" s="1"/>
  <c r="AC42" i="8"/>
  <c r="AA42" i="29" s="1"/>
  <c r="AA94" i="29" s="1"/>
  <c r="M46" i="8"/>
  <c r="M46" i="29" s="1"/>
  <c r="M98" i="29" s="1"/>
  <c r="M46" i="9"/>
  <c r="AB38" i="7"/>
  <c r="M7" i="8"/>
  <c r="M7" i="29" s="1"/>
  <c r="M59" i="29" s="1"/>
  <c r="M7" i="9"/>
  <c r="L31" i="8"/>
  <c r="L31" i="29" s="1"/>
  <c r="L83" i="29" s="1"/>
  <c r="L17" i="8"/>
  <c r="L17" i="29" s="1"/>
  <c r="L69" i="29" s="1"/>
  <c r="L29" i="8"/>
  <c r="L29" i="29" s="1"/>
  <c r="L81" i="29" s="1"/>
  <c r="L37" i="8"/>
  <c r="L37" i="29" s="1"/>
  <c r="L89" i="29" s="1"/>
  <c r="L41" i="8"/>
  <c r="L41" i="29" s="1"/>
  <c r="L93" i="29" s="1"/>
  <c r="AH11" i="8"/>
  <c r="AD11" i="29" s="1"/>
  <c r="AD63" i="29" s="1"/>
  <c r="AH14" i="8"/>
  <c r="AD14" i="29" s="1"/>
  <c r="AD66" i="29" s="1"/>
  <c r="AH43" i="8"/>
  <c r="AD43" i="29" s="1"/>
  <c r="AD95" i="29" s="1"/>
  <c r="L48" i="10"/>
  <c r="L48" i="12" s="1"/>
  <c r="W35" i="8"/>
  <c r="V35" i="29" s="1"/>
  <c r="V87" i="29" s="1"/>
  <c r="M17" i="8"/>
  <c r="M17" i="29" s="1"/>
  <c r="M69" i="29" s="1"/>
  <c r="M17" i="9"/>
  <c r="AC6" i="8"/>
  <c r="AA6" i="29" s="1"/>
  <c r="AA58" i="29" s="1"/>
  <c r="AC39" i="8"/>
  <c r="AA39" i="29" s="1"/>
  <c r="AA91" i="29" s="1"/>
  <c r="R58" i="7"/>
  <c r="S58" i="7"/>
  <c r="X42" i="8"/>
  <c r="W42" i="29" s="1"/>
  <c r="W94" i="29" s="1"/>
  <c r="X45" i="8"/>
  <c r="W45" i="29" s="1"/>
  <c r="W97" i="29" s="1"/>
  <c r="X17" i="8"/>
  <c r="W17" i="29" s="1"/>
  <c r="W69" i="29" s="1"/>
  <c r="P14" i="8"/>
  <c r="P14" i="29" s="1"/>
  <c r="P66" i="29" s="1"/>
  <c r="P8" i="8"/>
  <c r="P8" i="29" s="1"/>
  <c r="P60" i="29" s="1"/>
  <c r="P47" i="8"/>
  <c r="P47" i="29" s="1"/>
  <c r="P99" i="29" s="1"/>
  <c r="P36" i="8"/>
  <c r="P36" i="29" s="1"/>
  <c r="P88" i="29" s="1"/>
  <c r="AH45" i="8"/>
  <c r="AD45" i="29" s="1"/>
  <c r="AD97" i="29" s="1"/>
  <c r="AH47" i="8"/>
  <c r="AD47" i="29" s="1"/>
  <c r="AD99" i="29" s="1"/>
  <c r="W28" i="8"/>
  <c r="V28" i="29" s="1"/>
  <c r="V80" i="29" s="1"/>
  <c r="W47" i="8"/>
  <c r="V47" i="29" s="1"/>
  <c r="V99" i="29" s="1"/>
  <c r="O19" i="8"/>
  <c r="O19" i="29" s="1"/>
  <c r="O71" i="29" s="1"/>
  <c r="O27" i="12"/>
  <c r="O27" i="30" s="1"/>
  <c r="O70" i="30" s="1"/>
  <c r="O27" i="13"/>
  <c r="O40" i="12"/>
  <c r="O40" i="30" s="1"/>
  <c r="O83" i="30" s="1"/>
  <c r="O40" i="13"/>
  <c r="O31" i="12"/>
  <c r="O31" i="30" s="1"/>
  <c r="O74" i="30" s="1"/>
  <c r="O31" i="13"/>
  <c r="O28" i="12"/>
  <c r="O28" i="30" s="1"/>
  <c r="O71" i="30" s="1"/>
  <c r="O28" i="13"/>
  <c r="O17" i="12"/>
  <c r="O17" i="30" s="1"/>
  <c r="O60" i="30" s="1"/>
  <c r="O17" i="13"/>
  <c r="O32" i="12"/>
  <c r="O32" i="30" s="1"/>
  <c r="O75" i="30" s="1"/>
  <c r="O32" i="13"/>
  <c r="O34" i="12"/>
  <c r="O34" i="30" s="1"/>
  <c r="O77" i="30" s="1"/>
  <c r="O34" i="13"/>
  <c r="O15" i="12"/>
  <c r="O15" i="30" s="1"/>
  <c r="O58" i="30" s="1"/>
  <c r="O15" i="13"/>
  <c r="O9" i="12"/>
  <c r="O9" i="30" s="1"/>
  <c r="O52" i="30" s="1"/>
  <c r="O9" i="13"/>
  <c r="O16" i="13"/>
  <c r="O16" i="12"/>
  <c r="O16" i="30" s="1"/>
  <c r="O59" i="30" s="1"/>
  <c r="M39" i="8"/>
  <c r="M39" i="29" s="1"/>
  <c r="M91" i="29" s="1"/>
  <c r="M39" i="9"/>
  <c r="Z42" i="11"/>
  <c r="Y42" i="12"/>
  <c r="Z42" i="12" s="1"/>
  <c r="Y42" i="13"/>
  <c r="Z42" i="13" s="1"/>
  <c r="Z36" i="11"/>
  <c r="Y36" i="12"/>
  <c r="Z36" i="12" s="1"/>
  <c r="Y36" i="13"/>
  <c r="Z36" i="13" s="1"/>
  <c r="Z11" i="11"/>
  <c r="Y11" i="12"/>
  <c r="Z11" i="12" s="1"/>
  <c r="Y11" i="13"/>
  <c r="Z11" i="13" s="1"/>
  <c r="Y13" i="12"/>
  <c r="Z13" i="12" s="1"/>
  <c r="Z13" i="11"/>
  <c r="Y13" i="13"/>
  <c r="Z13" i="13" s="1"/>
  <c r="M10" i="8"/>
  <c r="M10" i="29" s="1"/>
  <c r="M62" i="29" s="1"/>
  <c r="M10" i="9"/>
  <c r="U31" i="12"/>
  <c r="S31" i="30" s="1"/>
  <c r="S74" i="30" s="1"/>
  <c r="U31" i="13"/>
  <c r="U36" i="12"/>
  <c r="S36" i="30" s="1"/>
  <c r="S79" i="30" s="1"/>
  <c r="U36" i="13"/>
  <c r="U32" i="12"/>
  <c r="S32" i="30" s="1"/>
  <c r="S75" i="30" s="1"/>
  <c r="U32" i="13"/>
  <c r="V7" i="9"/>
  <c r="V15" i="9"/>
  <c r="V31" i="9"/>
  <c r="V39" i="9"/>
  <c r="V48" i="9"/>
  <c r="N55" i="9"/>
  <c r="N55" i="8"/>
  <c r="N55" i="7"/>
  <c r="M29" i="8"/>
  <c r="M29" i="29" s="1"/>
  <c r="M81" i="29" s="1"/>
  <c r="M29" i="9"/>
  <c r="T54" i="8"/>
  <c r="T54" i="9"/>
  <c r="T54" i="7"/>
  <c r="X25" i="8"/>
  <c r="W25" i="29" s="1"/>
  <c r="W77" i="29" s="1"/>
  <c r="X11" i="8"/>
  <c r="W11" i="29" s="1"/>
  <c r="W63" i="29" s="1"/>
  <c r="X35" i="8"/>
  <c r="W35" i="29" s="1"/>
  <c r="W87" i="29" s="1"/>
  <c r="X53" i="9"/>
  <c r="M49" i="8"/>
  <c r="M49" i="29" s="1"/>
  <c r="M101" i="29" s="1"/>
  <c r="M49" i="9"/>
  <c r="Y17" i="12"/>
  <c r="Z17" i="12" s="1"/>
  <c r="Z17" i="11"/>
  <c r="Y17" i="13"/>
  <c r="Z17" i="13" s="1"/>
  <c r="Z39" i="11"/>
  <c r="Y39" i="12"/>
  <c r="Z39" i="12" s="1"/>
  <c r="Y39" i="13"/>
  <c r="Z39" i="13" s="1"/>
  <c r="Y33" i="12"/>
  <c r="Z33" i="12" s="1"/>
  <c r="Z33" i="11"/>
  <c r="Y33" i="13"/>
  <c r="Z33" i="13" s="1"/>
  <c r="Z32" i="11"/>
  <c r="Y32" i="12"/>
  <c r="Z32" i="12" s="1"/>
  <c r="Y32" i="13"/>
  <c r="Z32" i="13" s="1"/>
  <c r="Z18" i="11"/>
  <c r="Y18" i="13"/>
  <c r="Z18" i="13" s="1"/>
  <c r="Y18" i="12"/>
  <c r="Z18" i="12" s="1"/>
  <c r="Z34" i="11"/>
  <c r="Y34" i="12"/>
  <c r="Z34" i="12" s="1"/>
  <c r="Y34" i="13"/>
  <c r="Z34" i="13" s="1"/>
  <c r="Y5" i="12"/>
  <c r="U5" i="30" s="1"/>
  <c r="U48" i="30" s="1"/>
  <c r="Z5" i="11"/>
  <c r="Y5" i="13"/>
  <c r="Y44" i="11"/>
  <c r="Z28" i="11"/>
  <c r="Y28" i="12"/>
  <c r="Z28" i="12" s="1"/>
  <c r="Y28" i="13"/>
  <c r="Z28" i="13" s="1"/>
  <c r="Z6" i="11"/>
  <c r="Y6" i="12"/>
  <c r="Z6" i="12" s="1"/>
  <c r="Y6" i="13"/>
  <c r="Z6" i="13" s="1"/>
  <c r="Z16" i="11"/>
  <c r="Y16" i="13"/>
  <c r="Z16" i="13" s="1"/>
  <c r="Y16" i="12"/>
  <c r="Z16" i="12" s="1"/>
  <c r="M9" i="8"/>
  <c r="M9" i="29" s="1"/>
  <c r="M61" i="29" s="1"/>
  <c r="M9" i="9"/>
  <c r="Q37" i="8"/>
  <c r="Q37" i="29" s="1"/>
  <c r="Q89" i="29" s="1"/>
  <c r="Q43" i="8"/>
  <c r="Q43" i="29" s="1"/>
  <c r="Q95" i="29" s="1"/>
  <c r="Q30" i="8"/>
  <c r="Q30" i="29" s="1"/>
  <c r="Q82" i="29" s="1"/>
  <c r="Q19" i="8"/>
  <c r="Q19" i="29" s="1"/>
  <c r="Q71" i="29" s="1"/>
  <c r="O40" i="8"/>
  <c r="O40" i="29" s="1"/>
  <c r="O92" i="29" s="1"/>
  <c r="O47" i="8"/>
  <c r="O47" i="29" s="1"/>
  <c r="O99" i="29" s="1"/>
  <c r="O43" i="8"/>
  <c r="O43" i="29" s="1"/>
  <c r="O95" i="29" s="1"/>
  <c r="P5" i="8"/>
  <c r="P5" i="29" s="1"/>
  <c r="P57" i="29" s="1"/>
  <c r="P46" i="8"/>
  <c r="P46" i="29" s="1"/>
  <c r="P98" i="29" s="1"/>
  <c r="P33" i="8"/>
  <c r="P33" i="29" s="1"/>
  <c r="P85" i="29" s="1"/>
  <c r="P24" i="8"/>
  <c r="P51" i="8"/>
  <c r="P51" i="29" s="1"/>
  <c r="P103" i="29" s="1"/>
  <c r="M41" i="8"/>
  <c r="M41" i="29" s="1"/>
  <c r="M93" i="29" s="1"/>
  <c r="M41" i="9"/>
  <c r="U17" i="12"/>
  <c r="S17" i="30" s="1"/>
  <c r="S60" i="30" s="1"/>
  <c r="U17" i="13"/>
  <c r="U23" i="12"/>
  <c r="S23" i="30" s="1"/>
  <c r="S66" i="30" s="1"/>
  <c r="U23" i="13"/>
  <c r="U19" i="12"/>
  <c r="S19" i="30" s="1"/>
  <c r="S62" i="30" s="1"/>
  <c r="U19" i="13"/>
  <c r="U41" i="12"/>
  <c r="S41" i="30" s="1"/>
  <c r="S84" i="30" s="1"/>
  <c r="U41" i="13"/>
  <c r="U34" i="12"/>
  <c r="S34" i="30" s="1"/>
  <c r="S77" i="30" s="1"/>
  <c r="U34" i="13"/>
  <c r="U38" i="12"/>
  <c r="S38" i="30" s="1"/>
  <c r="S81" i="30" s="1"/>
  <c r="U38" i="13"/>
  <c r="U27" i="12"/>
  <c r="S27" i="30" s="1"/>
  <c r="S70" i="30" s="1"/>
  <c r="U27" i="13"/>
  <c r="U20" i="12"/>
  <c r="S20" i="30" s="1"/>
  <c r="S63" i="30" s="1"/>
  <c r="U20" i="13"/>
  <c r="U11" i="12"/>
  <c r="S11" i="30" s="1"/>
  <c r="S54" i="30" s="1"/>
  <c r="U11" i="13"/>
  <c r="O18" i="8"/>
  <c r="O18" i="29" s="1"/>
  <c r="O70" i="29" s="1"/>
  <c r="O22" i="8"/>
  <c r="O22" i="29" s="1"/>
  <c r="O74" i="29" s="1"/>
  <c r="O12" i="8"/>
  <c r="O12" i="29" s="1"/>
  <c r="O64" i="29" s="1"/>
  <c r="O32" i="8"/>
  <c r="O32" i="29" s="1"/>
  <c r="O84" i="29" s="1"/>
  <c r="O42" i="8"/>
  <c r="O42" i="29" s="1"/>
  <c r="O94" i="29" s="1"/>
  <c r="O36" i="8"/>
  <c r="O36" i="29" s="1"/>
  <c r="O88" i="29" s="1"/>
  <c r="V16" i="9"/>
  <c r="V5" i="9"/>
  <c r="V53" i="7"/>
  <c r="V58" i="7" s="1"/>
  <c r="V30" i="8" s="1"/>
  <c r="U30" i="29" s="1"/>
  <c r="U82" i="29" s="1"/>
  <c r="V27" i="9"/>
  <c r="V21" i="9"/>
  <c r="V24" i="9"/>
  <c r="V13" i="9"/>
  <c r="V34" i="9"/>
  <c r="V19" i="9"/>
  <c r="V40" i="9"/>
  <c r="V49" i="9"/>
  <c r="V37" i="9"/>
  <c r="V45" i="9"/>
  <c r="AC33" i="8"/>
  <c r="AA33" i="29" s="1"/>
  <c r="AA85" i="29" s="1"/>
  <c r="X27" i="8"/>
  <c r="W27" i="29" s="1"/>
  <c r="W79" i="29" s="1"/>
  <c r="X37" i="8"/>
  <c r="W37" i="29" s="1"/>
  <c r="W89" i="29" s="1"/>
  <c r="X12" i="8"/>
  <c r="W12" i="29" s="1"/>
  <c r="W64" i="29" s="1"/>
  <c r="P28" i="8"/>
  <c r="P22" i="8"/>
  <c r="P43" i="8"/>
  <c r="P43" i="29" s="1"/>
  <c r="P95" i="29" s="1"/>
  <c r="Q35" i="8"/>
  <c r="Q35" i="29" s="1"/>
  <c r="Q87" i="29" s="1"/>
  <c r="AB39" i="7"/>
  <c r="O48" i="8"/>
  <c r="O48" i="29" s="1"/>
  <c r="O100" i="29" s="1"/>
  <c r="O26" i="8"/>
  <c r="O26" i="29" s="1"/>
  <c r="O78" i="29" s="1"/>
  <c r="AD5" i="9"/>
  <c r="AD53" i="9" s="1"/>
  <c r="AC53" i="9"/>
  <c r="AC17" i="8"/>
  <c r="AA17" i="29" s="1"/>
  <c r="AA69" i="29" s="1"/>
  <c r="AC40" i="8"/>
  <c r="AA40" i="29" s="1"/>
  <c r="AA92" i="29" s="1"/>
  <c r="X44" i="8"/>
  <c r="W44" i="29" s="1"/>
  <c r="W96" i="29" s="1"/>
  <c r="X32" i="8"/>
  <c r="W32" i="29" s="1"/>
  <c r="W84" i="29" s="1"/>
  <c r="X46" i="8"/>
  <c r="W46" i="29" s="1"/>
  <c r="W98" i="29" s="1"/>
  <c r="X24" i="8"/>
  <c r="W24" i="29" s="1"/>
  <c r="W76" i="29" s="1"/>
  <c r="X22" i="8"/>
  <c r="W22" i="29" s="1"/>
  <c r="W74" i="29" s="1"/>
  <c r="P16" i="8"/>
  <c r="P16" i="29" s="1"/>
  <c r="P68" i="29" s="1"/>
  <c r="P17" i="8"/>
  <c r="P17" i="29" s="1"/>
  <c r="P69" i="29" s="1"/>
  <c r="P9" i="8"/>
  <c r="P9" i="29" s="1"/>
  <c r="P61" i="29" s="1"/>
  <c r="P6" i="8"/>
  <c r="P6" i="29" s="1"/>
  <c r="P58" i="29" s="1"/>
  <c r="P42" i="8"/>
  <c r="P42" i="29" s="1"/>
  <c r="P94" i="29" s="1"/>
  <c r="AB5" i="7"/>
  <c r="AB20" i="7"/>
  <c r="M27" i="8"/>
  <c r="M27" i="29" s="1"/>
  <c r="M79" i="29" s="1"/>
  <c r="M27" i="9"/>
  <c r="M11" i="8"/>
  <c r="M11" i="29" s="1"/>
  <c r="M63" i="29" s="1"/>
  <c r="M11" i="9"/>
  <c r="Q24" i="8"/>
  <c r="Q24" i="29" s="1"/>
  <c r="Q76" i="29" s="1"/>
  <c r="Q23" i="8"/>
  <c r="Q23" i="29" s="1"/>
  <c r="Q75" i="29" s="1"/>
  <c r="Q27" i="8"/>
  <c r="Q27" i="29" s="1"/>
  <c r="Q79" i="29" s="1"/>
  <c r="Q41" i="8"/>
  <c r="Q41" i="29" s="1"/>
  <c r="Q93" i="29" s="1"/>
  <c r="Q45" i="8"/>
  <c r="Q45" i="29" s="1"/>
  <c r="Q97" i="29" s="1"/>
  <c r="L26" i="8"/>
  <c r="L26" i="29" s="1"/>
  <c r="L78" i="29" s="1"/>
  <c r="L6" i="8"/>
  <c r="L6" i="29" s="1"/>
  <c r="L58" i="29" s="1"/>
  <c r="L53" i="9"/>
  <c r="M44" i="8"/>
  <c r="M44" i="29" s="1"/>
  <c r="M96" i="29" s="1"/>
  <c r="M44" i="9"/>
  <c r="AH25" i="8"/>
  <c r="AD25" i="29" s="1"/>
  <c r="AD77" i="29" s="1"/>
  <c r="AH53" i="9"/>
  <c r="W53" i="9"/>
  <c r="O11" i="8"/>
  <c r="O11" i="29" s="1"/>
  <c r="O63" i="29" s="1"/>
  <c r="O17" i="8"/>
  <c r="O17" i="29" s="1"/>
  <c r="O69" i="29" s="1"/>
  <c r="O8" i="8"/>
  <c r="O8" i="29" s="1"/>
  <c r="O60" i="29" s="1"/>
  <c r="O46" i="8"/>
  <c r="O46" i="29" s="1"/>
  <c r="O98" i="29" s="1"/>
  <c r="O45" i="8"/>
  <c r="O45" i="29" s="1"/>
  <c r="O97" i="29" s="1"/>
  <c r="M12" i="8"/>
  <c r="M12" i="29" s="1"/>
  <c r="M64" i="29" s="1"/>
  <c r="M12" i="9"/>
  <c r="AC16" i="8"/>
  <c r="AA16" i="29" s="1"/>
  <c r="AA68" i="29" s="1"/>
  <c r="U48" i="8"/>
  <c r="T48" i="29" s="1"/>
  <c r="T100" i="29" s="1"/>
  <c r="U29" i="8"/>
  <c r="T29" i="29" s="1"/>
  <c r="T81" i="29" s="1"/>
  <c r="Q6" i="8"/>
  <c r="Q6" i="29" s="1"/>
  <c r="Q58" i="29" s="1"/>
  <c r="Q51" i="8"/>
  <c r="Q51" i="29" s="1"/>
  <c r="Q103" i="29" s="1"/>
  <c r="L15" i="8"/>
  <c r="L15" i="29" s="1"/>
  <c r="L67" i="29" s="1"/>
  <c r="L47" i="8"/>
  <c r="L47" i="29" s="1"/>
  <c r="L99" i="29" s="1"/>
  <c r="O39" i="12"/>
  <c r="O39" i="30" s="1"/>
  <c r="O82" i="30" s="1"/>
  <c r="O39" i="13"/>
  <c r="O14" i="13"/>
  <c r="O14" i="12"/>
  <c r="O14" i="30" s="1"/>
  <c r="O57" i="30" s="1"/>
  <c r="O13" i="12"/>
  <c r="O13" i="30" s="1"/>
  <c r="O56" i="30" s="1"/>
  <c r="O13" i="13"/>
  <c r="O23" i="12"/>
  <c r="O23" i="30" s="1"/>
  <c r="O66" i="30" s="1"/>
  <c r="O23" i="13"/>
  <c r="O19" i="12"/>
  <c r="O19" i="30" s="1"/>
  <c r="O62" i="30" s="1"/>
  <c r="O19" i="13"/>
  <c r="O35" i="12"/>
  <c r="O35" i="30" s="1"/>
  <c r="O78" i="30" s="1"/>
  <c r="O35" i="13"/>
  <c r="O12" i="13"/>
  <c r="O12" i="12"/>
  <c r="O12" i="30" s="1"/>
  <c r="O55" i="30" s="1"/>
  <c r="O37" i="12"/>
  <c r="O37" i="30" s="1"/>
  <c r="O80" i="30" s="1"/>
  <c r="O37" i="13"/>
  <c r="O11" i="12"/>
  <c r="O11" i="30" s="1"/>
  <c r="O54" i="30" s="1"/>
  <c r="E7" i="32" s="1"/>
  <c r="O11" i="13"/>
  <c r="F10" i="5"/>
  <c r="N58" i="6"/>
  <c r="E10" i="5"/>
  <c r="N57" i="6"/>
  <c r="D46" i="5"/>
  <c r="D29" i="5"/>
  <c r="F29" i="5"/>
  <c r="B13" i="31" l="1"/>
  <c r="I9" i="32"/>
  <c r="I11" i="32"/>
  <c r="I7" i="32"/>
  <c r="E9" i="32"/>
  <c r="E11" i="32"/>
  <c r="E9" i="31"/>
  <c r="E11" i="31"/>
  <c r="E7" i="31"/>
  <c r="E13" i="31" s="1"/>
  <c r="L9" i="31"/>
  <c r="L11" i="31"/>
  <c r="L7" i="31"/>
  <c r="L13" i="31" s="1"/>
  <c r="T38" i="11"/>
  <c r="T17" i="11"/>
  <c r="T9" i="11"/>
  <c r="T39" i="11"/>
  <c r="T34" i="11"/>
  <c r="T23" i="11"/>
  <c r="T14" i="11"/>
  <c r="T22" i="11"/>
  <c r="T30" i="11"/>
  <c r="T33" i="11"/>
  <c r="T13" i="11"/>
  <c r="T16" i="11"/>
  <c r="T6" i="11"/>
  <c r="T26" i="11"/>
  <c r="T31" i="11"/>
  <c r="T41" i="11"/>
  <c r="T28" i="11"/>
  <c r="T27" i="11"/>
  <c r="T35" i="11"/>
  <c r="T10" i="11"/>
  <c r="T5" i="11"/>
  <c r="T7" i="11"/>
  <c r="T25" i="11"/>
  <c r="T15" i="11"/>
  <c r="T32" i="11"/>
  <c r="T36" i="11"/>
  <c r="T40" i="11"/>
  <c r="T8" i="11"/>
  <c r="T42" i="11"/>
  <c r="T11" i="11"/>
  <c r="T19" i="11"/>
  <c r="T18" i="11"/>
  <c r="T21" i="11"/>
  <c r="T29" i="11"/>
  <c r="T12" i="11"/>
  <c r="T20" i="11"/>
  <c r="T24" i="11"/>
  <c r="T37" i="11"/>
  <c r="AI53" i="9"/>
  <c r="L6" i="32"/>
  <c r="U16" i="30"/>
  <c r="U59" i="30" s="1"/>
  <c r="U34" i="30"/>
  <c r="U77" i="30" s="1"/>
  <c r="U39" i="30"/>
  <c r="U82" i="30" s="1"/>
  <c r="N30" i="12"/>
  <c r="N30" i="13"/>
  <c r="N30" i="30" s="1"/>
  <c r="N73" i="30" s="1"/>
  <c r="N18" i="30"/>
  <c r="N61" i="30" s="1"/>
  <c r="N18" i="12"/>
  <c r="N18" i="13"/>
  <c r="N15" i="30"/>
  <c r="N58" i="30" s="1"/>
  <c r="N15" i="13"/>
  <c r="N15" i="12"/>
  <c r="N14" i="13"/>
  <c r="N14" i="12"/>
  <c r="N14" i="30" s="1"/>
  <c r="N57" i="30" s="1"/>
  <c r="N8" i="13"/>
  <c r="N8" i="12"/>
  <c r="N8" i="30" s="1"/>
  <c r="N51" i="30" s="1"/>
  <c r="N29" i="30"/>
  <c r="N72" i="30" s="1"/>
  <c r="N29" i="12"/>
  <c r="N29" i="13"/>
  <c r="N19" i="30"/>
  <c r="N62" i="30" s="1"/>
  <c r="N19" i="12"/>
  <c r="N19" i="13"/>
  <c r="N25" i="12"/>
  <c r="N25" i="30" s="1"/>
  <c r="N68" i="30" s="1"/>
  <c r="N25" i="13"/>
  <c r="N9" i="12"/>
  <c r="N9" i="13"/>
  <c r="N9" i="30" s="1"/>
  <c r="N52" i="30" s="1"/>
  <c r="U10" i="30"/>
  <c r="U53" i="30" s="1"/>
  <c r="U21" i="30"/>
  <c r="U64" i="30" s="1"/>
  <c r="U30" i="30"/>
  <c r="U73" i="30" s="1"/>
  <c r="S29" i="11"/>
  <c r="S7" i="11"/>
  <c r="S13" i="11"/>
  <c r="S17" i="11"/>
  <c r="S35" i="11"/>
  <c r="S38" i="11"/>
  <c r="S40" i="11"/>
  <c r="S42" i="11"/>
  <c r="S33" i="11"/>
  <c r="S16" i="11"/>
  <c r="S25" i="11"/>
  <c r="S11" i="11"/>
  <c r="S6" i="11"/>
  <c r="S24" i="11"/>
  <c r="S37" i="11"/>
  <c r="S39" i="11"/>
  <c r="S14" i="11"/>
  <c r="S27" i="11"/>
  <c r="S32" i="11"/>
  <c r="S10" i="11"/>
  <c r="S5" i="11"/>
  <c r="S21" i="11"/>
  <c r="S28" i="11"/>
  <c r="S18" i="11"/>
  <c r="S36" i="11"/>
  <c r="S41" i="11"/>
  <c r="S12" i="11"/>
  <c r="S30" i="11"/>
  <c r="S31" i="11"/>
  <c r="S8" i="11"/>
  <c r="S9" i="11"/>
  <c r="S19" i="11"/>
  <c r="S23" i="11"/>
  <c r="S34" i="11"/>
  <c r="S22" i="11"/>
  <c r="S15" i="11"/>
  <c r="S26" i="11"/>
  <c r="S20" i="11"/>
  <c r="U7" i="30"/>
  <c r="U50" i="30" s="1"/>
  <c r="U35" i="30"/>
  <c r="U78" i="30" s="1"/>
  <c r="P18" i="30"/>
  <c r="P61" i="30" s="1"/>
  <c r="Q18" i="13"/>
  <c r="R18" i="13" s="1"/>
  <c r="Q18" i="12"/>
  <c r="R18" i="12" s="1"/>
  <c r="R18" i="11"/>
  <c r="P31" i="30"/>
  <c r="P74" i="30" s="1"/>
  <c r="Q31" i="13"/>
  <c r="R31" i="13" s="1"/>
  <c r="R31" i="11"/>
  <c r="Q31" i="12"/>
  <c r="R31" i="12" s="1"/>
  <c r="P6" i="30"/>
  <c r="P49" i="30" s="1"/>
  <c r="Q6" i="13"/>
  <c r="R6" i="13" s="1"/>
  <c r="Q6" i="12"/>
  <c r="R6" i="12" s="1"/>
  <c r="R6" i="11"/>
  <c r="P12" i="30"/>
  <c r="P55" i="30" s="1"/>
  <c r="Q12" i="13"/>
  <c r="R12" i="13" s="1"/>
  <c r="R12" i="11"/>
  <c r="Q12" i="12"/>
  <c r="R12" i="12" s="1"/>
  <c r="P7" i="30"/>
  <c r="P50" i="30" s="1"/>
  <c r="Q7" i="12"/>
  <c r="R7" i="12" s="1"/>
  <c r="Q7" i="13"/>
  <c r="R7" i="13" s="1"/>
  <c r="R7" i="11"/>
  <c r="P14" i="30"/>
  <c r="P57" i="30" s="1"/>
  <c r="Q14" i="13"/>
  <c r="R14" i="13" s="1"/>
  <c r="Q14" i="12"/>
  <c r="R14" i="12" s="1"/>
  <c r="R14" i="11"/>
  <c r="P38" i="30"/>
  <c r="P81" i="30" s="1"/>
  <c r="Q38" i="13"/>
  <c r="R38" i="13" s="1"/>
  <c r="Q38" i="12"/>
  <c r="R38" i="12" s="1"/>
  <c r="R38" i="11"/>
  <c r="P40" i="30"/>
  <c r="P83" i="30" s="1"/>
  <c r="R40" i="11"/>
  <c r="Q40" i="12"/>
  <c r="R40" i="12" s="1"/>
  <c r="Q40" i="13"/>
  <c r="R40" i="13" s="1"/>
  <c r="P36" i="30"/>
  <c r="P79" i="30" s="1"/>
  <c r="Q36" i="13"/>
  <c r="R36" i="13" s="1"/>
  <c r="R36" i="11"/>
  <c r="Q36" i="12"/>
  <c r="R36" i="12" s="1"/>
  <c r="P11" i="30"/>
  <c r="P54" i="30" s="1"/>
  <c r="R11" i="11"/>
  <c r="Q11" i="12"/>
  <c r="R11" i="12" s="1"/>
  <c r="Q11" i="13"/>
  <c r="R11" i="13" s="1"/>
  <c r="AI25" i="8"/>
  <c r="AE25" i="29" s="1"/>
  <c r="AE77" i="29" s="1"/>
  <c r="U29" i="30"/>
  <c r="U72" i="30" s="1"/>
  <c r="U22" i="30"/>
  <c r="U65" i="30" s="1"/>
  <c r="F9" i="31"/>
  <c r="F7" i="31"/>
  <c r="F13" i="31" s="1"/>
  <c r="M5" i="8"/>
  <c r="M5" i="29" s="1"/>
  <c r="M57" i="29" s="1"/>
  <c r="G9" i="31"/>
  <c r="G11" i="31"/>
  <c r="G7" i="31"/>
  <c r="G13" i="31" s="1"/>
  <c r="T9" i="31"/>
  <c r="T11" i="31"/>
  <c r="T7" i="31"/>
  <c r="T13" i="31" s="1"/>
  <c r="J9" i="31"/>
  <c r="J11" i="31"/>
  <c r="Q9" i="31"/>
  <c r="Q11" i="31"/>
  <c r="Q7" i="31"/>
  <c r="Q13" i="31" s="1"/>
  <c r="U6" i="30"/>
  <c r="U49" i="30" s="1"/>
  <c r="K9" i="32" s="1"/>
  <c r="U18" i="30"/>
  <c r="U61" i="30" s="1"/>
  <c r="U17" i="30"/>
  <c r="U60" i="30" s="1"/>
  <c r="N36" i="30"/>
  <c r="N79" i="30" s="1"/>
  <c r="N36" i="12"/>
  <c r="N36" i="13"/>
  <c r="N34" i="13"/>
  <c r="N34" i="12"/>
  <c r="N34" i="30" s="1"/>
  <c r="N77" i="30" s="1"/>
  <c r="N12" i="12"/>
  <c r="N12" i="13"/>
  <c r="N12" i="30" s="1"/>
  <c r="N55" i="30" s="1"/>
  <c r="N20" i="30"/>
  <c r="N63" i="30" s="1"/>
  <c r="N20" i="12"/>
  <c r="N20" i="13"/>
  <c r="N21" i="30"/>
  <c r="N64" i="30" s="1"/>
  <c r="N21" i="13"/>
  <c r="N21" i="12"/>
  <c r="N13" i="13"/>
  <c r="N13" i="12"/>
  <c r="N13" i="30" s="1"/>
  <c r="N56" i="30" s="1"/>
  <c r="N5" i="12"/>
  <c r="N44" i="11"/>
  <c r="N5" i="13"/>
  <c r="N5" i="30" s="1"/>
  <c r="N48" i="30" s="1"/>
  <c r="N24" i="13"/>
  <c r="N24" i="12"/>
  <c r="N24" i="30" s="1"/>
  <c r="N67" i="30" s="1"/>
  <c r="N23" i="30"/>
  <c r="N66" i="30" s="1"/>
  <c r="N23" i="13"/>
  <c r="N23" i="12"/>
  <c r="AI33" i="8"/>
  <c r="AE33" i="29" s="1"/>
  <c r="AE85" i="29" s="1"/>
  <c r="U23" i="30"/>
  <c r="U66" i="30" s="1"/>
  <c r="U38" i="30"/>
  <c r="U81" i="30" s="1"/>
  <c r="U27" i="30"/>
  <c r="U70" i="30" s="1"/>
  <c r="M28" i="11"/>
  <c r="M9" i="11"/>
  <c r="M16" i="11"/>
  <c r="M22" i="11"/>
  <c r="M31" i="11"/>
  <c r="M37" i="11"/>
  <c r="M34" i="11"/>
  <c r="M33" i="11"/>
  <c r="M32" i="11"/>
  <c r="M36" i="11"/>
  <c r="M21" i="11"/>
  <c r="M40" i="11"/>
  <c r="M25" i="11"/>
  <c r="M14" i="11"/>
  <c r="M12" i="11"/>
  <c r="M20" i="11"/>
  <c r="M41" i="11"/>
  <c r="M38" i="11"/>
  <c r="M23" i="11"/>
  <c r="M17" i="11"/>
  <c r="M10" i="11"/>
  <c r="M18" i="11"/>
  <c r="M7" i="11"/>
  <c r="M30" i="11"/>
  <c r="M29" i="11"/>
  <c r="M24" i="11"/>
  <c r="M27" i="11"/>
  <c r="M42" i="11"/>
  <c r="M8" i="11"/>
  <c r="M11" i="11"/>
  <c r="M6" i="11"/>
  <c r="M5" i="11"/>
  <c r="M15" i="11"/>
  <c r="M39" i="11"/>
  <c r="M13" i="11"/>
  <c r="M19" i="11"/>
  <c r="M26" i="11"/>
  <c r="M35" i="11"/>
  <c r="U26" i="30"/>
  <c r="U69" i="30" s="1"/>
  <c r="U37" i="30"/>
  <c r="U80" i="30" s="1"/>
  <c r="P15" i="30"/>
  <c r="P58" i="30" s="1"/>
  <c r="R15" i="11"/>
  <c r="Q15" i="12"/>
  <c r="R15" i="12" s="1"/>
  <c r="Q15" i="13"/>
  <c r="R15" i="13" s="1"/>
  <c r="P8" i="30"/>
  <c r="P51" i="30" s="1"/>
  <c r="R8" i="11"/>
  <c r="Q8" i="12"/>
  <c r="R8" i="12" s="1"/>
  <c r="Q8" i="13"/>
  <c r="R8" i="13" s="1"/>
  <c r="P19" i="30"/>
  <c r="P62" i="30" s="1"/>
  <c r="R19" i="11"/>
  <c r="Q19" i="12"/>
  <c r="R19" i="12" s="1"/>
  <c r="Q19" i="13"/>
  <c r="R19" i="13" s="1"/>
  <c r="P21" i="30"/>
  <c r="P64" i="30" s="1"/>
  <c r="R21" i="11"/>
  <c r="Q21" i="12"/>
  <c r="R21" i="12" s="1"/>
  <c r="Q21" i="13"/>
  <c r="R21" i="13" s="1"/>
  <c r="P23" i="30"/>
  <c r="P66" i="30" s="1"/>
  <c r="Q23" i="12"/>
  <c r="R23" i="12" s="1"/>
  <c r="Q23" i="13"/>
  <c r="R23" i="13" s="1"/>
  <c r="R23" i="11"/>
  <c r="P25" i="30"/>
  <c r="P68" i="30" s="1"/>
  <c r="R25" i="11"/>
  <c r="Q25" i="12"/>
  <c r="R25" i="12" s="1"/>
  <c r="Q25" i="13"/>
  <c r="R25" i="13" s="1"/>
  <c r="P39" i="30"/>
  <c r="P82" i="30" s="1"/>
  <c r="Q39" i="12"/>
  <c r="R39" i="12" s="1"/>
  <c r="R39" i="11"/>
  <c r="Q39" i="13"/>
  <c r="R39" i="13" s="1"/>
  <c r="P41" i="30"/>
  <c r="P84" i="30" s="1"/>
  <c r="Q41" i="12"/>
  <c r="R41" i="12" s="1"/>
  <c r="Q41" i="13"/>
  <c r="R41" i="13" s="1"/>
  <c r="R41" i="11"/>
  <c r="P16" i="30"/>
  <c r="P59" i="30" s="1"/>
  <c r="Q16" i="13"/>
  <c r="R16" i="13" s="1"/>
  <c r="Q16" i="12"/>
  <c r="R16" i="12" s="1"/>
  <c r="R16" i="11"/>
  <c r="P20" i="30"/>
  <c r="P63" i="30" s="1"/>
  <c r="R20" i="11"/>
  <c r="Q20" i="13"/>
  <c r="R20" i="13" s="1"/>
  <c r="Q20" i="12"/>
  <c r="R20" i="12" s="1"/>
  <c r="AI47" i="8"/>
  <c r="AE47" i="29" s="1"/>
  <c r="AE99" i="29" s="1"/>
  <c r="U11" i="30"/>
  <c r="U54" i="30" s="1"/>
  <c r="U42" i="30"/>
  <c r="U85" i="30" s="1"/>
  <c r="M9" i="31"/>
  <c r="M11" i="31"/>
  <c r="M7" i="31"/>
  <c r="M13" i="31" s="1"/>
  <c r="B11" i="31"/>
  <c r="F11" i="31"/>
  <c r="U28" i="30"/>
  <c r="U71" i="30" s="1"/>
  <c r="U32" i="30"/>
  <c r="U75" i="30" s="1"/>
  <c r="N17" i="30"/>
  <c r="N60" i="30" s="1"/>
  <c r="N17" i="12"/>
  <c r="N17" i="13"/>
  <c r="N26" i="30"/>
  <c r="N69" i="30" s="1"/>
  <c r="N26" i="13"/>
  <c r="N26" i="12"/>
  <c r="N16" i="12"/>
  <c r="N16" i="30" s="1"/>
  <c r="N59" i="30" s="1"/>
  <c r="N16" i="13"/>
  <c r="N38" i="13"/>
  <c r="N38" i="12"/>
  <c r="N38" i="30" s="1"/>
  <c r="N81" i="30" s="1"/>
  <c r="N6" i="30"/>
  <c r="N49" i="30" s="1"/>
  <c r="N6" i="13"/>
  <c r="N6" i="12"/>
  <c r="N33" i="30"/>
  <c r="N76" i="30" s="1"/>
  <c r="N33" i="12"/>
  <c r="N33" i="13"/>
  <c r="N28" i="12"/>
  <c r="N28" i="30" s="1"/>
  <c r="N71" i="30" s="1"/>
  <c r="N28" i="13"/>
  <c r="N41" i="13"/>
  <c r="N41" i="12"/>
  <c r="N41" i="30" s="1"/>
  <c r="N84" i="30" s="1"/>
  <c r="N22" i="30"/>
  <c r="N65" i="30" s="1"/>
  <c r="N22" i="12"/>
  <c r="N22" i="13"/>
  <c r="N10" i="30"/>
  <c r="N53" i="30" s="1"/>
  <c r="N10" i="12"/>
  <c r="N10" i="13"/>
  <c r="AI46" i="8"/>
  <c r="AE46" i="29" s="1"/>
  <c r="AE98" i="29" s="1"/>
  <c r="U14" i="30"/>
  <c r="U57" i="30" s="1"/>
  <c r="U12" i="30"/>
  <c r="U55" i="30" s="1"/>
  <c r="U9" i="30"/>
  <c r="U52" i="30" s="1"/>
  <c r="U31" i="30"/>
  <c r="U74" i="30" s="1"/>
  <c r="U20" i="30"/>
  <c r="U63" i="30" s="1"/>
  <c r="R32" i="11"/>
  <c r="Q32" i="12"/>
  <c r="R32" i="12" s="1"/>
  <c r="Q32" i="13"/>
  <c r="R32" i="13" s="1"/>
  <c r="R27" i="11"/>
  <c r="Q27" i="12"/>
  <c r="R27" i="12" s="1"/>
  <c r="Q27" i="13"/>
  <c r="R27" i="13" s="1"/>
  <c r="R35" i="11"/>
  <c r="Q35" i="12"/>
  <c r="R35" i="12" s="1"/>
  <c r="Q35" i="13"/>
  <c r="R35" i="13" s="1"/>
  <c r="R33" i="11"/>
  <c r="Q33" i="12"/>
  <c r="R33" i="12" s="1"/>
  <c r="Q33" i="13"/>
  <c r="R33" i="13" s="1"/>
  <c r="Q42" i="12"/>
  <c r="R42" i="12" s="1"/>
  <c r="R42" i="11"/>
  <c r="Q42" i="13"/>
  <c r="R42" i="13" s="1"/>
  <c r="Q22" i="12"/>
  <c r="R22" i="12" s="1"/>
  <c r="R22" i="11"/>
  <c r="Q22" i="13"/>
  <c r="R22" i="13" s="1"/>
  <c r="Q9" i="12"/>
  <c r="R9" i="12" s="1"/>
  <c r="R9" i="11"/>
  <c r="Q9" i="13"/>
  <c r="R9" i="13" s="1"/>
  <c r="P29" i="30"/>
  <c r="P72" i="30" s="1"/>
  <c r="Q29" i="12"/>
  <c r="R29" i="12" s="1"/>
  <c r="Q29" i="13"/>
  <c r="R29" i="13" s="1"/>
  <c r="R29" i="11"/>
  <c r="P37" i="30"/>
  <c r="P80" i="30" s="1"/>
  <c r="Q37" i="12"/>
  <c r="R37" i="12" s="1"/>
  <c r="Q37" i="13"/>
  <c r="R37" i="13" s="1"/>
  <c r="R37" i="11"/>
  <c r="U8" i="30"/>
  <c r="U51" i="30" s="1"/>
  <c r="U24" i="30"/>
  <c r="U67" i="30" s="1"/>
  <c r="U41" i="30"/>
  <c r="U84" i="30" s="1"/>
  <c r="B9" i="31"/>
  <c r="V24" i="8"/>
  <c r="U24" i="29" s="1"/>
  <c r="U76" i="29" s="1"/>
  <c r="AI48" i="8"/>
  <c r="AE48" i="29" s="1"/>
  <c r="AE100" i="29" s="1"/>
  <c r="AI42" i="8"/>
  <c r="AE42" i="29" s="1"/>
  <c r="AE94" i="29" s="1"/>
  <c r="AI35" i="8"/>
  <c r="AE35" i="29" s="1"/>
  <c r="AE87" i="29" s="1"/>
  <c r="AI5" i="8"/>
  <c r="AI14" i="8"/>
  <c r="AE14" i="29" s="1"/>
  <c r="AE66" i="29" s="1"/>
  <c r="AI19" i="8"/>
  <c r="AE19" i="29" s="1"/>
  <c r="AE71" i="29" s="1"/>
  <c r="AI7" i="8"/>
  <c r="AE7" i="29" s="1"/>
  <c r="AE59" i="29" s="1"/>
  <c r="AI29" i="8"/>
  <c r="AE29" i="29" s="1"/>
  <c r="AE81" i="29" s="1"/>
  <c r="AI11" i="8"/>
  <c r="AE11" i="29" s="1"/>
  <c r="AE63" i="29" s="1"/>
  <c r="AI31" i="8"/>
  <c r="AE31" i="29" s="1"/>
  <c r="AE83" i="29" s="1"/>
  <c r="AI13" i="8"/>
  <c r="AE13" i="29" s="1"/>
  <c r="AE65" i="29" s="1"/>
  <c r="AI16" i="8"/>
  <c r="AE16" i="29" s="1"/>
  <c r="AE68" i="29" s="1"/>
  <c r="AI50" i="8"/>
  <c r="AE50" i="29" s="1"/>
  <c r="AE102" i="29" s="1"/>
  <c r="AI8" i="8"/>
  <c r="AE8" i="29" s="1"/>
  <c r="AE60" i="29" s="1"/>
  <c r="AI26" i="8"/>
  <c r="AE26" i="29" s="1"/>
  <c r="AE78" i="29" s="1"/>
  <c r="AI39" i="8"/>
  <c r="AE39" i="29" s="1"/>
  <c r="AE91" i="29" s="1"/>
  <c r="AI51" i="8"/>
  <c r="AE51" i="29" s="1"/>
  <c r="AE103" i="29" s="1"/>
  <c r="AI30" i="8"/>
  <c r="AE30" i="29" s="1"/>
  <c r="AE82" i="29" s="1"/>
  <c r="AI38" i="8"/>
  <c r="AE38" i="29" s="1"/>
  <c r="AE90" i="29" s="1"/>
  <c r="AI6" i="8"/>
  <c r="AE6" i="29" s="1"/>
  <c r="AE58" i="29" s="1"/>
  <c r="AI28" i="8"/>
  <c r="AE28" i="29" s="1"/>
  <c r="AE80" i="29" s="1"/>
  <c r="AI36" i="8"/>
  <c r="AE36" i="29" s="1"/>
  <c r="AE88" i="29" s="1"/>
  <c r="AI27" i="8"/>
  <c r="AE27" i="29" s="1"/>
  <c r="AE79" i="29" s="1"/>
  <c r="AI37" i="8"/>
  <c r="AE37" i="29" s="1"/>
  <c r="AE89" i="29" s="1"/>
  <c r="AI17" i="8"/>
  <c r="AE17" i="29" s="1"/>
  <c r="AE69" i="29" s="1"/>
  <c r="AI41" i="8"/>
  <c r="AE41" i="29" s="1"/>
  <c r="AE93" i="29" s="1"/>
  <c r="AI23" i="8"/>
  <c r="AE23" i="29" s="1"/>
  <c r="AE75" i="29" s="1"/>
  <c r="AI24" i="8"/>
  <c r="AE24" i="29" s="1"/>
  <c r="AE76" i="29" s="1"/>
  <c r="AI49" i="8"/>
  <c r="AE49" i="29" s="1"/>
  <c r="AE101" i="29" s="1"/>
  <c r="AI9" i="8"/>
  <c r="AE9" i="29" s="1"/>
  <c r="AE61" i="29" s="1"/>
  <c r="AI40" i="8"/>
  <c r="AE40" i="29" s="1"/>
  <c r="AE92" i="29" s="1"/>
  <c r="AI10" i="8"/>
  <c r="AE10" i="29" s="1"/>
  <c r="AE62" i="29" s="1"/>
  <c r="AI21" i="8"/>
  <c r="AE21" i="29" s="1"/>
  <c r="AE73" i="29" s="1"/>
  <c r="AI43" i="8"/>
  <c r="AE43" i="29" s="1"/>
  <c r="AE95" i="29" s="1"/>
  <c r="AI32" i="8"/>
  <c r="AE32" i="29" s="1"/>
  <c r="AE84" i="29" s="1"/>
  <c r="AI12" i="8"/>
  <c r="AE12" i="29" s="1"/>
  <c r="AE64" i="29" s="1"/>
  <c r="AI44" i="8"/>
  <c r="AE44" i="29" s="1"/>
  <c r="AE96" i="29" s="1"/>
  <c r="AI20" i="8"/>
  <c r="AE20" i="29" s="1"/>
  <c r="AE72" i="29" s="1"/>
  <c r="AI45" i="8"/>
  <c r="AE45" i="29" s="1"/>
  <c r="AE97" i="29" s="1"/>
  <c r="AI22" i="8"/>
  <c r="AE22" i="29" s="1"/>
  <c r="AE74" i="29" s="1"/>
  <c r="U33" i="30"/>
  <c r="U76" i="30" s="1"/>
  <c r="N37" i="12"/>
  <c r="N37" i="30" s="1"/>
  <c r="N80" i="30" s="1"/>
  <c r="N37" i="13"/>
  <c r="N11" i="12"/>
  <c r="N11" i="13"/>
  <c r="N11" i="30" s="1"/>
  <c r="N54" i="30" s="1"/>
  <c r="N32" i="30"/>
  <c r="N75" i="30" s="1"/>
  <c r="N32" i="12"/>
  <c r="N32" i="13"/>
  <c r="N39" i="30"/>
  <c r="N82" i="30" s="1"/>
  <c r="N39" i="12"/>
  <c r="N39" i="13"/>
  <c r="N35" i="12"/>
  <c r="N35" i="30" s="1"/>
  <c r="N78" i="30" s="1"/>
  <c r="N35" i="13"/>
  <c r="N40" i="13"/>
  <c r="N40" i="12"/>
  <c r="N40" i="30" s="1"/>
  <c r="N83" i="30" s="1"/>
  <c r="N31" i="30"/>
  <c r="N74" i="30" s="1"/>
  <c r="N31" i="13"/>
  <c r="N31" i="12"/>
  <c r="N42" i="30"/>
  <c r="N85" i="30" s="1"/>
  <c r="N42" i="13"/>
  <c r="N42" i="12"/>
  <c r="N7" i="12"/>
  <c r="N7" i="30" s="1"/>
  <c r="N50" i="30" s="1"/>
  <c r="N7" i="13"/>
  <c r="N27" i="12"/>
  <c r="N27" i="13"/>
  <c r="N27" i="30" s="1"/>
  <c r="N70" i="30" s="1"/>
  <c r="U40" i="30"/>
  <c r="U83" i="30" s="1"/>
  <c r="U15" i="30"/>
  <c r="U58" i="30" s="1"/>
  <c r="AI18" i="8"/>
  <c r="AE18" i="29" s="1"/>
  <c r="AE70" i="29" s="1"/>
  <c r="U19" i="30"/>
  <c r="U62" i="30" s="1"/>
  <c r="U25" i="30"/>
  <c r="U68" i="30" s="1"/>
  <c r="R26" i="11"/>
  <c r="Q26" i="13"/>
  <c r="R26" i="13" s="1"/>
  <c r="Q26" i="12"/>
  <c r="R26" i="12" s="1"/>
  <c r="Q17" i="12"/>
  <c r="R17" i="12" s="1"/>
  <c r="Q17" i="13"/>
  <c r="R17" i="13" s="1"/>
  <c r="R17" i="11"/>
  <c r="R30" i="11"/>
  <c r="Q30" i="13"/>
  <c r="R30" i="13" s="1"/>
  <c r="Q30" i="12"/>
  <c r="R30" i="12" s="1"/>
  <c r="Q5" i="12"/>
  <c r="Q5" i="13"/>
  <c r="Q44" i="11"/>
  <c r="R5" i="11"/>
  <c r="R34" i="11"/>
  <c r="Q34" i="13"/>
  <c r="R34" i="13" s="1"/>
  <c r="Q34" i="12"/>
  <c r="R34" i="12" s="1"/>
  <c r="Q13" i="12"/>
  <c r="R13" i="12" s="1"/>
  <c r="Q13" i="13"/>
  <c r="R13" i="13" s="1"/>
  <c r="R13" i="11"/>
  <c r="R24" i="11"/>
  <c r="Q24" i="12"/>
  <c r="R24" i="12" s="1"/>
  <c r="Q24" i="13"/>
  <c r="R24" i="13" s="1"/>
  <c r="R28" i="11"/>
  <c r="Q28" i="12"/>
  <c r="R28" i="12" s="1"/>
  <c r="Q28" i="13"/>
  <c r="R28" i="13" s="1"/>
  <c r="Q10" i="12"/>
  <c r="R10" i="12" s="1"/>
  <c r="R10" i="11"/>
  <c r="Q10" i="13"/>
  <c r="R10" i="13" s="1"/>
  <c r="AI34" i="8"/>
  <c r="AE34" i="29" s="1"/>
  <c r="AE86" i="29" s="1"/>
  <c r="U13" i="30"/>
  <c r="U56" i="30" s="1"/>
  <c r="U36" i="30"/>
  <c r="U79" i="30" s="1"/>
  <c r="J7" i="31"/>
  <c r="J13" i="31" s="1"/>
  <c r="AD33" i="8"/>
  <c r="AD42" i="8"/>
  <c r="AD12" i="8"/>
  <c r="AB48" i="7"/>
  <c r="AB13" i="7"/>
  <c r="V34" i="8"/>
  <c r="U34" i="29" s="1"/>
  <c r="U86" i="29" s="1"/>
  <c r="AD39" i="8"/>
  <c r="AH53" i="8"/>
  <c r="AD48" i="8"/>
  <c r="AB37" i="7"/>
  <c r="AB35" i="7"/>
  <c r="AB18" i="7"/>
  <c r="AD23" i="8"/>
  <c r="AD47" i="8"/>
  <c r="AD38" i="8"/>
  <c r="AD16" i="8"/>
  <c r="AD40" i="8"/>
  <c r="V40" i="8"/>
  <c r="U40" i="29" s="1"/>
  <c r="U92" i="29" s="1"/>
  <c r="AD6" i="8"/>
  <c r="AD34" i="8"/>
  <c r="AD25" i="8"/>
  <c r="AB32" i="7"/>
  <c r="AB7" i="7"/>
  <c r="AD45" i="8"/>
  <c r="AD37" i="8"/>
  <c r="AD15" i="8"/>
  <c r="AD9" i="8"/>
  <c r="E41" i="5"/>
  <c r="E21" i="5"/>
  <c r="AD17" i="8"/>
  <c r="V37" i="8"/>
  <c r="U37" i="29" s="1"/>
  <c r="U89" i="29" s="1"/>
  <c r="V27" i="8"/>
  <c r="U27" i="29" s="1"/>
  <c r="U79" i="29" s="1"/>
  <c r="V48" i="8"/>
  <c r="U48" i="29" s="1"/>
  <c r="U100" i="29" s="1"/>
  <c r="AD22" i="8"/>
  <c r="AD46" i="8"/>
  <c r="AB27" i="7"/>
  <c r="AB9" i="7"/>
  <c r="AD41" i="8"/>
  <c r="AD20" i="8"/>
  <c r="V31" i="8"/>
  <c r="U31" i="29" s="1"/>
  <c r="U83" i="29" s="1"/>
  <c r="W49" i="12"/>
  <c r="M28" i="8"/>
  <c r="M28" i="29" s="1"/>
  <c r="M80" i="29" s="1"/>
  <c r="V42" i="8"/>
  <c r="U42" i="29" s="1"/>
  <c r="U94" i="29" s="1"/>
  <c r="M40" i="8"/>
  <c r="M40" i="29" s="1"/>
  <c r="M92" i="29" s="1"/>
  <c r="X53" i="8"/>
  <c r="M34" i="8"/>
  <c r="M34" i="29" s="1"/>
  <c r="M86" i="29" s="1"/>
  <c r="M16" i="8"/>
  <c r="M16" i="29" s="1"/>
  <c r="M68" i="29" s="1"/>
  <c r="W53" i="8"/>
  <c r="U53" i="8"/>
  <c r="M24" i="8"/>
  <c r="M24" i="29" s="1"/>
  <c r="M76" i="29" s="1"/>
  <c r="M30" i="8"/>
  <c r="M30" i="29" s="1"/>
  <c r="M82" i="29" s="1"/>
  <c r="L53" i="8"/>
  <c r="V7" i="8"/>
  <c r="U7" i="29" s="1"/>
  <c r="U59" i="29" s="1"/>
  <c r="AM58" i="6"/>
  <c r="AM56" i="7"/>
  <c r="AM56" i="9"/>
  <c r="AM56" i="8"/>
  <c r="P53" i="8"/>
  <c r="V16" i="8"/>
  <c r="U16" i="29" s="1"/>
  <c r="U68" i="29" s="1"/>
  <c r="V9" i="8"/>
  <c r="U9" i="29" s="1"/>
  <c r="U61" i="29" s="1"/>
  <c r="V50" i="8"/>
  <c r="U50" i="29" s="1"/>
  <c r="U102" i="29" s="1"/>
  <c r="T57" i="6"/>
  <c r="T55" i="9"/>
  <c r="T55" i="8"/>
  <c r="T55" i="7"/>
  <c r="Y44" i="13"/>
  <c r="Z5" i="13"/>
  <c r="Z44" i="13" s="1"/>
  <c r="R39" i="8"/>
  <c r="R39" i="29" s="1"/>
  <c r="R91" i="29" s="1"/>
  <c r="R5" i="8"/>
  <c r="R5" i="29" s="1"/>
  <c r="R57" i="29" s="1"/>
  <c r="R36" i="8"/>
  <c r="R36" i="29" s="1"/>
  <c r="R88" i="29" s="1"/>
  <c r="R43" i="8"/>
  <c r="R43" i="29" s="1"/>
  <c r="R95" i="29" s="1"/>
  <c r="R35" i="8"/>
  <c r="R35" i="29" s="1"/>
  <c r="R87" i="29" s="1"/>
  <c r="R7" i="8"/>
  <c r="R7" i="29" s="1"/>
  <c r="R59" i="29" s="1"/>
  <c r="R13" i="8"/>
  <c r="R13" i="29" s="1"/>
  <c r="R65" i="29" s="1"/>
  <c r="R51" i="8"/>
  <c r="R51" i="29" s="1"/>
  <c r="R103" i="29" s="1"/>
  <c r="R9" i="8"/>
  <c r="R9" i="29" s="1"/>
  <c r="R61" i="29" s="1"/>
  <c r="R28" i="8"/>
  <c r="R44" i="8"/>
  <c r="R44" i="29" s="1"/>
  <c r="R96" i="29" s="1"/>
  <c r="R46" i="8"/>
  <c r="R46" i="29" s="1"/>
  <c r="R98" i="29" s="1"/>
  <c r="R41" i="8"/>
  <c r="R41" i="29" s="1"/>
  <c r="R93" i="29" s="1"/>
  <c r="R33" i="8"/>
  <c r="R33" i="29" s="1"/>
  <c r="R85" i="29" s="1"/>
  <c r="R47" i="8"/>
  <c r="R47" i="29" s="1"/>
  <c r="R99" i="29" s="1"/>
  <c r="R20" i="8"/>
  <c r="R20" i="29" s="1"/>
  <c r="R72" i="29" s="1"/>
  <c r="R26" i="8"/>
  <c r="R48" i="8"/>
  <c r="R48" i="29" s="1"/>
  <c r="R100" i="29" s="1"/>
  <c r="R19" i="8"/>
  <c r="R19" i="29" s="1"/>
  <c r="R71" i="29" s="1"/>
  <c r="R34" i="8"/>
  <c r="R34" i="29" s="1"/>
  <c r="R86" i="29" s="1"/>
  <c r="R12" i="8"/>
  <c r="R12" i="29" s="1"/>
  <c r="R64" i="29" s="1"/>
  <c r="R27" i="8"/>
  <c r="R15" i="8"/>
  <c r="R15" i="29" s="1"/>
  <c r="R67" i="29" s="1"/>
  <c r="R30" i="8"/>
  <c r="R30" i="29" s="1"/>
  <c r="R82" i="29" s="1"/>
  <c r="R32" i="8"/>
  <c r="R32" i="29" s="1"/>
  <c r="R84" i="29" s="1"/>
  <c r="R14" i="8"/>
  <c r="R14" i="29" s="1"/>
  <c r="R66" i="29" s="1"/>
  <c r="R25" i="8"/>
  <c r="R25" i="29" s="1"/>
  <c r="R77" i="29" s="1"/>
  <c r="R31" i="8"/>
  <c r="R31" i="29" s="1"/>
  <c r="R83" i="29" s="1"/>
  <c r="R42" i="8"/>
  <c r="R42" i="29" s="1"/>
  <c r="R94" i="29" s="1"/>
  <c r="R16" i="8"/>
  <c r="R16" i="29" s="1"/>
  <c r="R68" i="29" s="1"/>
  <c r="R18" i="8"/>
  <c r="R18" i="29" s="1"/>
  <c r="R70" i="29" s="1"/>
  <c r="R6" i="8"/>
  <c r="R6" i="29" s="1"/>
  <c r="R58" i="29" s="1"/>
  <c r="R22" i="8"/>
  <c r="R29" i="8"/>
  <c r="R23" i="8"/>
  <c r="R40" i="8"/>
  <c r="R40" i="29" s="1"/>
  <c r="R92" i="29" s="1"/>
  <c r="R49" i="8"/>
  <c r="R49" i="29" s="1"/>
  <c r="R101" i="29" s="1"/>
  <c r="R17" i="8"/>
  <c r="R17" i="29" s="1"/>
  <c r="R69" i="29" s="1"/>
  <c r="R11" i="8"/>
  <c r="R11" i="29" s="1"/>
  <c r="R63" i="29" s="1"/>
  <c r="R24" i="8"/>
  <c r="R50" i="8"/>
  <c r="R50" i="29" s="1"/>
  <c r="R102" i="29" s="1"/>
  <c r="R38" i="8"/>
  <c r="R38" i="29" s="1"/>
  <c r="R90" i="29" s="1"/>
  <c r="R37" i="8"/>
  <c r="R37" i="29" s="1"/>
  <c r="R89" i="29" s="1"/>
  <c r="R45" i="8"/>
  <c r="R45" i="29" s="1"/>
  <c r="R97" i="29" s="1"/>
  <c r="R10" i="8"/>
  <c r="R10" i="29" s="1"/>
  <c r="R62" i="29" s="1"/>
  <c r="R21" i="8"/>
  <c r="R8" i="8"/>
  <c r="R8" i="29" s="1"/>
  <c r="R60" i="29" s="1"/>
  <c r="AD53" i="8"/>
  <c r="Y51" i="9"/>
  <c r="AB51" i="9" s="1"/>
  <c r="AB51" i="7"/>
  <c r="Y23" i="9"/>
  <c r="AB23" i="9" s="1"/>
  <c r="AB23" i="7"/>
  <c r="Y36" i="9"/>
  <c r="AB36" i="9" s="1"/>
  <c r="Y11" i="9"/>
  <c r="AB11" i="9" s="1"/>
  <c r="AB11" i="7"/>
  <c r="Y15" i="9"/>
  <c r="AB15" i="9" s="1"/>
  <c r="Y10" i="9"/>
  <c r="AB10" i="9" s="1"/>
  <c r="Y16" i="9"/>
  <c r="AB16" i="9" s="1"/>
  <c r="Q53" i="8"/>
  <c r="AB15" i="7"/>
  <c r="Z44" i="11"/>
  <c r="V43" i="8"/>
  <c r="U43" i="29" s="1"/>
  <c r="U95" i="29" s="1"/>
  <c r="V47" i="8"/>
  <c r="U47" i="29" s="1"/>
  <c r="U99" i="29" s="1"/>
  <c r="V17" i="8"/>
  <c r="U17" i="29" s="1"/>
  <c r="U69" i="29" s="1"/>
  <c r="V8" i="8"/>
  <c r="U8" i="29" s="1"/>
  <c r="U60" i="29" s="1"/>
  <c r="V46" i="8"/>
  <c r="U46" i="29" s="1"/>
  <c r="U98" i="29" s="1"/>
  <c r="AC53" i="8"/>
  <c r="V44" i="8"/>
  <c r="U44" i="29" s="1"/>
  <c r="U96" i="29" s="1"/>
  <c r="V33" i="8"/>
  <c r="U33" i="29" s="1"/>
  <c r="U85" i="29" s="1"/>
  <c r="Y30" i="9"/>
  <c r="AB30" i="9" s="1"/>
  <c r="V10" i="8"/>
  <c r="U10" i="29" s="1"/>
  <c r="U62" i="29" s="1"/>
  <c r="V32" i="8"/>
  <c r="U32" i="29" s="1"/>
  <c r="U84" i="29" s="1"/>
  <c r="U44" i="13"/>
  <c r="T58" i="6"/>
  <c r="T56" i="9"/>
  <c r="T56" i="8"/>
  <c r="T56" i="7"/>
  <c r="V45" i="8"/>
  <c r="U45" i="29" s="1"/>
  <c r="U97" i="29" s="1"/>
  <c r="V49" i="8"/>
  <c r="U49" i="29" s="1"/>
  <c r="U101" i="29" s="1"/>
  <c r="V19" i="8"/>
  <c r="U19" i="29" s="1"/>
  <c r="U71" i="29" s="1"/>
  <c r="V13" i="8"/>
  <c r="U13" i="29" s="1"/>
  <c r="U65" i="29" s="1"/>
  <c r="V21" i="8"/>
  <c r="U21" i="29" s="1"/>
  <c r="U73" i="29" s="1"/>
  <c r="V53" i="9"/>
  <c r="Z5" i="12"/>
  <c r="Z44" i="12" s="1"/>
  <c r="Y44" i="12"/>
  <c r="AB10" i="7"/>
  <c r="V39" i="8"/>
  <c r="U39" i="29" s="1"/>
  <c r="U91" i="29" s="1"/>
  <c r="V15" i="8"/>
  <c r="U15" i="29" s="1"/>
  <c r="U67" i="29" s="1"/>
  <c r="L49" i="10"/>
  <c r="M8" i="8"/>
  <c r="M8" i="29" s="1"/>
  <c r="M60" i="29" s="1"/>
  <c r="M14" i="8"/>
  <c r="M14" i="29" s="1"/>
  <c r="M66" i="29" s="1"/>
  <c r="M13" i="8"/>
  <c r="M13" i="29" s="1"/>
  <c r="M65" i="29" s="1"/>
  <c r="V18" i="8"/>
  <c r="U18" i="29" s="1"/>
  <c r="U70" i="29" s="1"/>
  <c r="M53" i="9"/>
  <c r="M37" i="8"/>
  <c r="M37" i="29" s="1"/>
  <c r="M89" i="29" s="1"/>
  <c r="Y39" i="9"/>
  <c r="AB39" i="9" s="1"/>
  <c r="Y28" i="9"/>
  <c r="AB28" i="9" s="1"/>
  <c r="AB28" i="7"/>
  <c r="Y32" i="9"/>
  <c r="AB32" i="9" s="1"/>
  <c r="Y47" i="9"/>
  <c r="AB47" i="9" s="1"/>
  <c r="AB47" i="7"/>
  <c r="Y24" i="9"/>
  <c r="AB24" i="9" s="1"/>
  <c r="AB24" i="7"/>
  <c r="Y41" i="9"/>
  <c r="AB41" i="9" s="1"/>
  <c r="Y42" i="9"/>
  <c r="AB42" i="9" s="1"/>
  <c r="Y38" i="9"/>
  <c r="AB38" i="9" s="1"/>
  <c r="Y8" i="9"/>
  <c r="AB8" i="9" s="1"/>
  <c r="AB8" i="7"/>
  <c r="Y26" i="9"/>
  <c r="AB26" i="9" s="1"/>
  <c r="Y17" i="9"/>
  <c r="AB17" i="9" s="1"/>
  <c r="AB17" i="7"/>
  <c r="Y7" i="9"/>
  <c r="AB7" i="9" s="1"/>
  <c r="AB26" i="7"/>
  <c r="M15" i="8"/>
  <c r="M15" i="29" s="1"/>
  <c r="M67" i="29" s="1"/>
  <c r="O44" i="12"/>
  <c r="U44" i="12"/>
  <c r="M23" i="8"/>
  <c r="M23" i="29" s="1"/>
  <c r="M75" i="29" s="1"/>
  <c r="M43" i="8"/>
  <c r="M43" i="29" s="1"/>
  <c r="M95" i="29" s="1"/>
  <c r="F45" i="5"/>
  <c r="P47" i="13"/>
  <c r="P47" i="12"/>
  <c r="P47" i="10"/>
  <c r="P47" i="11"/>
  <c r="Y48" i="9"/>
  <c r="AB48" i="9" s="1"/>
  <c r="Y33" i="9"/>
  <c r="AB33" i="9" s="1"/>
  <c r="AB33" i="7"/>
  <c r="Y31" i="9"/>
  <c r="AB31" i="9" s="1"/>
  <c r="Y13" i="9"/>
  <c r="AB13" i="9" s="1"/>
  <c r="Y25" i="9"/>
  <c r="AB25" i="9" s="1"/>
  <c r="AB25" i="7"/>
  <c r="AM56" i="6"/>
  <c r="AM54" i="9"/>
  <c r="AM54" i="7"/>
  <c r="AM54" i="8" s="1"/>
  <c r="V41" i="8"/>
  <c r="U41" i="29" s="1"/>
  <c r="U93" i="29" s="1"/>
  <c r="V12" i="8"/>
  <c r="U12" i="29" s="1"/>
  <c r="U64" i="29" s="1"/>
  <c r="V6" i="8"/>
  <c r="U6" i="29" s="1"/>
  <c r="U58" i="29" s="1"/>
  <c r="V23" i="8"/>
  <c r="U23" i="29" s="1"/>
  <c r="U75" i="29" s="1"/>
  <c r="Y37" i="9"/>
  <c r="AB37" i="9" s="1"/>
  <c r="Y35" i="9"/>
  <c r="AB35" i="9" s="1"/>
  <c r="Y45" i="9"/>
  <c r="AB45" i="9" s="1"/>
  <c r="AB45" i="7"/>
  <c r="Y43" i="9"/>
  <c r="AB43" i="9" s="1"/>
  <c r="AB43" i="7"/>
  <c r="Y22" i="9"/>
  <c r="AB22" i="9" s="1"/>
  <c r="AB22" i="7"/>
  <c r="Y18" i="9"/>
  <c r="AB18" i="9" s="1"/>
  <c r="Y29" i="9"/>
  <c r="AB29" i="9" s="1"/>
  <c r="AB29" i="7"/>
  <c r="Y20" i="9"/>
  <c r="AB20" i="9" s="1"/>
  <c r="Y12" i="9"/>
  <c r="AB12" i="9" s="1"/>
  <c r="Y5" i="9"/>
  <c r="Y53" i="7"/>
  <c r="Y58" i="7" s="1"/>
  <c r="Y51" i="8" s="1"/>
  <c r="X51" i="29" s="1"/>
  <c r="X103" i="29" s="1"/>
  <c r="O44" i="13"/>
  <c r="F46" i="5"/>
  <c r="AB12" i="7"/>
  <c r="V5" i="8"/>
  <c r="U5" i="29" s="1"/>
  <c r="U57" i="29" s="1"/>
  <c r="AB30" i="7"/>
  <c r="S40" i="8"/>
  <c r="S51" i="8"/>
  <c r="S9" i="8"/>
  <c r="S28" i="8"/>
  <c r="S34" i="8"/>
  <c r="S27" i="8"/>
  <c r="S30" i="8"/>
  <c r="S32" i="8"/>
  <c r="S14" i="8"/>
  <c r="S25" i="8"/>
  <c r="S42" i="8"/>
  <c r="S16" i="8"/>
  <c r="S18" i="8"/>
  <c r="S6" i="8"/>
  <c r="S22" i="8"/>
  <c r="S29" i="8"/>
  <c r="S48" i="8"/>
  <c r="S19" i="8"/>
  <c r="S12" i="8"/>
  <c r="S15" i="8"/>
  <c r="S23" i="8"/>
  <c r="S49" i="8"/>
  <c r="S36" i="8"/>
  <c r="S46" i="8"/>
  <c r="S17" i="8"/>
  <c r="S11" i="8"/>
  <c r="S24" i="8"/>
  <c r="S44" i="8"/>
  <c r="S43" i="8"/>
  <c r="S50" i="8"/>
  <c r="S35" i="8"/>
  <c r="S38" i="8"/>
  <c r="S7" i="8"/>
  <c r="S13" i="8"/>
  <c r="S41" i="8"/>
  <c r="S37" i="8"/>
  <c r="S33" i="8"/>
  <c r="S45" i="8"/>
  <c r="S47" i="8"/>
  <c r="S10" i="8"/>
  <c r="S21" i="8"/>
  <c r="S20" i="8"/>
  <c r="S8" i="8"/>
  <c r="S26" i="8"/>
  <c r="S39" i="8"/>
  <c r="S5" i="8"/>
  <c r="S31" i="8"/>
  <c r="V35" i="8"/>
  <c r="U35" i="29" s="1"/>
  <c r="U87" i="29" s="1"/>
  <c r="V38" i="8"/>
  <c r="U38" i="29" s="1"/>
  <c r="U90" i="29" s="1"/>
  <c r="V29" i="8"/>
  <c r="U29" i="29" s="1"/>
  <c r="U81" i="29" s="1"/>
  <c r="V14" i="8"/>
  <c r="U14" i="29" s="1"/>
  <c r="U66" i="29" s="1"/>
  <c r="V25" i="8"/>
  <c r="U25" i="29" s="1"/>
  <c r="U77" i="29" s="1"/>
  <c r="M32" i="8"/>
  <c r="M32" i="29" s="1"/>
  <c r="M84" i="29" s="1"/>
  <c r="M20" i="8"/>
  <c r="M20" i="29" s="1"/>
  <c r="M72" i="29" s="1"/>
  <c r="M21" i="8"/>
  <c r="M21" i="29" s="1"/>
  <c r="M73" i="29" s="1"/>
  <c r="M47" i="8"/>
  <c r="M47" i="29" s="1"/>
  <c r="M99" i="29" s="1"/>
  <c r="M22" i="8"/>
  <c r="M22" i="29" s="1"/>
  <c r="M74" i="29" s="1"/>
  <c r="M51" i="8"/>
  <c r="M51" i="29" s="1"/>
  <c r="M103" i="29" s="1"/>
  <c r="M48" i="8"/>
  <c r="M48" i="29" s="1"/>
  <c r="M100" i="29" s="1"/>
  <c r="M36" i="8"/>
  <c r="M36" i="29" s="1"/>
  <c r="M88" i="29" s="1"/>
  <c r="M50" i="8"/>
  <c r="M50" i="29" s="1"/>
  <c r="M102" i="29" s="1"/>
  <c r="M38" i="8"/>
  <c r="M38" i="29" s="1"/>
  <c r="M90" i="29" s="1"/>
  <c r="AB5" i="9"/>
  <c r="M6" i="8"/>
  <c r="M6" i="29" s="1"/>
  <c r="M58" i="29" s="1"/>
  <c r="M26" i="8"/>
  <c r="M26" i="29" s="1"/>
  <c r="M78" i="29" s="1"/>
  <c r="L48" i="11"/>
  <c r="M33" i="8"/>
  <c r="M33" i="29" s="1"/>
  <c r="M85" i="29" s="1"/>
  <c r="V51" i="8"/>
  <c r="U51" i="29" s="1"/>
  <c r="U103" i="29" s="1"/>
  <c r="V28" i="8"/>
  <c r="U28" i="29" s="1"/>
  <c r="U80" i="29" s="1"/>
  <c r="V36" i="8"/>
  <c r="U36" i="29" s="1"/>
  <c r="U88" i="29" s="1"/>
  <c r="V22" i="8"/>
  <c r="U22" i="29" s="1"/>
  <c r="U74" i="29" s="1"/>
  <c r="V11" i="8"/>
  <c r="U11" i="29" s="1"/>
  <c r="U63" i="29" s="1"/>
  <c r="V20" i="8"/>
  <c r="U20" i="29" s="1"/>
  <c r="U72" i="29" s="1"/>
  <c r="Y46" i="9"/>
  <c r="AB46" i="9" s="1"/>
  <c r="AB46" i="7"/>
  <c r="Y34" i="9"/>
  <c r="AB34" i="9" s="1"/>
  <c r="AB34" i="7"/>
  <c r="Y21" i="9"/>
  <c r="AB21" i="9" s="1"/>
  <c r="AB21" i="7"/>
  <c r="Y27" i="9"/>
  <c r="AB27" i="9" s="1"/>
  <c r="Y44" i="9"/>
  <c r="AB44" i="9" s="1"/>
  <c r="AB44" i="7"/>
  <c r="Y40" i="9"/>
  <c r="AB40" i="9" s="1"/>
  <c r="AB40" i="7"/>
  <c r="Y6" i="9"/>
  <c r="AB6" i="9" s="1"/>
  <c r="AB6" i="7"/>
  <c r="Y49" i="9"/>
  <c r="AB49" i="9" s="1"/>
  <c r="AB49" i="7"/>
  <c r="Y9" i="9"/>
  <c r="AB9" i="9" s="1"/>
  <c r="Y50" i="9"/>
  <c r="AB50" i="9" s="1"/>
  <c r="AB50" i="7"/>
  <c r="Y19" i="9"/>
  <c r="AB19" i="9" s="1"/>
  <c r="AB19" i="7"/>
  <c r="Y14" i="9"/>
  <c r="AB14" i="9" s="1"/>
  <c r="AB14" i="7"/>
  <c r="M35" i="8"/>
  <c r="M35" i="29" s="1"/>
  <c r="M87" i="29" s="1"/>
  <c r="O53" i="8"/>
  <c r="M42" i="8"/>
  <c r="M42" i="29" s="1"/>
  <c r="M94" i="29" s="1"/>
  <c r="M18" i="8"/>
  <c r="M18" i="29" s="1"/>
  <c r="M70" i="29" s="1"/>
  <c r="P46" i="12"/>
  <c r="P46" i="13"/>
  <c r="P46" i="10"/>
  <c r="P46" i="11"/>
  <c r="V26" i="8"/>
  <c r="U26" i="29" s="1"/>
  <c r="U78" i="29" s="1"/>
  <c r="M31" i="8"/>
  <c r="M31" i="29" s="1"/>
  <c r="M83" i="29" s="1"/>
  <c r="AB31" i="7"/>
  <c r="AB16" i="7"/>
  <c r="D9" i="32" l="1"/>
  <c r="D11" i="32"/>
  <c r="D7" i="32"/>
  <c r="D13" i="32" s="1"/>
  <c r="K14" i="32"/>
  <c r="K15" i="32"/>
  <c r="Q44" i="13"/>
  <c r="R5" i="13"/>
  <c r="R44" i="13" s="1"/>
  <c r="B14" i="31"/>
  <c r="B15" i="31"/>
  <c r="M26" i="13"/>
  <c r="M26" i="12"/>
  <c r="M26" i="30" s="1"/>
  <c r="M69" i="30" s="1"/>
  <c r="M15" i="13"/>
  <c r="M15" i="12"/>
  <c r="M15" i="30" s="1"/>
  <c r="M58" i="30" s="1"/>
  <c r="M8" i="30"/>
  <c r="M51" i="30" s="1"/>
  <c r="M8" i="12"/>
  <c r="M8" i="13"/>
  <c r="M29" i="30"/>
  <c r="M72" i="30" s="1"/>
  <c r="M29" i="12"/>
  <c r="M29" i="13"/>
  <c r="M10" i="12"/>
  <c r="M10" i="30" s="1"/>
  <c r="M53" i="30" s="1"/>
  <c r="M10" i="13"/>
  <c r="M41" i="12"/>
  <c r="M41" i="30" s="1"/>
  <c r="M84" i="30" s="1"/>
  <c r="M41" i="13"/>
  <c r="M25" i="30"/>
  <c r="M68" i="30" s="1"/>
  <c r="M25" i="12"/>
  <c r="M25" i="13"/>
  <c r="M32" i="30"/>
  <c r="M75" i="30" s="1"/>
  <c r="M32" i="12"/>
  <c r="M32" i="13"/>
  <c r="M31" i="13"/>
  <c r="M31" i="12"/>
  <c r="M31" i="30" s="1"/>
  <c r="M74" i="30" s="1"/>
  <c r="M28" i="13"/>
  <c r="M28" i="12"/>
  <c r="M28" i="30" s="1"/>
  <c r="M71" i="30" s="1"/>
  <c r="J14" i="31"/>
  <c r="J15" i="31"/>
  <c r="S26" i="12"/>
  <c r="V26" i="12" s="1"/>
  <c r="S26" i="13"/>
  <c r="V26" i="11"/>
  <c r="S23" i="13"/>
  <c r="V23" i="13" s="1"/>
  <c r="V23" i="11"/>
  <c r="S23" i="12"/>
  <c r="S31" i="13"/>
  <c r="V31" i="11"/>
  <c r="S31" i="12"/>
  <c r="V36" i="11"/>
  <c r="S36" i="12"/>
  <c r="V36" i="12" s="1"/>
  <c r="S36" i="13"/>
  <c r="V5" i="11"/>
  <c r="S5" i="12"/>
  <c r="Q5" i="30" s="1"/>
  <c r="Q48" i="30" s="1"/>
  <c r="S5" i="13"/>
  <c r="S44" i="11"/>
  <c r="Q14" i="30"/>
  <c r="Q57" i="30" s="1"/>
  <c r="S14" i="12"/>
  <c r="S14" i="13"/>
  <c r="V14" i="11"/>
  <c r="Q6" i="30"/>
  <c r="Q49" i="30" s="1"/>
  <c r="S6" i="13"/>
  <c r="S6" i="12"/>
  <c r="V6" i="11"/>
  <c r="Q33" i="30"/>
  <c r="Q76" i="30" s="1"/>
  <c r="V33" i="11"/>
  <c r="S33" i="12"/>
  <c r="S33" i="13"/>
  <c r="Q35" i="30"/>
  <c r="Q78" i="30" s="1"/>
  <c r="V35" i="11"/>
  <c r="S35" i="12"/>
  <c r="S35" i="13"/>
  <c r="Q29" i="30"/>
  <c r="Q72" i="30" s="1"/>
  <c r="S29" i="12"/>
  <c r="S29" i="13"/>
  <c r="V29" i="11"/>
  <c r="R37" i="30"/>
  <c r="R80" i="30" s="1"/>
  <c r="T37" i="12"/>
  <c r="T37" i="13"/>
  <c r="T29" i="13"/>
  <c r="T29" i="12"/>
  <c r="R29" i="30" s="1"/>
  <c r="R72" i="30" s="1"/>
  <c r="T11" i="13"/>
  <c r="T11" i="12"/>
  <c r="R11" i="30" s="1"/>
  <c r="R54" i="30" s="1"/>
  <c r="R36" i="30"/>
  <c r="R79" i="30" s="1"/>
  <c r="T36" i="12"/>
  <c r="T36" i="13"/>
  <c r="R7" i="30"/>
  <c r="R50" i="30" s="1"/>
  <c r="T7" i="12"/>
  <c r="T7" i="13"/>
  <c r="T27" i="13"/>
  <c r="T27" i="12"/>
  <c r="R27" i="30" s="1"/>
  <c r="R70" i="30" s="1"/>
  <c r="T26" i="12"/>
  <c r="R26" i="30" s="1"/>
  <c r="R69" i="30" s="1"/>
  <c r="T26" i="13"/>
  <c r="R33" i="30"/>
  <c r="R76" i="30" s="1"/>
  <c r="T33" i="12"/>
  <c r="T33" i="13"/>
  <c r="R23" i="30"/>
  <c r="R66" i="30" s="1"/>
  <c r="T23" i="12"/>
  <c r="T23" i="13"/>
  <c r="T17" i="12"/>
  <c r="R17" i="30" s="1"/>
  <c r="R60" i="30" s="1"/>
  <c r="T17" i="13"/>
  <c r="L14" i="31"/>
  <c r="L15" i="31"/>
  <c r="K7" i="32"/>
  <c r="K13" i="32" s="1"/>
  <c r="E15" i="32"/>
  <c r="E14" i="32"/>
  <c r="P10" i="30"/>
  <c r="P53" i="30" s="1"/>
  <c r="P28" i="30"/>
  <c r="P71" i="30" s="1"/>
  <c r="P24" i="30"/>
  <c r="P67" i="30" s="1"/>
  <c r="P13" i="30"/>
  <c r="P56" i="30" s="1"/>
  <c r="P34" i="30"/>
  <c r="P77" i="30" s="1"/>
  <c r="R5" i="12"/>
  <c r="R44" i="12" s="1"/>
  <c r="Q44" i="12"/>
  <c r="M19" i="30"/>
  <c r="M62" i="30" s="1"/>
  <c r="M19" i="12"/>
  <c r="M19" i="13"/>
  <c r="M5" i="12"/>
  <c r="M44" i="11"/>
  <c r="M5" i="13"/>
  <c r="M42" i="12"/>
  <c r="M42" i="30" s="1"/>
  <c r="M85" i="30" s="1"/>
  <c r="M42" i="13"/>
  <c r="M30" i="12"/>
  <c r="M30" i="30" s="1"/>
  <c r="M73" i="30" s="1"/>
  <c r="M30" i="13"/>
  <c r="M17" i="30"/>
  <c r="M60" i="30" s="1"/>
  <c r="M17" i="12"/>
  <c r="M17" i="13"/>
  <c r="M20" i="30"/>
  <c r="M63" i="30" s="1"/>
  <c r="M20" i="13"/>
  <c r="M20" i="12"/>
  <c r="M40" i="13"/>
  <c r="M40" i="12"/>
  <c r="M40" i="30" s="1"/>
  <c r="M83" i="30" s="1"/>
  <c r="M33" i="12"/>
  <c r="M33" i="30" s="1"/>
  <c r="M76" i="30" s="1"/>
  <c r="M33" i="13"/>
  <c r="M22" i="30"/>
  <c r="M65" i="30" s="1"/>
  <c r="M22" i="12"/>
  <c r="M22" i="13"/>
  <c r="N44" i="12"/>
  <c r="F15" i="31"/>
  <c r="F14" i="31"/>
  <c r="V15" i="11"/>
  <c r="S15" i="12"/>
  <c r="Q15" i="30" s="1"/>
  <c r="Q58" i="30" s="1"/>
  <c r="S15" i="13"/>
  <c r="S19" i="12"/>
  <c r="S19" i="13"/>
  <c r="V19" i="11"/>
  <c r="S30" i="12"/>
  <c r="V30" i="12" s="1"/>
  <c r="V30" i="11"/>
  <c r="S30" i="13"/>
  <c r="S18" i="12"/>
  <c r="V18" i="11"/>
  <c r="S18" i="13"/>
  <c r="S10" i="13"/>
  <c r="V10" i="13" s="1"/>
  <c r="V10" i="11"/>
  <c r="S10" i="12"/>
  <c r="V39" i="11"/>
  <c r="S39" i="12"/>
  <c r="Q39" i="30" s="1"/>
  <c r="Q82" i="30" s="1"/>
  <c r="S39" i="13"/>
  <c r="V11" i="11"/>
  <c r="S11" i="12"/>
  <c r="Q11" i="30" s="1"/>
  <c r="Q54" i="30" s="1"/>
  <c r="S11" i="13"/>
  <c r="V11" i="13" s="1"/>
  <c r="V42" i="11"/>
  <c r="S42" i="12"/>
  <c r="V42" i="12" s="1"/>
  <c r="S42" i="13"/>
  <c r="S17" i="12"/>
  <c r="V17" i="12" s="1"/>
  <c r="S17" i="13"/>
  <c r="V17" i="13" s="1"/>
  <c r="V17" i="11"/>
  <c r="T24" i="13"/>
  <c r="T24" i="12"/>
  <c r="R24" i="30" s="1"/>
  <c r="R67" i="30" s="1"/>
  <c r="T21" i="12"/>
  <c r="R21" i="30" s="1"/>
  <c r="R64" i="30" s="1"/>
  <c r="T21" i="13"/>
  <c r="R42" i="30"/>
  <c r="R85" i="30" s="1"/>
  <c r="T42" i="12"/>
  <c r="T42" i="13"/>
  <c r="R32" i="30"/>
  <c r="R75" i="30" s="1"/>
  <c r="T32" i="13"/>
  <c r="T32" i="12"/>
  <c r="T44" i="11"/>
  <c r="T5" i="13"/>
  <c r="R5" i="30" s="1"/>
  <c r="R48" i="30" s="1"/>
  <c r="T5" i="12"/>
  <c r="T28" i="13"/>
  <c r="T28" i="12"/>
  <c r="R28" i="30" s="1"/>
  <c r="R71" i="30" s="1"/>
  <c r="T6" i="13"/>
  <c r="T6" i="12"/>
  <c r="R6" i="30" s="1"/>
  <c r="R49" i="30" s="1"/>
  <c r="R30" i="30"/>
  <c r="R73" i="30" s="1"/>
  <c r="T30" i="13"/>
  <c r="T30" i="12"/>
  <c r="R34" i="30"/>
  <c r="R77" i="30" s="1"/>
  <c r="T34" i="13"/>
  <c r="T34" i="12"/>
  <c r="T38" i="12"/>
  <c r="R38" i="30" s="1"/>
  <c r="R81" i="30" s="1"/>
  <c r="T38" i="13"/>
  <c r="K11" i="32"/>
  <c r="K9" i="31"/>
  <c r="K11" i="31"/>
  <c r="K7" i="31"/>
  <c r="K13" i="31" s="1"/>
  <c r="H9" i="31"/>
  <c r="H11" i="31"/>
  <c r="H7" i="31"/>
  <c r="H13" i="31" s="1"/>
  <c r="R44" i="11"/>
  <c r="P5" i="30"/>
  <c r="P48" i="30" s="1"/>
  <c r="P30" i="30"/>
  <c r="P73" i="30" s="1"/>
  <c r="P17" i="30"/>
  <c r="P60" i="30" s="1"/>
  <c r="P26" i="30"/>
  <c r="P69" i="30" s="1"/>
  <c r="M14" i="31"/>
  <c r="M15" i="31"/>
  <c r="M13" i="30"/>
  <c r="M56" i="30" s="1"/>
  <c r="M13" i="13"/>
  <c r="M13" i="12"/>
  <c r="M6" i="12"/>
  <c r="M6" i="30" s="1"/>
  <c r="M49" i="30" s="1"/>
  <c r="M6" i="13"/>
  <c r="M27" i="12"/>
  <c r="M27" i="13"/>
  <c r="M27" i="30" s="1"/>
  <c r="M70" i="30" s="1"/>
  <c r="M7" i="30"/>
  <c r="M50" i="30" s="1"/>
  <c r="M7" i="12"/>
  <c r="M7" i="13"/>
  <c r="M23" i="30"/>
  <c r="M66" i="30" s="1"/>
  <c r="M23" i="12"/>
  <c r="M23" i="13"/>
  <c r="M12" i="13"/>
  <c r="M12" i="12"/>
  <c r="M12" i="30" s="1"/>
  <c r="M55" i="30" s="1"/>
  <c r="M21" i="13"/>
  <c r="M21" i="12"/>
  <c r="M21" i="30" s="1"/>
  <c r="M64" i="30" s="1"/>
  <c r="M34" i="30"/>
  <c r="M77" i="30" s="1"/>
  <c r="M34" i="13"/>
  <c r="M34" i="12"/>
  <c r="M16" i="30"/>
  <c r="M59" i="30" s="1"/>
  <c r="M16" i="12"/>
  <c r="M16" i="13"/>
  <c r="Q14" i="31"/>
  <c r="Q15" i="31"/>
  <c r="G15" i="31"/>
  <c r="G14" i="31"/>
  <c r="V22" i="11"/>
  <c r="S22" i="12"/>
  <c r="V22" i="12" s="1"/>
  <c r="S22" i="13"/>
  <c r="V9" i="11"/>
  <c r="S9" i="13"/>
  <c r="S9" i="12"/>
  <c r="Q9" i="30" s="1"/>
  <c r="Q52" i="30" s="1"/>
  <c r="V12" i="11"/>
  <c r="S12" i="12"/>
  <c r="Q12" i="30" s="1"/>
  <c r="Q55" i="30" s="1"/>
  <c r="S12" i="13"/>
  <c r="V28" i="11"/>
  <c r="S28" i="12"/>
  <c r="V28" i="12" s="1"/>
  <c r="S28" i="13"/>
  <c r="V32" i="11"/>
  <c r="S32" i="12"/>
  <c r="V32" i="12" s="1"/>
  <c r="S32" i="13"/>
  <c r="V32" i="13" s="1"/>
  <c r="S37" i="12"/>
  <c r="V37" i="12" s="1"/>
  <c r="V37" i="11"/>
  <c r="S37" i="13"/>
  <c r="V37" i="13" s="1"/>
  <c r="S25" i="12"/>
  <c r="V25" i="12" s="1"/>
  <c r="S25" i="13"/>
  <c r="V25" i="11"/>
  <c r="V40" i="11"/>
  <c r="S40" i="13"/>
  <c r="S40" i="12"/>
  <c r="Q40" i="30" s="1"/>
  <c r="Q83" i="30" s="1"/>
  <c r="S13" i="13"/>
  <c r="V13" i="13" s="1"/>
  <c r="V13" i="11"/>
  <c r="S13" i="12"/>
  <c r="Q13" i="30" s="1"/>
  <c r="Q56" i="30" s="1"/>
  <c r="E13" i="32"/>
  <c r="I13" i="32"/>
  <c r="R20" i="30"/>
  <c r="R63" i="30" s="1"/>
  <c r="T20" i="12"/>
  <c r="T20" i="13"/>
  <c r="T18" i="13"/>
  <c r="T18" i="12"/>
  <c r="R18" i="30" s="1"/>
  <c r="R61" i="30" s="1"/>
  <c r="T8" i="13"/>
  <c r="T8" i="12"/>
  <c r="R8" i="30" s="1"/>
  <c r="R51" i="30" s="1"/>
  <c r="R15" i="30"/>
  <c r="R58" i="30" s="1"/>
  <c r="T15" i="12"/>
  <c r="T15" i="13"/>
  <c r="R10" i="30"/>
  <c r="R53" i="30" s="1"/>
  <c r="T10" i="12"/>
  <c r="T10" i="13"/>
  <c r="T41" i="12"/>
  <c r="R41" i="30" s="1"/>
  <c r="R84" i="30" s="1"/>
  <c r="T41" i="13"/>
  <c r="T16" i="13"/>
  <c r="T16" i="12"/>
  <c r="R16" i="30" s="1"/>
  <c r="R59" i="30" s="1"/>
  <c r="R22" i="30"/>
  <c r="R65" i="30" s="1"/>
  <c r="T22" i="12"/>
  <c r="T22" i="13"/>
  <c r="R39" i="30"/>
  <c r="R82" i="30" s="1"/>
  <c r="T39" i="13"/>
  <c r="T39" i="12"/>
  <c r="AI53" i="8"/>
  <c r="AE5" i="29"/>
  <c r="AE57" i="29" s="1"/>
  <c r="P9" i="30"/>
  <c r="P52" i="30" s="1"/>
  <c r="P22" i="30"/>
  <c r="P65" i="30" s="1"/>
  <c r="P42" i="30"/>
  <c r="P85" i="30" s="1"/>
  <c r="P33" i="30"/>
  <c r="P76" i="30" s="1"/>
  <c r="P35" i="30"/>
  <c r="P78" i="30" s="1"/>
  <c r="P27" i="30"/>
  <c r="P70" i="30" s="1"/>
  <c r="P32" i="30"/>
  <c r="P75" i="30" s="1"/>
  <c r="M35" i="30"/>
  <c r="M78" i="30" s="1"/>
  <c r="M35" i="12"/>
  <c r="M35" i="13"/>
  <c r="M39" i="12"/>
  <c r="M39" i="30" s="1"/>
  <c r="M82" i="30" s="1"/>
  <c r="M39" i="13"/>
  <c r="M11" i="12"/>
  <c r="M11" i="30" s="1"/>
  <c r="M54" i="30" s="1"/>
  <c r="M11" i="13"/>
  <c r="M24" i="30"/>
  <c r="M67" i="30" s="1"/>
  <c r="M24" i="12"/>
  <c r="M24" i="13"/>
  <c r="M18" i="30"/>
  <c r="M61" i="30" s="1"/>
  <c r="M18" i="12"/>
  <c r="M18" i="13"/>
  <c r="M38" i="13"/>
  <c r="M38" i="12"/>
  <c r="M38" i="30" s="1"/>
  <c r="M81" i="30" s="1"/>
  <c r="M14" i="13"/>
  <c r="M14" i="12"/>
  <c r="M14" i="30" s="1"/>
  <c r="M57" i="30" s="1"/>
  <c r="M36" i="30"/>
  <c r="M79" i="30" s="1"/>
  <c r="M36" i="12"/>
  <c r="M36" i="13"/>
  <c r="M37" i="30"/>
  <c r="M80" i="30" s="1"/>
  <c r="M37" i="13"/>
  <c r="M37" i="12"/>
  <c r="M9" i="12"/>
  <c r="M9" i="30" s="1"/>
  <c r="M52" i="30" s="1"/>
  <c r="M9" i="13"/>
  <c r="N44" i="13"/>
  <c r="T14" i="31"/>
  <c r="T15" i="31"/>
  <c r="C9" i="31"/>
  <c r="C11" i="31"/>
  <c r="C7" i="31"/>
  <c r="C13" i="31" s="1"/>
  <c r="Q20" i="30"/>
  <c r="Q63" i="30" s="1"/>
  <c r="V20" i="11"/>
  <c r="S20" i="13"/>
  <c r="V20" i="13" s="1"/>
  <c r="S20" i="12"/>
  <c r="V20" i="12" s="1"/>
  <c r="Q34" i="30"/>
  <c r="Q77" i="30" s="1"/>
  <c r="S34" i="13"/>
  <c r="V34" i="13" s="1"/>
  <c r="V34" i="11"/>
  <c r="S34" i="12"/>
  <c r="V34" i="12" s="1"/>
  <c r="Q8" i="30"/>
  <c r="Q51" i="30" s="1"/>
  <c r="V8" i="11"/>
  <c r="S8" i="12"/>
  <c r="S8" i="13"/>
  <c r="V8" i="13" s="1"/>
  <c r="Q41" i="30"/>
  <c r="Q84" i="30" s="1"/>
  <c r="S41" i="13"/>
  <c r="V41" i="13" s="1"/>
  <c r="V41" i="11"/>
  <c r="S41" i="12"/>
  <c r="Q21" i="30"/>
  <c r="Q64" i="30" s="1"/>
  <c r="V21" i="11"/>
  <c r="S21" i="12"/>
  <c r="V21" i="12" s="1"/>
  <c r="S21" i="13"/>
  <c r="V21" i="13" s="1"/>
  <c r="Q27" i="30"/>
  <c r="Q70" i="30" s="1"/>
  <c r="V27" i="11"/>
  <c r="S27" i="12"/>
  <c r="V27" i="12" s="1"/>
  <c r="S27" i="13"/>
  <c r="V27" i="13" s="1"/>
  <c r="Q24" i="30"/>
  <c r="Q67" i="30" s="1"/>
  <c r="S24" i="13"/>
  <c r="V24" i="13" s="1"/>
  <c r="V24" i="11"/>
  <c r="S24" i="12"/>
  <c r="V24" i="12" s="1"/>
  <c r="Q16" i="30"/>
  <c r="Q59" i="30" s="1"/>
  <c r="S16" i="13"/>
  <c r="V16" i="13" s="1"/>
  <c r="S16" i="12"/>
  <c r="V16" i="11"/>
  <c r="Q38" i="30"/>
  <c r="Q81" i="30" s="1"/>
  <c r="S38" i="13"/>
  <c r="V38" i="13" s="1"/>
  <c r="S38" i="12"/>
  <c r="V38" i="12" s="1"/>
  <c r="V38" i="11"/>
  <c r="Q7" i="30"/>
  <c r="Q50" i="30" s="1"/>
  <c r="S7" i="12"/>
  <c r="V7" i="12" s="1"/>
  <c r="S7" i="13"/>
  <c r="V7" i="13" s="1"/>
  <c r="V7" i="11"/>
  <c r="R12" i="30"/>
  <c r="R55" i="30" s="1"/>
  <c r="T12" i="12"/>
  <c r="T12" i="13"/>
  <c r="T19" i="12"/>
  <c r="R19" i="30" s="1"/>
  <c r="R62" i="30" s="1"/>
  <c r="T19" i="13"/>
  <c r="T40" i="13"/>
  <c r="T40" i="12"/>
  <c r="R40" i="30" s="1"/>
  <c r="R83" i="30" s="1"/>
  <c r="R25" i="30"/>
  <c r="R68" i="30" s="1"/>
  <c r="T25" i="13"/>
  <c r="T25" i="12"/>
  <c r="R35" i="30"/>
  <c r="R78" i="30" s="1"/>
  <c r="T35" i="13"/>
  <c r="T35" i="12"/>
  <c r="T31" i="13"/>
  <c r="T31" i="12"/>
  <c r="R31" i="30" s="1"/>
  <c r="R74" i="30" s="1"/>
  <c r="T13" i="13"/>
  <c r="T13" i="12"/>
  <c r="R13" i="30" s="1"/>
  <c r="R56" i="30" s="1"/>
  <c r="R14" i="30"/>
  <c r="R57" i="30" s="1"/>
  <c r="T14" i="13"/>
  <c r="T14" i="12"/>
  <c r="R9" i="30"/>
  <c r="R52" i="30" s="1"/>
  <c r="T9" i="12"/>
  <c r="T9" i="13"/>
  <c r="E15" i="31"/>
  <c r="E14" i="31"/>
  <c r="I15" i="32"/>
  <c r="I14" i="32"/>
  <c r="M53" i="8"/>
  <c r="AB53" i="7"/>
  <c r="AB51" i="8"/>
  <c r="Y45" i="8"/>
  <c r="X45" i="29" s="1"/>
  <c r="X97" i="29" s="1"/>
  <c r="Y31" i="8"/>
  <c r="X31" i="29" s="1"/>
  <c r="X83" i="29" s="1"/>
  <c r="Y50" i="8"/>
  <c r="X50" i="29" s="1"/>
  <c r="X102" i="29" s="1"/>
  <c r="Y27" i="8"/>
  <c r="X27" i="29" s="1"/>
  <c r="X79" i="29" s="1"/>
  <c r="AB53" i="9"/>
  <c r="Y53" i="9"/>
  <c r="Y29" i="8"/>
  <c r="X29" i="29" s="1"/>
  <c r="X81" i="29" s="1"/>
  <c r="Y43" i="8"/>
  <c r="X43" i="29" s="1"/>
  <c r="X95" i="29" s="1"/>
  <c r="Y48" i="8"/>
  <c r="X48" i="29" s="1"/>
  <c r="X100" i="29" s="1"/>
  <c r="Y26" i="8"/>
  <c r="X26" i="29" s="1"/>
  <c r="X78" i="29" s="1"/>
  <c r="Y24" i="8"/>
  <c r="X24" i="29" s="1"/>
  <c r="X76" i="29" s="1"/>
  <c r="Y28" i="8"/>
  <c r="X28" i="29" s="1"/>
  <c r="X80" i="29" s="1"/>
  <c r="Y36" i="8"/>
  <c r="X36" i="29" s="1"/>
  <c r="X88" i="29" s="1"/>
  <c r="E42" i="5"/>
  <c r="W46" i="13"/>
  <c r="W46" i="12"/>
  <c r="W46" i="11"/>
  <c r="W49" i="11" s="1"/>
  <c r="W46" i="10"/>
  <c r="Y40" i="8"/>
  <c r="X40" i="29" s="1"/>
  <c r="X92" i="29" s="1"/>
  <c r="Y21" i="8"/>
  <c r="X21" i="29" s="1"/>
  <c r="X73" i="29" s="1"/>
  <c r="Y12" i="8"/>
  <c r="X12" i="29" s="1"/>
  <c r="X64" i="29" s="1"/>
  <c r="Y37" i="8"/>
  <c r="X37" i="29" s="1"/>
  <c r="X89" i="29" s="1"/>
  <c r="Y25" i="8"/>
  <c r="X25" i="29" s="1"/>
  <c r="X77" i="29" s="1"/>
  <c r="Y7" i="8"/>
  <c r="X7" i="29" s="1"/>
  <c r="X59" i="29" s="1"/>
  <c r="Y8" i="8"/>
  <c r="X8" i="29" s="1"/>
  <c r="X60" i="29" s="1"/>
  <c r="Y42" i="8"/>
  <c r="X42" i="29" s="1"/>
  <c r="X94" i="29" s="1"/>
  <c r="Y47" i="8"/>
  <c r="X47" i="29" s="1"/>
  <c r="X99" i="29" s="1"/>
  <c r="Y16" i="8"/>
  <c r="X16" i="29" s="1"/>
  <c r="X68" i="29" s="1"/>
  <c r="Y15" i="8"/>
  <c r="X15" i="29" s="1"/>
  <c r="X67" i="29" s="1"/>
  <c r="Y23" i="8"/>
  <c r="X23" i="29" s="1"/>
  <c r="X75" i="29" s="1"/>
  <c r="Y19" i="8"/>
  <c r="X19" i="29" s="1"/>
  <c r="X71" i="29" s="1"/>
  <c r="Y49" i="8"/>
  <c r="X49" i="29" s="1"/>
  <c r="X101" i="29" s="1"/>
  <c r="Y46" i="8"/>
  <c r="X46" i="29" s="1"/>
  <c r="X98" i="29" s="1"/>
  <c r="Y5" i="8"/>
  <c r="X5" i="29" s="1"/>
  <c r="X57" i="29" s="1"/>
  <c r="Y20" i="8"/>
  <c r="X20" i="29" s="1"/>
  <c r="X72" i="29" s="1"/>
  <c r="Y22" i="8"/>
  <c r="X22" i="29" s="1"/>
  <c r="X74" i="29" s="1"/>
  <c r="Y35" i="8"/>
  <c r="X35" i="29" s="1"/>
  <c r="X87" i="29" s="1"/>
  <c r="Y13" i="8"/>
  <c r="X13" i="29" s="1"/>
  <c r="X65" i="29" s="1"/>
  <c r="Y38" i="8"/>
  <c r="X38" i="29" s="1"/>
  <c r="X90" i="29" s="1"/>
  <c r="Y41" i="8"/>
  <c r="X41" i="29" s="1"/>
  <c r="X93" i="29" s="1"/>
  <c r="Y32" i="8"/>
  <c r="X32" i="29" s="1"/>
  <c r="X84" i="29" s="1"/>
  <c r="L11" i="11"/>
  <c r="L9" i="11"/>
  <c r="L7" i="11"/>
  <c r="L6" i="11"/>
  <c r="L16" i="11"/>
  <c r="L27" i="11"/>
  <c r="L13" i="11"/>
  <c r="L8" i="11"/>
  <c r="L24" i="11"/>
  <c r="L40" i="11"/>
  <c r="L12" i="11"/>
  <c r="L10" i="11"/>
  <c r="L39" i="11"/>
  <c r="L5" i="11"/>
  <c r="L29" i="11"/>
  <c r="L18" i="11"/>
  <c r="L17" i="11"/>
  <c r="L19" i="11"/>
  <c r="L28" i="11"/>
  <c r="L37" i="11"/>
  <c r="L30" i="11"/>
  <c r="L22" i="11"/>
  <c r="L21" i="11"/>
  <c r="L23" i="11"/>
  <c r="L32" i="11"/>
  <c r="L41" i="11"/>
  <c r="L34" i="11"/>
  <c r="L26" i="11"/>
  <c r="L31" i="11"/>
  <c r="L15" i="11"/>
  <c r="L36" i="11"/>
  <c r="L25" i="11"/>
  <c r="L42" i="11"/>
  <c r="L14" i="11"/>
  <c r="L35" i="11"/>
  <c r="L33" i="11"/>
  <c r="L38" i="11"/>
  <c r="L20" i="11"/>
  <c r="Y30" i="8"/>
  <c r="X30" i="29" s="1"/>
  <c r="X82" i="29" s="1"/>
  <c r="Y10" i="8"/>
  <c r="X10" i="29" s="1"/>
  <c r="X62" i="29" s="1"/>
  <c r="R53" i="8"/>
  <c r="S58" i="8" s="1"/>
  <c r="AB50" i="8"/>
  <c r="AB49" i="8"/>
  <c r="Y6" i="8"/>
  <c r="X6" i="29" s="1"/>
  <c r="X58" i="29" s="1"/>
  <c r="AE55" i="7"/>
  <c r="AE55" i="8"/>
  <c r="AO54" i="8" s="1"/>
  <c r="AE55" i="9"/>
  <c r="Y14" i="8"/>
  <c r="X14" i="29" s="1"/>
  <c r="X66" i="29" s="1"/>
  <c r="Y9" i="8"/>
  <c r="X9" i="29" s="1"/>
  <c r="X61" i="29" s="1"/>
  <c r="Y44" i="8"/>
  <c r="X44" i="29" s="1"/>
  <c r="X96" i="29" s="1"/>
  <c r="Y34" i="8"/>
  <c r="X34" i="29" s="1"/>
  <c r="X86" i="29" s="1"/>
  <c r="AB28" i="8"/>
  <c r="S53" i="8"/>
  <c r="V53" i="8"/>
  <c r="Y18" i="8"/>
  <c r="X18" i="29" s="1"/>
  <c r="X70" i="29" s="1"/>
  <c r="Y33" i="8"/>
  <c r="X33" i="29" s="1"/>
  <c r="X85" i="29" s="1"/>
  <c r="AA47" i="13"/>
  <c r="AA47" i="12"/>
  <c r="AA47" i="11"/>
  <c r="AA47" i="10"/>
  <c r="Y17" i="8"/>
  <c r="X17" i="29" s="1"/>
  <c r="X69" i="29" s="1"/>
  <c r="Y39" i="8"/>
  <c r="X39" i="29" s="1"/>
  <c r="X91" i="29" s="1"/>
  <c r="AB43" i="8"/>
  <c r="Y11" i="8"/>
  <c r="X11" i="29" s="1"/>
  <c r="X63" i="29" s="1"/>
  <c r="E23" i="5"/>
  <c r="AE57" i="6"/>
  <c r="H9" i="32" l="1"/>
  <c r="H11" i="32"/>
  <c r="H7" i="32"/>
  <c r="H13" i="32" s="1"/>
  <c r="G9" i="32"/>
  <c r="G11" i="32"/>
  <c r="U9" i="31"/>
  <c r="U11" i="31"/>
  <c r="U7" i="31"/>
  <c r="U13" i="31" s="1"/>
  <c r="V18" i="12"/>
  <c r="V19" i="12"/>
  <c r="M44" i="12"/>
  <c r="V44" i="11"/>
  <c r="V31" i="13"/>
  <c r="L12" i="30"/>
  <c r="L55" i="30" s="1"/>
  <c r="V41" i="12"/>
  <c r="Q25" i="30"/>
  <c r="Q68" i="30" s="1"/>
  <c r="Q37" i="30"/>
  <c r="Q80" i="30" s="1"/>
  <c r="Q32" i="30"/>
  <c r="Q75" i="30" s="1"/>
  <c r="Q28" i="30"/>
  <c r="Q71" i="30" s="1"/>
  <c r="Q22" i="30"/>
  <c r="Q65" i="30" s="1"/>
  <c r="K14" i="31"/>
  <c r="K15" i="31"/>
  <c r="Q17" i="30"/>
  <c r="Q60" i="30" s="1"/>
  <c r="Q42" i="30"/>
  <c r="Q85" i="30" s="1"/>
  <c r="Q10" i="30"/>
  <c r="Q53" i="30" s="1"/>
  <c r="Q18" i="30"/>
  <c r="Q61" i="30" s="1"/>
  <c r="Q30" i="30"/>
  <c r="Q73" i="30" s="1"/>
  <c r="Q19" i="30"/>
  <c r="Q62" i="30" s="1"/>
  <c r="G7" i="32" s="1"/>
  <c r="G13" i="32" s="1"/>
  <c r="M5" i="30"/>
  <c r="M48" i="30" s="1"/>
  <c r="V35" i="13"/>
  <c r="V33" i="13"/>
  <c r="Q36" i="30"/>
  <c r="Q79" i="30" s="1"/>
  <c r="Q31" i="30"/>
  <c r="Q74" i="30" s="1"/>
  <c r="Q23" i="30"/>
  <c r="Q66" i="30" s="1"/>
  <c r="Q26" i="30"/>
  <c r="Q69" i="30" s="1"/>
  <c r="V16" i="12"/>
  <c r="V8" i="12"/>
  <c r="V13" i="12"/>
  <c r="V40" i="12"/>
  <c r="V28" i="13"/>
  <c r="V12" i="13"/>
  <c r="V9" i="12"/>
  <c r="V22" i="13"/>
  <c r="F9" i="32"/>
  <c r="F11" i="32"/>
  <c r="F7" i="32"/>
  <c r="F13" i="32" s="1"/>
  <c r="H15" i="31"/>
  <c r="H14" i="31"/>
  <c r="T44" i="12"/>
  <c r="V42" i="13"/>
  <c r="V39" i="13"/>
  <c r="V10" i="12"/>
  <c r="V18" i="13"/>
  <c r="V30" i="13"/>
  <c r="V15" i="13"/>
  <c r="M44" i="13"/>
  <c r="V29" i="13"/>
  <c r="V35" i="12"/>
  <c r="V33" i="12"/>
  <c r="V6" i="12"/>
  <c r="V14" i="13"/>
  <c r="S44" i="13"/>
  <c r="V5" i="13"/>
  <c r="V36" i="13"/>
  <c r="V31" i="12"/>
  <c r="V23" i="12"/>
  <c r="N11" i="31"/>
  <c r="N9" i="31"/>
  <c r="N7" i="31"/>
  <c r="N13" i="31" s="1"/>
  <c r="C14" i="31"/>
  <c r="C15" i="31"/>
  <c r="V40" i="13"/>
  <c r="V25" i="13"/>
  <c r="V12" i="12"/>
  <c r="V9" i="13"/>
  <c r="T44" i="13"/>
  <c r="V11" i="12"/>
  <c r="V39" i="12"/>
  <c r="V19" i="13"/>
  <c r="V15" i="12"/>
  <c r="V29" i="12"/>
  <c r="V6" i="13"/>
  <c r="V14" i="12"/>
  <c r="V5" i="12"/>
  <c r="V44" i="12" s="1"/>
  <c r="S44" i="12"/>
  <c r="V26" i="13"/>
  <c r="D14" i="32"/>
  <c r="D15" i="32"/>
  <c r="AB39" i="8"/>
  <c r="AB30" i="8"/>
  <c r="AB22" i="8"/>
  <c r="AB33" i="8"/>
  <c r="AB9" i="8"/>
  <c r="AB13" i="8"/>
  <c r="AB5" i="8"/>
  <c r="AB19" i="8"/>
  <c r="AB47" i="8"/>
  <c r="AB25" i="8"/>
  <c r="AB40" i="8"/>
  <c r="AB27" i="8"/>
  <c r="AB31" i="8"/>
  <c r="AB11" i="8"/>
  <c r="AB46" i="8"/>
  <c r="AB12" i="8"/>
  <c r="AB14" i="8"/>
  <c r="AB6" i="8"/>
  <c r="AB10" i="8"/>
  <c r="AB32" i="8"/>
  <c r="AB35" i="8"/>
  <c r="AB36" i="8"/>
  <c r="AB23" i="8"/>
  <c r="AB42" i="8"/>
  <c r="AB37" i="8"/>
  <c r="AB24" i="8"/>
  <c r="AB29" i="8"/>
  <c r="AB18" i="8"/>
  <c r="AB34" i="8"/>
  <c r="AB41" i="8"/>
  <c r="AB15" i="8"/>
  <c r="AB8" i="8"/>
  <c r="AB53" i="8" s="1"/>
  <c r="AB26" i="8"/>
  <c r="AB17" i="8"/>
  <c r="AB44" i="8"/>
  <c r="AB38" i="8"/>
  <c r="AB20" i="8"/>
  <c r="AB16" i="8"/>
  <c r="AB7" i="8"/>
  <c r="AB21" i="8"/>
  <c r="AB48" i="8"/>
  <c r="AB45" i="8"/>
  <c r="P33" i="11"/>
  <c r="AA33" i="11" s="1"/>
  <c r="L33" i="12"/>
  <c r="P33" i="12" s="1"/>
  <c r="L33" i="13"/>
  <c r="P33" i="13" s="1"/>
  <c r="P23" i="11"/>
  <c r="AA23" i="11" s="1"/>
  <c r="L23" i="12"/>
  <c r="P23" i="12" s="1"/>
  <c r="L23" i="13"/>
  <c r="P23" i="13" s="1"/>
  <c r="P18" i="11"/>
  <c r="AA18" i="11" s="1"/>
  <c r="L18" i="12"/>
  <c r="P18" i="12" s="1"/>
  <c r="L18" i="13"/>
  <c r="P18" i="13" s="1"/>
  <c r="P6" i="11"/>
  <c r="AA6" i="11" s="1"/>
  <c r="L6" i="12"/>
  <c r="P6" i="12" s="1"/>
  <c r="L6" i="13"/>
  <c r="P6" i="13" s="1"/>
  <c r="S49" i="9"/>
  <c r="S49" i="29" s="1"/>
  <c r="S101" i="29" s="1"/>
  <c r="S46" i="9"/>
  <c r="S46" i="29" s="1"/>
  <c r="S98" i="29" s="1"/>
  <c r="S17" i="9"/>
  <c r="S17" i="29" s="1"/>
  <c r="S69" i="29" s="1"/>
  <c r="S19" i="9"/>
  <c r="S19" i="29" s="1"/>
  <c r="S71" i="29" s="1"/>
  <c r="S34" i="9"/>
  <c r="S34" i="29" s="1"/>
  <c r="S86" i="29" s="1"/>
  <c r="S12" i="9"/>
  <c r="S12" i="29" s="1"/>
  <c r="S64" i="29" s="1"/>
  <c r="S11" i="9"/>
  <c r="S11" i="29" s="1"/>
  <c r="S63" i="29" s="1"/>
  <c r="S27" i="9"/>
  <c r="S27" i="29" s="1"/>
  <c r="S79" i="29" s="1"/>
  <c r="S24" i="9"/>
  <c r="S24" i="29" s="1"/>
  <c r="S76" i="29" s="1"/>
  <c r="S32" i="9"/>
  <c r="S32" i="29" s="1"/>
  <c r="S84" i="29" s="1"/>
  <c r="S14" i="9"/>
  <c r="S14" i="29" s="1"/>
  <c r="S66" i="29" s="1"/>
  <c r="S25" i="9"/>
  <c r="S25" i="29" s="1"/>
  <c r="S77" i="29" s="1"/>
  <c r="S31" i="9"/>
  <c r="S31" i="29" s="1"/>
  <c r="S83" i="29" s="1"/>
  <c r="S43" i="9"/>
  <c r="S43" i="29" s="1"/>
  <c r="S95" i="29" s="1"/>
  <c r="S50" i="9"/>
  <c r="S50" i="29" s="1"/>
  <c r="S102" i="29" s="1"/>
  <c r="S38" i="9"/>
  <c r="S38" i="29" s="1"/>
  <c r="S90" i="29" s="1"/>
  <c r="S7" i="9"/>
  <c r="S7" i="29" s="1"/>
  <c r="S59" i="29" s="1"/>
  <c r="S42" i="9"/>
  <c r="S42" i="29" s="1"/>
  <c r="S94" i="29" s="1"/>
  <c r="S6" i="9"/>
  <c r="S6" i="29" s="1"/>
  <c r="S58" i="29" s="1"/>
  <c r="S13" i="9"/>
  <c r="S13" i="29" s="1"/>
  <c r="S65" i="29" s="1"/>
  <c r="S41" i="9"/>
  <c r="S41" i="29" s="1"/>
  <c r="S93" i="29" s="1"/>
  <c r="S45" i="9"/>
  <c r="S45" i="29" s="1"/>
  <c r="S97" i="29" s="1"/>
  <c r="S47" i="9"/>
  <c r="S47" i="29" s="1"/>
  <c r="S99" i="29" s="1"/>
  <c r="S8" i="9"/>
  <c r="S8" i="29" s="1"/>
  <c r="S60" i="29" s="1"/>
  <c r="S37" i="9"/>
  <c r="S37" i="29" s="1"/>
  <c r="S89" i="29" s="1"/>
  <c r="S33" i="9"/>
  <c r="S33" i="29" s="1"/>
  <c r="S85" i="29" s="1"/>
  <c r="S10" i="9"/>
  <c r="S10" i="29" s="1"/>
  <c r="S62" i="29" s="1"/>
  <c r="S23" i="9"/>
  <c r="S23" i="29" s="1"/>
  <c r="S75" i="29" s="1"/>
  <c r="S21" i="9"/>
  <c r="S21" i="29" s="1"/>
  <c r="S73" i="29" s="1"/>
  <c r="S26" i="9"/>
  <c r="S26" i="29" s="1"/>
  <c r="S78" i="29" s="1"/>
  <c r="S30" i="9"/>
  <c r="S30" i="29" s="1"/>
  <c r="S82" i="29" s="1"/>
  <c r="S44" i="9"/>
  <c r="S44" i="29" s="1"/>
  <c r="S96" i="29" s="1"/>
  <c r="S40" i="9"/>
  <c r="S40" i="29" s="1"/>
  <c r="S92" i="29" s="1"/>
  <c r="S39" i="9"/>
  <c r="S39" i="29" s="1"/>
  <c r="S91" i="29" s="1"/>
  <c r="S48" i="9"/>
  <c r="S48" i="29" s="1"/>
  <c r="S100" i="29" s="1"/>
  <c r="S36" i="9"/>
  <c r="S36" i="29" s="1"/>
  <c r="S88" i="29" s="1"/>
  <c r="S15" i="9"/>
  <c r="S15" i="29" s="1"/>
  <c r="S67" i="29" s="1"/>
  <c r="S35" i="9"/>
  <c r="S35" i="29" s="1"/>
  <c r="S87" i="29" s="1"/>
  <c r="S20" i="9"/>
  <c r="S20" i="29" s="1"/>
  <c r="S72" i="29" s="1"/>
  <c r="S16" i="9"/>
  <c r="S16" i="29" s="1"/>
  <c r="S68" i="29" s="1"/>
  <c r="S5" i="9"/>
  <c r="S5" i="29" s="1"/>
  <c r="S57" i="29" s="1"/>
  <c r="S51" i="9"/>
  <c r="S51" i="29" s="1"/>
  <c r="S103" i="29" s="1"/>
  <c r="S9" i="9"/>
  <c r="S9" i="29" s="1"/>
  <c r="S61" i="29" s="1"/>
  <c r="S28" i="9"/>
  <c r="S28" i="29" s="1"/>
  <c r="S80" i="29" s="1"/>
  <c r="S18" i="9"/>
  <c r="S18" i="29" s="1"/>
  <c r="S70" i="29" s="1"/>
  <c r="S22" i="9"/>
  <c r="S22" i="29" s="1"/>
  <c r="S74" i="29" s="1"/>
  <c r="S29" i="9"/>
  <c r="S29" i="29" s="1"/>
  <c r="S81" i="29" s="1"/>
  <c r="P35" i="11"/>
  <c r="AA35" i="11" s="1"/>
  <c r="L35" i="12"/>
  <c r="P35" i="12" s="1"/>
  <c r="L35" i="13"/>
  <c r="P35" i="13" s="1"/>
  <c r="P36" i="11"/>
  <c r="AA36" i="11" s="1"/>
  <c r="L36" i="12"/>
  <c r="P36" i="12" s="1"/>
  <c r="L36" i="13"/>
  <c r="P36" i="13" s="1"/>
  <c r="L34" i="12"/>
  <c r="P34" i="12" s="1"/>
  <c r="L34" i="13"/>
  <c r="P34" i="13" s="1"/>
  <c r="P34" i="11"/>
  <c r="AA34" i="11" s="1"/>
  <c r="P21" i="11"/>
  <c r="AA21" i="11" s="1"/>
  <c r="L21" i="12"/>
  <c r="P21" i="12" s="1"/>
  <c r="L21" i="13"/>
  <c r="P21" i="13" s="1"/>
  <c r="P28" i="11"/>
  <c r="AA28" i="11" s="1"/>
  <c r="L28" i="12"/>
  <c r="P28" i="12" s="1"/>
  <c r="L28" i="13"/>
  <c r="P28" i="13" s="1"/>
  <c r="L29" i="12"/>
  <c r="P29" i="12" s="1"/>
  <c r="L29" i="13"/>
  <c r="P29" i="13" s="1"/>
  <c r="P29" i="11"/>
  <c r="AA29" i="11" s="1"/>
  <c r="P12" i="11"/>
  <c r="AA12" i="11" s="1"/>
  <c r="L12" i="12"/>
  <c r="P12" i="12" s="1"/>
  <c r="L12" i="13"/>
  <c r="P12" i="13" s="1"/>
  <c r="L13" i="12"/>
  <c r="P13" i="12" s="1"/>
  <c r="L13" i="13"/>
  <c r="P13" i="13" s="1"/>
  <c r="P13" i="11"/>
  <c r="AA13" i="11" s="1"/>
  <c r="P7" i="11"/>
  <c r="AA7" i="11" s="1"/>
  <c r="L7" i="12"/>
  <c r="P7" i="12" s="1"/>
  <c r="L7" i="13"/>
  <c r="P7" i="13" s="1"/>
  <c r="AG57" i="6"/>
  <c r="AG55" i="9"/>
  <c r="AG55" i="8"/>
  <c r="AG55" i="7"/>
  <c r="P10" i="11"/>
  <c r="AA10" i="11" s="1"/>
  <c r="L10" i="12"/>
  <c r="P10" i="12" s="1"/>
  <c r="L10" i="13"/>
  <c r="P10" i="13" s="1"/>
  <c r="E29" i="5"/>
  <c r="P20" i="11"/>
  <c r="AA20" i="11" s="1"/>
  <c r="L20" i="12"/>
  <c r="P20" i="12" s="1"/>
  <c r="L20" i="13"/>
  <c r="P20" i="13" s="1"/>
  <c r="P14" i="11"/>
  <c r="AA14" i="11" s="1"/>
  <c r="L14" i="12"/>
  <c r="P14" i="12" s="1"/>
  <c r="L14" i="13"/>
  <c r="P14" i="13" s="1"/>
  <c r="P15" i="11"/>
  <c r="AA15" i="11" s="1"/>
  <c r="L15" i="12"/>
  <c r="P15" i="12" s="1"/>
  <c r="L15" i="13"/>
  <c r="P15" i="13" s="1"/>
  <c r="P41" i="11"/>
  <c r="AA41" i="11" s="1"/>
  <c r="L41" i="12"/>
  <c r="P41" i="12" s="1"/>
  <c r="L41" i="13"/>
  <c r="P41" i="13" s="1"/>
  <c r="P22" i="11"/>
  <c r="AA22" i="11" s="1"/>
  <c r="L22" i="12"/>
  <c r="P22" i="12" s="1"/>
  <c r="L22" i="13"/>
  <c r="P22" i="13" s="1"/>
  <c r="P19" i="11"/>
  <c r="AA19" i="11" s="1"/>
  <c r="L19" i="12"/>
  <c r="P19" i="12" s="1"/>
  <c r="L19" i="13"/>
  <c r="P19" i="13" s="1"/>
  <c r="P5" i="11"/>
  <c r="L5" i="12"/>
  <c r="L5" i="30" s="1"/>
  <c r="L48" i="30" s="1"/>
  <c r="L5" i="13"/>
  <c r="L44" i="11"/>
  <c r="P40" i="11"/>
  <c r="AA40" i="11" s="1"/>
  <c r="L40" i="12"/>
  <c r="P40" i="12" s="1"/>
  <c r="L40" i="13"/>
  <c r="P40" i="13" s="1"/>
  <c r="P27" i="11"/>
  <c r="AA27" i="11" s="1"/>
  <c r="L27" i="12"/>
  <c r="P27" i="12" s="1"/>
  <c r="L27" i="13"/>
  <c r="P27" i="13" s="1"/>
  <c r="L9" i="12"/>
  <c r="P9" i="12" s="1"/>
  <c r="L9" i="13"/>
  <c r="P9" i="13" s="1"/>
  <c r="P9" i="11"/>
  <c r="AA9" i="11" s="1"/>
  <c r="P25" i="11"/>
  <c r="AA25" i="11" s="1"/>
  <c r="L25" i="12"/>
  <c r="P25" i="12" s="1"/>
  <c r="L25" i="13"/>
  <c r="P25" i="13" s="1"/>
  <c r="L26" i="12"/>
  <c r="P26" i="12" s="1"/>
  <c r="P26" i="11"/>
  <c r="AA26" i="11" s="1"/>
  <c r="L26" i="13"/>
  <c r="P26" i="13" s="1"/>
  <c r="L37" i="12"/>
  <c r="P37" i="12" s="1"/>
  <c r="L37" i="13"/>
  <c r="P37" i="13" s="1"/>
  <c r="P37" i="11"/>
  <c r="AA37" i="11" s="1"/>
  <c r="P8" i="11"/>
  <c r="AA8" i="11" s="1"/>
  <c r="L8" i="12"/>
  <c r="P8" i="12" s="1"/>
  <c r="L8" i="13"/>
  <c r="P8" i="13" s="1"/>
  <c r="P38" i="11"/>
  <c r="AA38" i="11" s="1"/>
  <c r="L38" i="12"/>
  <c r="P38" i="12" s="1"/>
  <c r="L38" i="13"/>
  <c r="P38" i="13" s="1"/>
  <c r="L42" i="12"/>
  <c r="P42" i="12" s="1"/>
  <c r="P42" i="11"/>
  <c r="AA42" i="11" s="1"/>
  <c r="L42" i="13"/>
  <c r="P42" i="13" s="1"/>
  <c r="P31" i="11"/>
  <c r="AA31" i="11" s="1"/>
  <c r="L31" i="12"/>
  <c r="P31" i="12" s="1"/>
  <c r="L31" i="13"/>
  <c r="P31" i="13" s="1"/>
  <c r="P32" i="11"/>
  <c r="AA32" i="11" s="1"/>
  <c r="L32" i="12"/>
  <c r="P32" i="12" s="1"/>
  <c r="L32" i="13"/>
  <c r="P32" i="13" s="1"/>
  <c r="P30" i="11"/>
  <c r="AA30" i="11" s="1"/>
  <c r="L30" i="12"/>
  <c r="P30" i="12" s="1"/>
  <c r="L30" i="13"/>
  <c r="P30" i="13" s="1"/>
  <c r="L17" i="12"/>
  <c r="P17" i="12" s="1"/>
  <c r="L17" i="13"/>
  <c r="P17" i="13" s="1"/>
  <c r="P17" i="11"/>
  <c r="AA17" i="11" s="1"/>
  <c r="P39" i="11"/>
  <c r="AA39" i="11" s="1"/>
  <c r="L39" i="12"/>
  <c r="P39" i="12" s="1"/>
  <c r="L39" i="13"/>
  <c r="P39" i="13" s="1"/>
  <c r="P24" i="11"/>
  <c r="AA24" i="11" s="1"/>
  <c r="L24" i="12"/>
  <c r="P24" i="12" s="1"/>
  <c r="L24" i="13"/>
  <c r="P24" i="13" s="1"/>
  <c r="P16" i="11"/>
  <c r="AA16" i="11" s="1"/>
  <c r="L16" i="12"/>
  <c r="P16" i="12" s="1"/>
  <c r="L16" i="13"/>
  <c r="P16" i="13" s="1"/>
  <c r="P11" i="11"/>
  <c r="AA11" i="11" s="1"/>
  <c r="L11" i="12"/>
  <c r="P11" i="12" s="1"/>
  <c r="L11" i="13"/>
  <c r="P11" i="13" s="1"/>
  <c r="Y53" i="8"/>
  <c r="E45" i="5"/>
  <c r="X46" i="13"/>
  <c r="X46" i="12"/>
  <c r="X46" i="11"/>
  <c r="X46" i="10"/>
  <c r="E46" i="5"/>
  <c r="L16" i="30" l="1"/>
  <c r="L59" i="30" s="1"/>
  <c r="L30" i="30"/>
  <c r="L73" i="30" s="1"/>
  <c r="L38" i="30"/>
  <c r="L81" i="30" s="1"/>
  <c r="F15" i="32"/>
  <c r="F14" i="32"/>
  <c r="L15" i="30"/>
  <c r="L58" i="30" s="1"/>
  <c r="L10" i="30"/>
  <c r="L53" i="30" s="1"/>
  <c r="L7" i="30"/>
  <c r="L50" i="30" s="1"/>
  <c r="L28" i="30"/>
  <c r="L71" i="30" s="1"/>
  <c r="L35" i="30"/>
  <c r="L78" i="30" s="1"/>
  <c r="L8" i="30"/>
  <c r="L51" i="30" s="1"/>
  <c r="G15" i="32"/>
  <c r="G14" i="32"/>
  <c r="L24" i="30"/>
  <c r="L67" i="30" s="1"/>
  <c r="L32" i="30"/>
  <c r="L75" i="30" s="1"/>
  <c r="V44" i="13"/>
  <c r="L9" i="30"/>
  <c r="L52" i="30" s="1"/>
  <c r="L19" i="30"/>
  <c r="L62" i="30" s="1"/>
  <c r="L14" i="30"/>
  <c r="L57" i="30" s="1"/>
  <c r="L37" i="30"/>
  <c r="L80" i="30" s="1"/>
  <c r="C9" i="32"/>
  <c r="C11" i="32"/>
  <c r="C7" i="32"/>
  <c r="C13" i="32" s="1"/>
  <c r="L13" i="30"/>
  <c r="L56" i="30" s="1"/>
  <c r="L21" i="30"/>
  <c r="L64" i="30" s="1"/>
  <c r="L18" i="30"/>
  <c r="L61" i="30" s="1"/>
  <c r="L23" i="30"/>
  <c r="L66" i="30" s="1"/>
  <c r="N15" i="31"/>
  <c r="N14" i="31"/>
  <c r="L39" i="30"/>
  <c r="L82" i="30" s="1"/>
  <c r="L31" i="30"/>
  <c r="L74" i="30" s="1"/>
  <c r="L27" i="30"/>
  <c r="L70" i="30" s="1"/>
  <c r="L22" i="30"/>
  <c r="L65" i="30" s="1"/>
  <c r="L20" i="30"/>
  <c r="L63" i="30" s="1"/>
  <c r="L25" i="30"/>
  <c r="L68" i="30" s="1"/>
  <c r="L34" i="30"/>
  <c r="L77" i="30" s="1"/>
  <c r="L26" i="30"/>
  <c r="L69" i="30" s="1"/>
  <c r="I9" i="31"/>
  <c r="I11" i="31"/>
  <c r="I7" i="31"/>
  <c r="I13" i="31" s="1"/>
  <c r="L11" i="30"/>
  <c r="L54" i="30" s="1"/>
  <c r="L17" i="30"/>
  <c r="L60" i="30" s="1"/>
  <c r="L42" i="30"/>
  <c r="L85" i="30" s="1"/>
  <c r="L40" i="30"/>
  <c r="L83" i="30" s="1"/>
  <c r="L41" i="30"/>
  <c r="L84" i="30" s="1"/>
  <c r="L6" i="30"/>
  <c r="L49" i="30" s="1"/>
  <c r="B9" i="32" s="1"/>
  <c r="L29" i="30"/>
  <c r="L72" i="30" s="1"/>
  <c r="L36" i="30"/>
  <c r="L79" i="30" s="1"/>
  <c r="L33" i="30"/>
  <c r="L76" i="30" s="1"/>
  <c r="U14" i="31"/>
  <c r="U15" i="31"/>
  <c r="H14" i="32"/>
  <c r="H15" i="32"/>
  <c r="S53" i="9"/>
  <c r="W7" i="12"/>
  <c r="X7" i="12" s="1"/>
  <c r="W7" i="13"/>
  <c r="T7" i="30" s="1"/>
  <c r="T50" i="30" s="1"/>
  <c r="W23" i="12"/>
  <c r="X23" i="12" s="1"/>
  <c r="AA23" i="12" s="1"/>
  <c r="W23" i="13"/>
  <c r="T23" i="30" s="1"/>
  <c r="T66" i="30" s="1"/>
  <c r="W24" i="12"/>
  <c r="X24" i="12" s="1"/>
  <c r="AA24" i="12" s="1"/>
  <c r="W24" i="13"/>
  <c r="T24" i="30" s="1"/>
  <c r="T67" i="30" s="1"/>
  <c r="W17" i="12"/>
  <c r="X17" i="12" s="1"/>
  <c r="W17" i="13"/>
  <c r="T17" i="30" s="1"/>
  <c r="T60" i="30" s="1"/>
  <c r="W32" i="12"/>
  <c r="X32" i="12" s="1"/>
  <c r="AA32" i="12" s="1"/>
  <c r="W32" i="13"/>
  <c r="T32" i="30" s="1"/>
  <c r="T75" i="30" s="1"/>
  <c r="W8" i="12"/>
  <c r="X8" i="12" s="1"/>
  <c r="AA8" i="12" s="1"/>
  <c r="W8" i="13"/>
  <c r="T8" i="30" s="1"/>
  <c r="T51" i="30" s="1"/>
  <c r="P5" i="13"/>
  <c r="L44" i="13"/>
  <c r="W22" i="12"/>
  <c r="X22" i="12" s="1"/>
  <c r="W22" i="13"/>
  <c r="T22" i="30" s="1"/>
  <c r="T65" i="30" s="1"/>
  <c r="W20" i="12"/>
  <c r="X20" i="12" s="1"/>
  <c r="AA20" i="12" s="1"/>
  <c r="W20" i="13"/>
  <c r="T20" i="30" s="1"/>
  <c r="T63" i="30" s="1"/>
  <c r="W10" i="12"/>
  <c r="X10" i="12" s="1"/>
  <c r="W10" i="13"/>
  <c r="T10" i="30" s="1"/>
  <c r="T53" i="30" s="1"/>
  <c r="W13" i="12"/>
  <c r="X13" i="12" s="1"/>
  <c r="W13" i="13"/>
  <c r="T13" i="30" s="1"/>
  <c r="T56" i="30" s="1"/>
  <c r="W36" i="12"/>
  <c r="X36" i="12" s="1"/>
  <c r="W36" i="13"/>
  <c r="T36" i="30" s="1"/>
  <c r="T79" i="30" s="1"/>
  <c r="W18" i="12"/>
  <c r="X18" i="12" s="1"/>
  <c r="W18" i="13"/>
  <c r="T18" i="30" s="1"/>
  <c r="T61" i="30" s="1"/>
  <c r="W27" i="12"/>
  <c r="X27" i="12" s="1"/>
  <c r="W27" i="13"/>
  <c r="T27" i="30" s="1"/>
  <c r="T70" i="30" s="1"/>
  <c r="AA22" i="12"/>
  <c r="W34" i="12"/>
  <c r="X34" i="12" s="1"/>
  <c r="AA34" i="12" s="1"/>
  <c r="W34" i="13"/>
  <c r="W35" i="12"/>
  <c r="X35" i="12" s="1"/>
  <c r="AA35" i="12" s="1"/>
  <c r="W35" i="13"/>
  <c r="W16" i="12"/>
  <c r="X16" i="12" s="1"/>
  <c r="AA16" i="12" s="1"/>
  <c r="W16" i="13"/>
  <c r="W30" i="12"/>
  <c r="X30" i="12" s="1"/>
  <c r="AA30" i="12" s="1"/>
  <c r="W30" i="13"/>
  <c r="W42" i="12"/>
  <c r="X42" i="12" s="1"/>
  <c r="W42" i="13"/>
  <c r="W38" i="12"/>
  <c r="X38" i="12" s="1"/>
  <c r="AA38" i="12" s="1"/>
  <c r="W38" i="13"/>
  <c r="W37" i="12"/>
  <c r="X37" i="12" s="1"/>
  <c r="AA37" i="12" s="1"/>
  <c r="W37" i="13"/>
  <c r="W26" i="12"/>
  <c r="X26" i="12" s="1"/>
  <c r="W26" i="13"/>
  <c r="W25" i="12"/>
  <c r="X25" i="12" s="1"/>
  <c r="AA25" i="12" s="1"/>
  <c r="W25" i="13"/>
  <c r="P5" i="12"/>
  <c r="L44" i="12"/>
  <c r="W19" i="12"/>
  <c r="X19" i="12" s="1"/>
  <c r="AA19" i="12" s="1"/>
  <c r="W19" i="13"/>
  <c r="W14" i="12"/>
  <c r="X14" i="12" s="1"/>
  <c r="AA14" i="12" s="1"/>
  <c r="W14" i="13"/>
  <c r="AM57" i="6"/>
  <c r="AM55" i="9"/>
  <c r="AM55" i="7"/>
  <c r="AM55" i="8"/>
  <c r="W12" i="12"/>
  <c r="X12" i="12" s="1"/>
  <c r="AA12" i="12" s="1"/>
  <c r="W12" i="13"/>
  <c r="W6" i="12"/>
  <c r="X6" i="12" s="1"/>
  <c r="AA6" i="12" s="1"/>
  <c r="W6" i="13"/>
  <c r="W39" i="12"/>
  <c r="X39" i="12" s="1"/>
  <c r="AA39" i="12" s="1"/>
  <c r="W39" i="13"/>
  <c r="W31" i="12"/>
  <c r="X31" i="12" s="1"/>
  <c r="W31" i="13"/>
  <c r="W41" i="12"/>
  <c r="X41" i="12" s="1"/>
  <c r="W41" i="13"/>
  <c r="AA10" i="12"/>
  <c r="W28" i="12"/>
  <c r="X28" i="12" s="1"/>
  <c r="W28" i="13"/>
  <c r="T28" i="30" s="1"/>
  <c r="T71" i="30" s="1"/>
  <c r="AA36" i="12"/>
  <c r="AA18" i="12"/>
  <c r="AA46" i="13"/>
  <c r="AA46" i="12"/>
  <c r="AA46" i="11"/>
  <c r="AA46" i="10"/>
  <c r="W11" i="12"/>
  <c r="X11" i="12" s="1"/>
  <c r="AA11" i="12" s="1"/>
  <c r="W11" i="13"/>
  <c r="T11" i="30" s="1"/>
  <c r="T54" i="30" s="1"/>
  <c r="AA17" i="12"/>
  <c r="AA31" i="12"/>
  <c r="AA42" i="12"/>
  <c r="AA26" i="12"/>
  <c r="W9" i="12"/>
  <c r="X9" i="12" s="1"/>
  <c r="AA9" i="12" s="1"/>
  <c r="W9" i="13"/>
  <c r="T9" i="30" s="1"/>
  <c r="T52" i="30" s="1"/>
  <c r="AA27" i="12"/>
  <c r="W40" i="12"/>
  <c r="X40" i="12" s="1"/>
  <c r="AA40" i="12" s="1"/>
  <c r="W40" i="13"/>
  <c r="AA5" i="11"/>
  <c r="P44" i="11"/>
  <c r="AA41" i="12"/>
  <c r="W15" i="12"/>
  <c r="X15" i="12" s="1"/>
  <c r="AA15" i="12" s="1"/>
  <c r="W15" i="13"/>
  <c r="T15" i="30" s="1"/>
  <c r="T58" i="30" s="1"/>
  <c r="AA7" i="12"/>
  <c r="AA13" i="12"/>
  <c r="W29" i="12"/>
  <c r="X29" i="12" s="1"/>
  <c r="AA29" i="12" s="1"/>
  <c r="W29" i="13"/>
  <c r="T29" i="30" s="1"/>
  <c r="T72" i="30" s="1"/>
  <c r="AA28" i="12"/>
  <c r="W21" i="12"/>
  <c r="X21" i="12" s="1"/>
  <c r="AA21" i="12" s="1"/>
  <c r="W21" i="13"/>
  <c r="W33" i="12"/>
  <c r="X33" i="12" s="1"/>
  <c r="AA33" i="12" s="1"/>
  <c r="W33" i="13"/>
  <c r="T33" i="30" s="1"/>
  <c r="T76" i="30" s="1"/>
  <c r="B15" i="32" l="1"/>
  <c r="B14" i="32"/>
  <c r="T21" i="30"/>
  <c r="T64" i="30" s="1"/>
  <c r="T40" i="30"/>
  <c r="T83" i="30" s="1"/>
  <c r="T41" i="30"/>
  <c r="T84" i="30" s="1"/>
  <c r="T39" i="30"/>
  <c r="T82" i="30" s="1"/>
  <c r="T12" i="30"/>
  <c r="T55" i="30" s="1"/>
  <c r="T19" i="30"/>
  <c r="T62" i="30" s="1"/>
  <c r="T25" i="30"/>
  <c r="T68" i="30" s="1"/>
  <c r="T37" i="30"/>
  <c r="T80" i="30" s="1"/>
  <c r="T42" i="30"/>
  <c r="T85" i="30" s="1"/>
  <c r="T16" i="30"/>
  <c r="T59" i="30" s="1"/>
  <c r="T34" i="30"/>
  <c r="T77" i="30" s="1"/>
  <c r="B11" i="32"/>
  <c r="T31" i="30"/>
  <c r="T74" i="30" s="1"/>
  <c r="T6" i="30"/>
  <c r="T49" i="30" s="1"/>
  <c r="T14" i="30"/>
  <c r="T57" i="30" s="1"/>
  <c r="T26" i="30"/>
  <c r="T69" i="30" s="1"/>
  <c r="T38" i="30"/>
  <c r="T81" i="30" s="1"/>
  <c r="T30" i="30"/>
  <c r="T73" i="30" s="1"/>
  <c r="T35" i="30"/>
  <c r="T78" i="30" s="1"/>
  <c r="I15" i="31"/>
  <c r="I14" i="31"/>
  <c r="B7" i="32"/>
  <c r="B13" i="32" s="1"/>
  <c r="C15" i="32"/>
  <c r="C14" i="32"/>
  <c r="X6" i="13"/>
  <c r="AA6" i="13" s="1"/>
  <c r="AA3" i="16" s="1"/>
  <c r="L3" i="27" s="1"/>
  <c r="O3" i="27" s="1"/>
  <c r="X19" i="13"/>
  <c r="AA19" i="13" s="1"/>
  <c r="X25" i="13"/>
  <c r="AA25" i="13" s="1"/>
  <c r="S17" i="36" s="1"/>
  <c r="X37" i="13"/>
  <c r="AA37" i="13" s="1"/>
  <c r="S28" i="36" s="1"/>
  <c r="X42" i="13"/>
  <c r="AA42" i="13" s="1"/>
  <c r="S33" i="36" s="1"/>
  <c r="X18" i="13"/>
  <c r="AA18" i="13" s="1"/>
  <c r="X13" i="13"/>
  <c r="AA13" i="13" s="1"/>
  <c r="AA24" i="17" s="1"/>
  <c r="X20" i="13"/>
  <c r="AA20" i="13" s="1"/>
  <c r="X33" i="13"/>
  <c r="AA33" i="13" s="1"/>
  <c r="X16" i="13"/>
  <c r="AA16" i="13" s="1"/>
  <c r="S8" i="36" s="1"/>
  <c r="X34" i="13"/>
  <c r="AA34" i="13" s="1"/>
  <c r="X27" i="13"/>
  <c r="AA27" i="13" s="1"/>
  <c r="S19" i="36" s="1"/>
  <c r="X32" i="13"/>
  <c r="AA32" i="13" s="1"/>
  <c r="X24" i="13"/>
  <c r="AA24" i="13" s="1"/>
  <c r="X7" i="13"/>
  <c r="AA7" i="13" s="1"/>
  <c r="X41" i="13"/>
  <c r="AA41" i="13" s="1"/>
  <c r="S32" i="36" s="1"/>
  <c r="X39" i="13"/>
  <c r="AA39" i="13" s="1"/>
  <c r="S31" i="36" s="1"/>
  <c r="X29" i="13"/>
  <c r="AA29" i="13" s="1"/>
  <c r="S22" i="36" s="1"/>
  <c r="X15" i="13"/>
  <c r="AA15" i="13" s="1"/>
  <c r="AA47" i="17" s="1"/>
  <c r="X9" i="13"/>
  <c r="AA9" i="13" s="1"/>
  <c r="S6" i="36" s="1"/>
  <c r="X11" i="13"/>
  <c r="AA11" i="13" s="1"/>
  <c r="S9" i="36" s="1"/>
  <c r="X28" i="13"/>
  <c r="AA28" i="13" s="1"/>
  <c r="X12" i="13"/>
  <c r="AA12" i="13" s="1"/>
  <c r="S11" i="36" s="1"/>
  <c r="X14" i="13"/>
  <c r="AA14" i="13" s="1"/>
  <c r="AA38" i="17" s="1"/>
  <c r="X26" i="13"/>
  <c r="AA26" i="13" s="1"/>
  <c r="S18" i="36" s="1"/>
  <c r="X38" i="13"/>
  <c r="AA38" i="13" s="1"/>
  <c r="S29" i="36" s="1"/>
  <c r="X30" i="13"/>
  <c r="AA30" i="13" s="1"/>
  <c r="S23" i="36" s="1"/>
  <c r="X36" i="13"/>
  <c r="AA36" i="13" s="1"/>
  <c r="S27" i="36" s="1"/>
  <c r="X10" i="13"/>
  <c r="AA10" i="13" s="1"/>
  <c r="S7" i="36" s="1"/>
  <c r="X22" i="13"/>
  <c r="AA22" i="13" s="1"/>
  <c r="S13" i="36" s="1"/>
  <c r="X21" i="13"/>
  <c r="AA21" i="13" s="1"/>
  <c r="S12" i="36" s="1"/>
  <c r="X40" i="13"/>
  <c r="AA40" i="13" s="1"/>
  <c r="S30" i="36" s="1"/>
  <c r="X31" i="13"/>
  <c r="AA31" i="13" s="1"/>
  <c r="S24" i="36" s="1"/>
  <c r="X35" i="13"/>
  <c r="AA35" i="13" s="1"/>
  <c r="X8" i="13"/>
  <c r="AA8" i="13" s="1"/>
  <c r="S5" i="36" s="1"/>
  <c r="X17" i="13"/>
  <c r="AA17" i="13" s="1"/>
  <c r="S10" i="36" s="1"/>
  <c r="X23" i="13"/>
  <c r="AA23" i="13" s="1"/>
  <c r="S14" i="36" s="1"/>
  <c r="AA12" i="16"/>
  <c r="L12" i="27" s="1"/>
  <c r="O12" i="27" s="1"/>
  <c r="AA25" i="17"/>
  <c r="AA236" i="16"/>
  <c r="L236" i="27" s="1"/>
  <c r="O236" i="27" s="1"/>
  <c r="W5" i="12"/>
  <c r="W5" i="13"/>
  <c r="P44" i="12"/>
  <c r="P44" i="13"/>
  <c r="AA44" i="11"/>
  <c r="AA13" i="16" l="1"/>
  <c r="L13" i="27" s="1"/>
  <c r="O13" i="27" s="1"/>
  <c r="AA69" i="16"/>
  <c r="L69" i="27" s="1"/>
  <c r="O69" i="27" s="1"/>
  <c r="S26" i="36"/>
  <c r="S21" i="36"/>
  <c r="S16" i="36"/>
  <c r="S20" i="36"/>
  <c r="S25" i="36"/>
  <c r="S15" i="36"/>
  <c r="G11" i="36"/>
  <c r="G6" i="36"/>
  <c r="AA140" i="17"/>
  <c r="AA168" i="16"/>
  <c r="AG168" i="16" s="1"/>
  <c r="T5" i="30"/>
  <c r="T48" i="30" s="1"/>
  <c r="J7" i="32" s="1"/>
  <c r="AA17" i="17"/>
  <c r="AA16" i="17"/>
  <c r="J9" i="32"/>
  <c r="J11" i="32"/>
  <c r="L11" i="32" s="1"/>
  <c r="AA46" i="17"/>
  <c r="AA97" i="16"/>
  <c r="AG97" i="16" s="1"/>
  <c r="AA223" i="16"/>
  <c r="L223" i="27" s="1"/>
  <c r="O223" i="27" s="1"/>
  <c r="AA61" i="17"/>
  <c r="AA114" i="16"/>
  <c r="AG114" i="16" s="1"/>
  <c r="AA301" i="16"/>
  <c r="L301" i="27" s="1"/>
  <c r="O301" i="27" s="1"/>
  <c r="AA128" i="16"/>
  <c r="L128" i="27" s="1"/>
  <c r="O128" i="27" s="1"/>
  <c r="AA31" i="17"/>
  <c r="AA11" i="17"/>
  <c r="AA80" i="17"/>
  <c r="AA329" i="16"/>
  <c r="L329" i="27" s="1"/>
  <c r="O329" i="27" s="1"/>
  <c r="AA131" i="16"/>
  <c r="L131" i="27" s="1"/>
  <c r="O131" i="27" s="1"/>
  <c r="AA194" i="16"/>
  <c r="AG194" i="16" s="1"/>
  <c r="AA108" i="17"/>
  <c r="AA164" i="16"/>
  <c r="L164" i="27" s="1"/>
  <c r="O164" i="27" s="1"/>
  <c r="AA72" i="17"/>
  <c r="AA47" i="16"/>
  <c r="L47" i="27" s="1"/>
  <c r="O47" i="27" s="1"/>
  <c r="AA179" i="16"/>
  <c r="AG179" i="16" s="1"/>
  <c r="AA124" i="17"/>
  <c r="AA227" i="16"/>
  <c r="L227" i="27" s="1"/>
  <c r="O227" i="27" s="1"/>
  <c r="AA121" i="16"/>
  <c r="L121" i="27" s="1"/>
  <c r="O121" i="27" s="1"/>
  <c r="AA159" i="16"/>
  <c r="L159" i="27" s="1"/>
  <c r="O159" i="27" s="1"/>
  <c r="AA102" i="16"/>
  <c r="AG102" i="16" s="1"/>
  <c r="AA35" i="17"/>
  <c r="AA132" i="16"/>
  <c r="L132" i="27" s="1"/>
  <c r="O132" i="27" s="1"/>
  <c r="AA247" i="16"/>
  <c r="L247" i="27" s="1"/>
  <c r="O247" i="27" s="1"/>
  <c r="AA213" i="16"/>
  <c r="L213" i="27" s="1"/>
  <c r="AA73" i="16"/>
  <c r="AG73" i="16" s="1"/>
  <c r="AA64" i="16"/>
  <c r="L64" i="27" s="1"/>
  <c r="O64" i="27" s="1"/>
  <c r="AA193" i="16"/>
  <c r="AG193" i="16" s="1"/>
  <c r="AA210" i="16"/>
  <c r="AG210" i="16" s="1"/>
  <c r="AA195" i="16"/>
  <c r="AG195" i="16" s="1"/>
  <c r="AA184" i="16"/>
  <c r="AG184" i="16" s="1"/>
  <c r="AA84" i="17"/>
  <c r="AA112" i="17"/>
  <c r="AA128" i="17"/>
  <c r="AA144" i="17"/>
  <c r="AA332" i="16"/>
  <c r="L332" i="27" s="1"/>
  <c r="O332" i="27" s="1"/>
  <c r="AA43" i="16"/>
  <c r="L43" i="27" s="1"/>
  <c r="O43" i="27" s="1"/>
  <c r="AA237" i="16"/>
  <c r="L237" i="27" s="1"/>
  <c r="O237" i="27" s="1"/>
  <c r="AA222" i="16"/>
  <c r="L222" i="27" s="1"/>
  <c r="O222" i="27" s="1"/>
  <c r="AA197" i="16"/>
  <c r="AG197" i="16" s="1"/>
  <c r="AA100" i="17"/>
  <c r="AA132" i="17"/>
  <c r="AA99" i="16"/>
  <c r="AG99" i="16" s="1"/>
  <c r="AA64" i="17"/>
  <c r="AA150" i="16"/>
  <c r="L150" i="27" s="1"/>
  <c r="O150" i="27" s="1"/>
  <c r="AA211" i="16"/>
  <c r="AG211" i="16" s="1"/>
  <c r="AA200" i="16"/>
  <c r="AG200" i="16" s="1"/>
  <c r="AA116" i="17"/>
  <c r="AA55" i="17"/>
  <c r="AA91" i="17"/>
  <c r="AA28" i="17"/>
  <c r="AA130" i="16"/>
  <c r="L130" i="27" s="1"/>
  <c r="O130" i="27" s="1"/>
  <c r="AA68" i="17"/>
  <c r="AA246" i="16"/>
  <c r="L246" i="27" s="1"/>
  <c r="O246" i="27" s="1"/>
  <c r="AA74" i="16"/>
  <c r="AG74" i="16" s="1"/>
  <c r="AA58" i="16"/>
  <c r="L58" i="27" s="1"/>
  <c r="O58" i="27" s="1"/>
  <c r="AA108" i="16"/>
  <c r="AG108" i="16" s="1"/>
  <c r="AA178" i="16"/>
  <c r="AG178" i="16" s="1"/>
  <c r="AA151" i="16"/>
  <c r="L151" i="27" s="1"/>
  <c r="O151" i="27" s="1"/>
  <c r="AA201" i="16"/>
  <c r="AG201" i="16" s="1"/>
  <c r="AA76" i="17"/>
  <c r="AA104" i="17"/>
  <c r="AA120" i="17"/>
  <c r="AA136" i="17"/>
  <c r="AA252" i="16"/>
  <c r="L252" i="27" s="1"/>
  <c r="O252" i="27" s="1"/>
  <c r="AA230" i="16"/>
  <c r="L230" i="27" s="1"/>
  <c r="O230" i="27" s="1"/>
  <c r="AA30" i="17"/>
  <c r="AA103" i="16"/>
  <c r="AG103" i="16" s="1"/>
  <c r="AA32" i="17"/>
  <c r="AA45" i="16"/>
  <c r="L45" i="27" s="1"/>
  <c r="O45" i="27" s="1"/>
  <c r="AA135" i="16"/>
  <c r="L135" i="27" s="1"/>
  <c r="O135" i="27" s="1"/>
  <c r="AA65" i="17"/>
  <c r="AA73" i="17"/>
  <c r="AA245" i="16"/>
  <c r="L245" i="27" s="1"/>
  <c r="O245" i="27" s="1"/>
  <c r="AA217" i="16"/>
  <c r="L217" i="27" s="1"/>
  <c r="O217" i="27" s="1"/>
  <c r="AA216" i="16"/>
  <c r="L216" i="27" s="1"/>
  <c r="O216" i="27" s="1"/>
  <c r="AA145" i="16"/>
  <c r="L145" i="27" s="1"/>
  <c r="O145" i="27" s="1"/>
  <c r="AA166" i="16"/>
  <c r="AG166" i="16" s="1"/>
  <c r="AA198" i="16"/>
  <c r="AG198" i="16" s="1"/>
  <c r="AA209" i="16"/>
  <c r="AG209" i="16" s="1"/>
  <c r="AA183" i="16"/>
  <c r="AG183" i="16" s="1"/>
  <c r="AA153" i="16"/>
  <c r="L153" i="27" s="1"/>
  <c r="O153" i="27" s="1"/>
  <c r="AA188" i="16"/>
  <c r="AG188" i="16" s="1"/>
  <c r="AA81" i="17"/>
  <c r="AA101" i="17"/>
  <c r="AA113" i="17"/>
  <c r="AA125" i="17"/>
  <c r="AA235" i="16"/>
  <c r="L235" i="27" s="1"/>
  <c r="O235" i="27" s="1"/>
  <c r="AA94" i="16"/>
  <c r="AG94" i="16" s="1"/>
  <c r="AA105" i="16"/>
  <c r="AG105" i="16" s="1"/>
  <c r="AA37" i="17"/>
  <c r="AA139" i="16"/>
  <c r="L139" i="27" s="1"/>
  <c r="O139" i="27" s="1"/>
  <c r="AA70" i="17"/>
  <c r="AA238" i="16"/>
  <c r="L238" i="27" s="1"/>
  <c r="O238" i="27" s="1"/>
  <c r="AA219" i="16"/>
  <c r="L219" i="27" s="1"/>
  <c r="O219" i="27" s="1"/>
  <c r="AA214" i="16"/>
  <c r="L214" i="27" s="1"/>
  <c r="O214" i="27" s="1"/>
  <c r="AA220" i="16"/>
  <c r="L220" i="27" s="1"/>
  <c r="O220" i="27" s="1"/>
  <c r="AA142" i="16"/>
  <c r="L142" i="27" s="1"/>
  <c r="O142" i="27" s="1"/>
  <c r="AA186" i="16"/>
  <c r="AG186" i="16" s="1"/>
  <c r="AA177" i="16"/>
  <c r="AG177" i="16" s="1"/>
  <c r="AA187" i="16"/>
  <c r="AG187" i="16" s="1"/>
  <c r="AA148" i="16"/>
  <c r="L148" i="27" s="1"/>
  <c r="O148" i="27" s="1"/>
  <c r="AA208" i="16"/>
  <c r="AG208" i="16" s="1"/>
  <c r="AA82" i="17"/>
  <c r="AA102" i="17"/>
  <c r="AA110" i="17"/>
  <c r="AA118" i="17"/>
  <c r="AA126" i="17"/>
  <c r="AA138" i="17"/>
  <c r="AA212" i="16"/>
  <c r="AG212" i="16" s="1"/>
  <c r="AA233" i="16"/>
  <c r="L233" i="27" s="1"/>
  <c r="O233" i="27" s="1"/>
  <c r="AA228" i="16"/>
  <c r="L228" i="27" s="1"/>
  <c r="O228" i="27" s="1"/>
  <c r="O213" i="27"/>
  <c r="AA101" i="16"/>
  <c r="AG101" i="16" s="1"/>
  <c r="AA96" i="16"/>
  <c r="AG96" i="16" s="1"/>
  <c r="AA36" i="17"/>
  <c r="AA134" i="16"/>
  <c r="L134" i="27" s="1"/>
  <c r="O134" i="27" s="1"/>
  <c r="AA136" i="16"/>
  <c r="L136" i="27" s="1"/>
  <c r="O136" i="27" s="1"/>
  <c r="AA69" i="17"/>
  <c r="AA241" i="16"/>
  <c r="L241" i="27" s="1"/>
  <c r="O241" i="27" s="1"/>
  <c r="AA240" i="16"/>
  <c r="L240" i="27" s="1"/>
  <c r="O240" i="27" s="1"/>
  <c r="AA221" i="16"/>
  <c r="L221" i="27" s="1"/>
  <c r="O221" i="27" s="1"/>
  <c r="AA205" i="16"/>
  <c r="AG205" i="16" s="1"/>
  <c r="AA182" i="16"/>
  <c r="AG182" i="16" s="1"/>
  <c r="AA149" i="16"/>
  <c r="L149" i="27" s="1"/>
  <c r="O149" i="27" s="1"/>
  <c r="AA167" i="16"/>
  <c r="AG167" i="16" s="1"/>
  <c r="AA199" i="16"/>
  <c r="AG199" i="16" s="1"/>
  <c r="AA144" i="16"/>
  <c r="L144" i="27" s="1"/>
  <c r="O144" i="27" s="1"/>
  <c r="AA172" i="16"/>
  <c r="AG172" i="16" s="1"/>
  <c r="AA204" i="16"/>
  <c r="AG204" i="16" s="1"/>
  <c r="AA77" i="17"/>
  <c r="AA85" i="17"/>
  <c r="AA105" i="17"/>
  <c r="AA109" i="17"/>
  <c r="AA117" i="17"/>
  <c r="AA121" i="17"/>
  <c r="AA129" i="17"/>
  <c r="AA133" i="17"/>
  <c r="AA137" i="17"/>
  <c r="AA141" i="17"/>
  <c r="AA145" i="17"/>
  <c r="AA325" i="16"/>
  <c r="L325" i="27" s="1"/>
  <c r="O325" i="27" s="1"/>
  <c r="AA225" i="16"/>
  <c r="L225" i="27" s="1"/>
  <c r="O225" i="27" s="1"/>
  <c r="AA234" i="16"/>
  <c r="L234" i="27" s="1"/>
  <c r="O234" i="27" s="1"/>
  <c r="AA29" i="17"/>
  <c r="AA100" i="16"/>
  <c r="AG100" i="16" s="1"/>
  <c r="AA33" i="17"/>
  <c r="AA44" i="16"/>
  <c r="L44" i="27" s="1"/>
  <c r="O44" i="27" s="1"/>
  <c r="AA138" i="16"/>
  <c r="L138" i="27" s="1"/>
  <c r="O138" i="27" s="1"/>
  <c r="AA140" i="16"/>
  <c r="L140" i="27" s="1"/>
  <c r="O140" i="27" s="1"/>
  <c r="AA66" i="17"/>
  <c r="AA74" i="17"/>
  <c r="AA243" i="16"/>
  <c r="L243" i="27" s="1"/>
  <c r="O243" i="27" s="1"/>
  <c r="AA244" i="16"/>
  <c r="L244" i="27" s="1"/>
  <c r="O244" i="27" s="1"/>
  <c r="AA169" i="16"/>
  <c r="AG169" i="16" s="1"/>
  <c r="AA170" i="16"/>
  <c r="AG170" i="16" s="1"/>
  <c r="AA202" i="16"/>
  <c r="AG202" i="16" s="1"/>
  <c r="AA143" i="16"/>
  <c r="L143" i="27" s="1"/>
  <c r="O143" i="27" s="1"/>
  <c r="AA171" i="16"/>
  <c r="AG171" i="16" s="1"/>
  <c r="AA203" i="16"/>
  <c r="AG203" i="16" s="1"/>
  <c r="AA173" i="16"/>
  <c r="AG173" i="16" s="1"/>
  <c r="AA176" i="16"/>
  <c r="AG176" i="16" s="1"/>
  <c r="AA192" i="16"/>
  <c r="AG192" i="16" s="1"/>
  <c r="AA78" i="17"/>
  <c r="AA86" i="17"/>
  <c r="AA106" i="17"/>
  <c r="AA114" i="17"/>
  <c r="AA122" i="17"/>
  <c r="AA130" i="17"/>
  <c r="AA134" i="17"/>
  <c r="AA142" i="17"/>
  <c r="AA331" i="16"/>
  <c r="L331" i="27" s="1"/>
  <c r="O331" i="27" s="1"/>
  <c r="AA327" i="16"/>
  <c r="L327" i="27" s="1"/>
  <c r="O327" i="27" s="1"/>
  <c r="AA229" i="16"/>
  <c r="L229" i="27" s="1"/>
  <c r="O229" i="27" s="1"/>
  <c r="AA123" i="16"/>
  <c r="L123" i="27" s="1"/>
  <c r="O123" i="27" s="1"/>
  <c r="AA158" i="16"/>
  <c r="L158" i="27" s="1"/>
  <c r="O158" i="27" s="1"/>
  <c r="AA97" i="17"/>
  <c r="AA98" i="16"/>
  <c r="AG98" i="16" s="1"/>
  <c r="AA95" i="16"/>
  <c r="AG95" i="16" s="1"/>
  <c r="AA27" i="17"/>
  <c r="AA104" i="16"/>
  <c r="AG104" i="16" s="1"/>
  <c r="AA34" i="17"/>
  <c r="AA133" i="16"/>
  <c r="L133" i="27" s="1"/>
  <c r="O133" i="27" s="1"/>
  <c r="AA137" i="16"/>
  <c r="L137" i="27" s="1"/>
  <c r="O137" i="27" s="1"/>
  <c r="AA141" i="16"/>
  <c r="L141" i="27" s="1"/>
  <c r="O141" i="27" s="1"/>
  <c r="AA63" i="17"/>
  <c r="AA67" i="17"/>
  <c r="AA71" i="17"/>
  <c r="AA40" i="16"/>
  <c r="L40" i="27" s="1"/>
  <c r="O40" i="27" s="1"/>
  <c r="AA239" i="16"/>
  <c r="L239" i="27" s="1"/>
  <c r="O239" i="27" s="1"/>
  <c r="AA242" i="16"/>
  <c r="L242" i="27" s="1"/>
  <c r="O242" i="27" s="1"/>
  <c r="AA248" i="16"/>
  <c r="L248" i="27" s="1"/>
  <c r="O248" i="27" s="1"/>
  <c r="AA215" i="16"/>
  <c r="L215" i="27" s="1"/>
  <c r="O215" i="27" s="1"/>
  <c r="AA218" i="16"/>
  <c r="L218" i="27" s="1"/>
  <c r="O218" i="27" s="1"/>
  <c r="AA224" i="16"/>
  <c r="L224" i="27" s="1"/>
  <c r="O224" i="27" s="1"/>
  <c r="AA13" i="17"/>
  <c r="AA61" i="16"/>
  <c r="L61" i="27" s="1"/>
  <c r="O61" i="27" s="1"/>
  <c r="AA41" i="17"/>
  <c r="AA181" i="16"/>
  <c r="AG181" i="16" s="1"/>
  <c r="AA146" i="16"/>
  <c r="L146" i="27" s="1"/>
  <c r="O146" i="27" s="1"/>
  <c r="AA174" i="16"/>
  <c r="AG174" i="16" s="1"/>
  <c r="AA190" i="16"/>
  <c r="AG190" i="16" s="1"/>
  <c r="AA206" i="16"/>
  <c r="AG206" i="16" s="1"/>
  <c r="AA189" i="16"/>
  <c r="AG189" i="16" s="1"/>
  <c r="AA147" i="16"/>
  <c r="L147" i="27" s="1"/>
  <c r="O147" i="27" s="1"/>
  <c r="AA175" i="16"/>
  <c r="AG175" i="16" s="1"/>
  <c r="AA191" i="16"/>
  <c r="AG191" i="16" s="1"/>
  <c r="AA207" i="16"/>
  <c r="AG207" i="16" s="1"/>
  <c r="AA185" i="16"/>
  <c r="AG185" i="16" s="1"/>
  <c r="AA152" i="16"/>
  <c r="L152" i="27" s="1"/>
  <c r="O152" i="27" s="1"/>
  <c r="AA180" i="16"/>
  <c r="AG180" i="16" s="1"/>
  <c r="AA196" i="16"/>
  <c r="AG196" i="16" s="1"/>
  <c r="AA75" i="17"/>
  <c r="AA79" i="17"/>
  <c r="AA83" i="17"/>
  <c r="AA99" i="17"/>
  <c r="AA103" i="17"/>
  <c r="AA107" i="17"/>
  <c r="AA111" i="17"/>
  <c r="AA115" i="17"/>
  <c r="AA119" i="17"/>
  <c r="AA123" i="17"/>
  <c r="AA127" i="17"/>
  <c r="AA131" i="17"/>
  <c r="AA135" i="17"/>
  <c r="AA139" i="17"/>
  <c r="AA143" i="17"/>
  <c r="AA251" i="16"/>
  <c r="L251" i="27" s="1"/>
  <c r="O251" i="27" s="1"/>
  <c r="AA326" i="16"/>
  <c r="L326" i="27" s="1"/>
  <c r="O326" i="27" s="1"/>
  <c r="AA324" i="16"/>
  <c r="L324" i="27" s="1"/>
  <c r="O324" i="27" s="1"/>
  <c r="AA231" i="16"/>
  <c r="L231" i="27" s="1"/>
  <c r="O231" i="27" s="1"/>
  <c r="AA226" i="16"/>
  <c r="L226" i="27" s="1"/>
  <c r="O226" i="27" s="1"/>
  <c r="AA232" i="16"/>
  <c r="L232" i="27" s="1"/>
  <c r="O232" i="27" s="1"/>
  <c r="AA273" i="16"/>
  <c r="L273" i="27" s="1"/>
  <c r="O273" i="27" s="1"/>
  <c r="AA278" i="16"/>
  <c r="L278" i="27" s="1"/>
  <c r="O278" i="27" s="1"/>
  <c r="AA323" i="16"/>
  <c r="L323" i="27" s="1"/>
  <c r="O323" i="27" s="1"/>
  <c r="AA322" i="16"/>
  <c r="L322" i="27" s="1"/>
  <c r="O322" i="27" s="1"/>
  <c r="AA263" i="16"/>
  <c r="L263" i="27" s="1"/>
  <c r="O263" i="27" s="1"/>
  <c r="AA284" i="16"/>
  <c r="L284" i="27" s="1"/>
  <c r="O284" i="27" s="1"/>
  <c r="AA126" i="16"/>
  <c r="L126" i="27" s="1"/>
  <c r="O126" i="27" s="1"/>
  <c r="AA53" i="17"/>
  <c r="AA161" i="16"/>
  <c r="L161" i="27" s="1"/>
  <c r="O161" i="27" s="1"/>
  <c r="AA12" i="17"/>
  <c r="AA7" i="17"/>
  <c r="AA53" i="16"/>
  <c r="L53" i="27" s="1"/>
  <c r="O53" i="27" s="1"/>
  <c r="AA106" i="16"/>
  <c r="AA303" i="16"/>
  <c r="AA305" i="16"/>
  <c r="L305" i="27" s="1"/>
  <c r="O305" i="27" s="1"/>
  <c r="AA283" i="16"/>
  <c r="L283" i="27" s="1"/>
  <c r="O283" i="27" s="1"/>
  <c r="AA269" i="16"/>
  <c r="L269" i="27" s="1"/>
  <c r="O269" i="27" s="1"/>
  <c r="AA262" i="16"/>
  <c r="L262" i="27" s="1"/>
  <c r="O262" i="27" s="1"/>
  <c r="AA294" i="16"/>
  <c r="L294" i="27" s="1"/>
  <c r="O294" i="27" s="1"/>
  <c r="AA268" i="16"/>
  <c r="L268" i="27" s="1"/>
  <c r="O268" i="27" s="1"/>
  <c r="AA300" i="16"/>
  <c r="L300" i="27" s="1"/>
  <c r="O300" i="27" s="1"/>
  <c r="AA15" i="17"/>
  <c r="AA90" i="16"/>
  <c r="AG90" i="16" s="1"/>
  <c r="AA83" i="16"/>
  <c r="AG83" i="16" s="1"/>
  <c r="AA84" i="16"/>
  <c r="AG84" i="16" s="1"/>
  <c r="AA10" i="16"/>
  <c r="AA9" i="16"/>
  <c r="L9" i="27" s="1"/>
  <c r="O9" i="27" s="1"/>
  <c r="AA310" i="16"/>
  <c r="AG310" i="16" s="1"/>
  <c r="AA129" i="16"/>
  <c r="L129" i="27" s="1"/>
  <c r="O129" i="27" s="1"/>
  <c r="AA58" i="17"/>
  <c r="AA157" i="16"/>
  <c r="L157" i="27" s="1"/>
  <c r="O157" i="27" s="1"/>
  <c r="AA165" i="16"/>
  <c r="L165" i="27" s="1"/>
  <c r="O165" i="27" s="1"/>
  <c r="AA89" i="17"/>
  <c r="AA94" i="17"/>
  <c r="AA42" i="16"/>
  <c r="L42" i="27" s="1"/>
  <c r="O42" i="27" s="1"/>
  <c r="AA3" i="17"/>
  <c r="AA71" i="16"/>
  <c r="AG71" i="16" s="1"/>
  <c r="AA80" i="16"/>
  <c r="AG80" i="16" s="1"/>
  <c r="AA46" i="16"/>
  <c r="AA59" i="16"/>
  <c r="L59" i="27" s="1"/>
  <c r="O59" i="27" s="1"/>
  <c r="AA52" i="16"/>
  <c r="AA111" i="16"/>
  <c r="AG111" i="16" s="1"/>
  <c r="AA116" i="16"/>
  <c r="AG116" i="16" s="1"/>
  <c r="AA44" i="17"/>
  <c r="AA49" i="17"/>
  <c r="AA125" i="16"/>
  <c r="L125" i="27" s="1"/>
  <c r="O125" i="27" s="1"/>
  <c r="AA124" i="16"/>
  <c r="L124" i="27" s="1"/>
  <c r="O124" i="27" s="1"/>
  <c r="AA54" i="17"/>
  <c r="AA59" i="17"/>
  <c r="AA154" i="16"/>
  <c r="L154" i="27" s="1"/>
  <c r="O154" i="27" s="1"/>
  <c r="AA155" i="16"/>
  <c r="L155" i="27" s="1"/>
  <c r="O155" i="27" s="1"/>
  <c r="AA160" i="16"/>
  <c r="AA90" i="17"/>
  <c r="AA95" i="17"/>
  <c r="AA39" i="16"/>
  <c r="L39" i="27" s="1"/>
  <c r="O39" i="27" s="1"/>
  <c r="AA70" i="16"/>
  <c r="AG70" i="16" s="1"/>
  <c r="AA6" i="17"/>
  <c r="AA79" i="16"/>
  <c r="AG79" i="16" s="1"/>
  <c r="AA10" i="17"/>
  <c r="AA49" i="16"/>
  <c r="L49" i="27" s="1"/>
  <c r="O49" i="27" s="1"/>
  <c r="AA54" i="16"/>
  <c r="AA65" i="16"/>
  <c r="L65" i="27" s="1"/>
  <c r="O65" i="27" s="1"/>
  <c r="AA63" i="16"/>
  <c r="L63" i="27" s="1"/>
  <c r="O63" i="27" s="1"/>
  <c r="AA60" i="16"/>
  <c r="L60" i="27" s="1"/>
  <c r="O60" i="27" s="1"/>
  <c r="AA110" i="16"/>
  <c r="AG110" i="16" s="1"/>
  <c r="AA115" i="16"/>
  <c r="AG115" i="16" s="1"/>
  <c r="AA40" i="17"/>
  <c r="AA45" i="17"/>
  <c r="AA50" i="17"/>
  <c r="AA257" i="16"/>
  <c r="L257" i="27" s="1"/>
  <c r="O257" i="27" s="1"/>
  <c r="AA279" i="16"/>
  <c r="L279" i="27" s="1"/>
  <c r="O279" i="27" s="1"/>
  <c r="AA299" i="16"/>
  <c r="L299" i="27" s="1"/>
  <c r="O299" i="27" s="1"/>
  <c r="AA285" i="16"/>
  <c r="AA270" i="16"/>
  <c r="L270" i="27" s="1"/>
  <c r="O270" i="27" s="1"/>
  <c r="AA302" i="16"/>
  <c r="L302" i="27" s="1"/>
  <c r="O302" i="27" s="1"/>
  <c r="AA276" i="16"/>
  <c r="AA308" i="16"/>
  <c r="AA22" i="17"/>
  <c r="AA89" i="16"/>
  <c r="AG89" i="16" s="1"/>
  <c r="AA91" i="16"/>
  <c r="AG91" i="16" s="1"/>
  <c r="AA92" i="16"/>
  <c r="AG92" i="16" s="1"/>
  <c r="AA5" i="16"/>
  <c r="L5" i="27" s="1"/>
  <c r="O5" i="27" s="1"/>
  <c r="AA4" i="16"/>
  <c r="L4" i="27" s="1"/>
  <c r="O4" i="27" s="1"/>
  <c r="AA311" i="16"/>
  <c r="AG311" i="16" s="1"/>
  <c r="AA122" i="16"/>
  <c r="AA127" i="16"/>
  <c r="L127" i="27" s="1"/>
  <c r="O127" i="27" s="1"/>
  <c r="AA51" i="17"/>
  <c r="AA57" i="17"/>
  <c r="AA62" i="17"/>
  <c r="AA162" i="16"/>
  <c r="L162" i="27" s="1"/>
  <c r="O162" i="27" s="1"/>
  <c r="AA163" i="16"/>
  <c r="L163" i="27" s="1"/>
  <c r="O163" i="27" s="1"/>
  <c r="AA87" i="17"/>
  <c r="AA93" i="17"/>
  <c r="AA98" i="17"/>
  <c r="AA38" i="16"/>
  <c r="L38" i="27" s="1"/>
  <c r="AA5" i="17"/>
  <c r="AA77" i="16"/>
  <c r="AG77" i="16" s="1"/>
  <c r="AA14" i="17"/>
  <c r="AA81" i="16"/>
  <c r="AG81" i="16" s="1"/>
  <c r="AA76" i="16"/>
  <c r="AG76" i="16" s="1"/>
  <c r="AA2" i="17"/>
  <c r="AA62" i="16"/>
  <c r="L62" i="27" s="1"/>
  <c r="O62" i="27" s="1"/>
  <c r="AA55" i="16"/>
  <c r="L55" i="27" s="1"/>
  <c r="O55" i="27" s="1"/>
  <c r="AA48" i="16"/>
  <c r="L48" i="27" s="1"/>
  <c r="O48" i="27" s="1"/>
  <c r="AA68" i="16"/>
  <c r="AA107" i="16"/>
  <c r="AG107" i="16" s="1"/>
  <c r="AA112" i="16"/>
  <c r="AG112" i="16" s="1"/>
  <c r="AA42" i="17"/>
  <c r="AA48" i="17"/>
  <c r="AA289" i="16"/>
  <c r="L289" i="27" s="1"/>
  <c r="O289" i="27" s="1"/>
  <c r="AA267" i="16"/>
  <c r="L267" i="27" s="1"/>
  <c r="O267" i="27" s="1"/>
  <c r="AA253" i="16"/>
  <c r="L253" i="27" s="1"/>
  <c r="O253" i="27" s="1"/>
  <c r="AA254" i="16"/>
  <c r="AA286" i="16"/>
  <c r="L286" i="27" s="1"/>
  <c r="O286" i="27" s="1"/>
  <c r="AA260" i="16"/>
  <c r="L260" i="27" s="1"/>
  <c r="O260" i="27" s="1"/>
  <c r="AA292" i="16"/>
  <c r="L292" i="27" s="1"/>
  <c r="O292" i="27" s="1"/>
  <c r="AA85" i="16"/>
  <c r="AG85" i="16" s="1"/>
  <c r="AA82" i="16"/>
  <c r="AG82" i="16" s="1"/>
  <c r="AA23" i="17"/>
  <c r="AA21" i="17"/>
  <c r="AA2" i="16"/>
  <c r="L2" i="27" s="1"/>
  <c r="AA11" i="16"/>
  <c r="L11" i="27" s="1"/>
  <c r="O11" i="27" s="1"/>
  <c r="AA147" i="17"/>
  <c r="AA118" i="16"/>
  <c r="L118" i="27" s="1"/>
  <c r="AA119" i="16"/>
  <c r="AA120" i="16"/>
  <c r="L120" i="27" s="1"/>
  <c r="O120" i="27" s="1"/>
  <c r="AA52" i="17"/>
  <c r="AA56" i="17"/>
  <c r="AA60" i="17"/>
  <c r="AA156" i="16"/>
  <c r="L156" i="27" s="1"/>
  <c r="O156" i="27" s="1"/>
  <c r="AA88" i="17"/>
  <c r="AA92" i="17"/>
  <c r="AA96" i="17"/>
  <c r="AA41" i="16"/>
  <c r="L41" i="27" s="1"/>
  <c r="O41" i="27" s="1"/>
  <c r="AA9" i="17"/>
  <c r="AA78" i="16"/>
  <c r="AG78" i="16" s="1"/>
  <c r="AA8" i="17"/>
  <c r="AA75" i="16"/>
  <c r="AG75" i="16" s="1"/>
  <c r="AA4" i="17"/>
  <c r="AA72" i="16"/>
  <c r="AG72" i="16" s="1"/>
  <c r="AA57" i="16"/>
  <c r="AA50" i="16"/>
  <c r="L50" i="27" s="1"/>
  <c r="O50" i="27" s="1"/>
  <c r="AA66" i="16"/>
  <c r="L66" i="27" s="1"/>
  <c r="O66" i="27" s="1"/>
  <c r="AA51" i="16"/>
  <c r="L51" i="27" s="1"/>
  <c r="O51" i="27" s="1"/>
  <c r="AA67" i="16"/>
  <c r="AA56" i="16"/>
  <c r="L56" i="27" s="1"/>
  <c r="O56" i="27" s="1"/>
  <c r="AA109" i="16"/>
  <c r="AG109" i="16" s="1"/>
  <c r="AA113" i="16"/>
  <c r="AG113" i="16" s="1"/>
  <c r="AA117" i="16"/>
  <c r="AG117" i="16" s="1"/>
  <c r="AA39" i="17"/>
  <c r="AA43" i="17"/>
  <c r="AA249" i="16"/>
  <c r="L249" i="27" s="1"/>
  <c r="O249" i="27" s="1"/>
  <c r="AA281" i="16"/>
  <c r="AA255" i="16"/>
  <c r="L255" i="27" s="1"/>
  <c r="O255" i="27" s="1"/>
  <c r="AA259" i="16"/>
  <c r="L259" i="27" s="1"/>
  <c r="O259" i="27" s="1"/>
  <c r="AA291" i="16"/>
  <c r="L291" i="27" s="1"/>
  <c r="O291" i="27" s="1"/>
  <c r="AA287" i="16"/>
  <c r="L287" i="27" s="1"/>
  <c r="O287" i="27" s="1"/>
  <c r="AA277" i="16"/>
  <c r="L277" i="27" s="1"/>
  <c r="O277" i="27" s="1"/>
  <c r="AA250" i="16"/>
  <c r="L250" i="27" s="1"/>
  <c r="O250" i="27" s="1"/>
  <c r="AA266" i="16"/>
  <c r="L266" i="27" s="1"/>
  <c r="O266" i="27" s="1"/>
  <c r="AA282" i="16"/>
  <c r="AA298" i="16"/>
  <c r="L298" i="27" s="1"/>
  <c r="O298" i="27" s="1"/>
  <c r="AA256" i="16"/>
  <c r="L256" i="27" s="1"/>
  <c r="O256" i="27" s="1"/>
  <c r="AA272" i="16"/>
  <c r="L272" i="27" s="1"/>
  <c r="O272" i="27" s="1"/>
  <c r="AA288" i="16"/>
  <c r="AA304" i="16"/>
  <c r="L304" i="27" s="1"/>
  <c r="O304" i="27" s="1"/>
  <c r="AA321" i="16"/>
  <c r="L321" i="27" s="1"/>
  <c r="AA330" i="16"/>
  <c r="L330" i="27" s="1"/>
  <c r="O330" i="27" s="1"/>
  <c r="AA328" i="16"/>
  <c r="AA18" i="17"/>
  <c r="AA86" i="16"/>
  <c r="AG86" i="16" s="1"/>
  <c r="AA20" i="17"/>
  <c r="AA87" i="16"/>
  <c r="AG87" i="16" s="1"/>
  <c r="AA19" i="17"/>
  <c r="AA88" i="16"/>
  <c r="AG88" i="16" s="1"/>
  <c r="AA6" i="16"/>
  <c r="L6" i="27" s="1"/>
  <c r="O6" i="27" s="1"/>
  <c r="AA7" i="16"/>
  <c r="AA8" i="16"/>
  <c r="L8" i="27" s="1"/>
  <c r="O8" i="27" s="1"/>
  <c r="AA316" i="16"/>
  <c r="AG316" i="16" s="1"/>
  <c r="AA271" i="16"/>
  <c r="AA265" i="16"/>
  <c r="L265" i="27" s="1"/>
  <c r="O265" i="27" s="1"/>
  <c r="AA297" i="16"/>
  <c r="L297" i="27" s="1"/>
  <c r="O297" i="27" s="1"/>
  <c r="AA295" i="16"/>
  <c r="L295" i="27" s="1"/>
  <c r="O295" i="27" s="1"/>
  <c r="AA275" i="16"/>
  <c r="AA307" i="16"/>
  <c r="L307" i="27" s="1"/>
  <c r="O307" i="27" s="1"/>
  <c r="AA261" i="16"/>
  <c r="L261" i="27" s="1"/>
  <c r="O261" i="27" s="1"/>
  <c r="AA293" i="16"/>
  <c r="L293" i="27" s="1"/>
  <c r="O293" i="27" s="1"/>
  <c r="AA258" i="16"/>
  <c r="L258" i="27" s="1"/>
  <c r="O258" i="27" s="1"/>
  <c r="AA274" i="16"/>
  <c r="AA290" i="16"/>
  <c r="L290" i="27" s="1"/>
  <c r="O290" i="27" s="1"/>
  <c r="AA306" i="16"/>
  <c r="L306" i="27" s="1"/>
  <c r="O306" i="27" s="1"/>
  <c r="AA264" i="16"/>
  <c r="AA280" i="16"/>
  <c r="L280" i="27" s="1"/>
  <c r="O280" i="27" s="1"/>
  <c r="AA296" i="16"/>
  <c r="L296" i="27" s="1"/>
  <c r="O296" i="27" s="1"/>
  <c r="AA26" i="17"/>
  <c r="AA93" i="16"/>
  <c r="AG93" i="16" s="1"/>
  <c r="AA314" i="16"/>
  <c r="AG314" i="16" s="1"/>
  <c r="AA317" i="16"/>
  <c r="AG317" i="16" s="1"/>
  <c r="AA155" i="17"/>
  <c r="AA150" i="17"/>
  <c r="AA319" i="16"/>
  <c r="AG319" i="16" s="1"/>
  <c r="AA154" i="17"/>
  <c r="AA149" i="17"/>
  <c r="AA152" i="17"/>
  <c r="AA146" i="17"/>
  <c r="AA151" i="17"/>
  <c r="AA320" i="16"/>
  <c r="AG320" i="16" s="1"/>
  <c r="AA318" i="16"/>
  <c r="AG318" i="16" s="1"/>
  <c r="AA148" i="17"/>
  <c r="AA315" i="16"/>
  <c r="AG315" i="16" s="1"/>
  <c r="AA153" i="17"/>
  <c r="AA313" i="16"/>
  <c r="AG313" i="16" s="1"/>
  <c r="AA312" i="16"/>
  <c r="AG312" i="16" s="1"/>
  <c r="AA157" i="17"/>
  <c r="AA309" i="16"/>
  <c r="AG309" i="16" s="1"/>
  <c r="AA156" i="17"/>
  <c r="AG123" i="16"/>
  <c r="AG140" i="16"/>
  <c r="AG243" i="16"/>
  <c r="AG219" i="16"/>
  <c r="AG69" i="16"/>
  <c r="AG60" i="16"/>
  <c r="AG301" i="16"/>
  <c r="AG260" i="16"/>
  <c r="AG329" i="16"/>
  <c r="AG225" i="16"/>
  <c r="AG13" i="16"/>
  <c r="AG133" i="16"/>
  <c r="AG239" i="16"/>
  <c r="AG242" i="16"/>
  <c r="AG224" i="16"/>
  <c r="AG58" i="16"/>
  <c r="AG64" i="16"/>
  <c r="AG265" i="16"/>
  <c r="AG307" i="16"/>
  <c r="AG277" i="16"/>
  <c r="AG262" i="16"/>
  <c r="AG278" i="16"/>
  <c r="AG280" i="16"/>
  <c r="AG233" i="16"/>
  <c r="AG229" i="16"/>
  <c r="AG2" i="16"/>
  <c r="AG3" i="16"/>
  <c r="AG129" i="16"/>
  <c r="AG130" i="16"/>
  <c r="AG131" i="16"/>
  <c r="AG132" i="16"/>
  <c r="AG247" i="16"/>
  <c r="AG223" i="16"/>
  <c r="AG222" i="16"/>
  <c r="AG46" i="16"/>
  <c r="AG47" i="16"/>
  <c r="AG151" i="16"/>
  <c r="AG273" i="16"/>
  <c r="AG252" i="16"/>
  <c r="AG284" i="16"/>
  <c r="AG300" i="16"/>
  <c r="AG231" i="16"/>
  <c r="AG121" i="16"/>
  <c r="AG120" i="16"/>
  <c r="AG135" i="16"/>
  <c r="AG136" i="16"/>
  <c r="AG217" i="16"/>
  <c r="AG216" i="16"/>
  <c r="AG149" i="16"/>
  <c r="AG227" i="16"/>
  <c r="AG230" i="16"/>
  <c r="AG236" i="16"/>
  <c r="AG12" i="16"/>
  <c r="X5" i="12"/>
  <c r="W44" i="12"/>
  <c r="X5" i="13"/>
  <c r="W44" i="13"/>
  <c r="AG53" i="16" l="1"/>
  <c r="AG145" i="16"/>
  <c r="AG128" i="16"/>
  <c r="AG42" i="16"/>
  <c r="AG38" i="16"/>
  <c r="AG124" i="16"/>
  <c r="AG322" i="16"/>
  <c r="AG268" i="16"/>
  <c r="AG150" i="16"/>
  <c r="AG213" i="16"/>
  <c r="AG141" i="16"/>
  <c r="AG279" i="16"/>
  <c r="AG134" i="16"/>
  <c r="AG326" i="16"/>
  <c r="AG138" i="16"/>
  <c r="AG256" i="16"/>
  <c r="AG43" i="16"/>
  <c r="AG164" i="16"/>
  <c r="AG327" i="16"/>
  <c r="AG293" i="16"/>
  <c r="AG266" i="16"/>
  <c r="AG259" i="16"/>
  <c r="AG258" i="16"/>
  <c r="AG55" i="16"/>
  <c r="L7" i="32"/>
  <c r="L13" i="32" s="1"/>
  <c r="J13" i="32"/>
  <c r="L9" i="32"/>
  <c r="J15" i="32"/>
  <c r="J14" i="32"/>
  <c r="AG255" i="16"/>
  <c r="AG251" i="16"/>
  <c r="AG228" i="16"/>
  <c r="AG294" i="16"/>
  <c r="AG234" i="16"/>
  <c r="AG44" i="16"/>
  <c r="AG332" i="16"/>
  <c r="AG241" i="16"/>
  <c r="AG8" i="16"/>
  <c r="AG305" i="16"/>
  <c r="AG125" i="16"/>
  <c r="AG248" i="16"/>
  <c r="AG127" i="16"/>
  <c r="AG235" i="16"/>
  <c r="AG289" i="16"/>
  <c r="AG159" i="16"/>
  <c r="AG261" i="16"/>
  <c r="AG41" i="16"/>
  <c r="AG154" i="16"/>
  <c r="AG126" i="16"/>
  <c r="AG214" i="16"/>
  <c r="AG139" i="16"/>
  <c r="AG51" i="16"/>
  <c r="AG6" i="16"/>
  <c r="AG253" i="16"/>
  <c r="AG49" i="16"/>
  <c r="AG246" i="16"/>
  <c r="AG165" i="16"/>
  <c r="AG48" i="16"/>
  <c r="AG218" i="16"/>
  <c r="AG272" i="16"/>
  <c r="AG263" i="16"/>
  <c r="AG249" i="16"/>
  <c r="AG245" i="16"/>
  <c r="AG291" i="16"/>
  <c r="AG118" i="16"/>
  <c r="AG324" i="16"/>
  <c r="AG59" i="16"/>
  <c r="AG269" i="16"/>
  <c r="AG153" i="16"/>
  <c r="AG237" i="16"/>
  <c r="AG161" i="16"/>
  <c r="AG292" i="16"/>
  <c r="AG143" i="16"/>
  <c r="AG244" i="16"/>
  <c r="AG221" i="16"/>
  <c r="AG45" i="16"/>
  <c r="AG330" i="16"/>
  <c r="AG325" i="16"/>
  <c r="AG152" i="16"/>
  <c r="AG299" i="16"/>
  <c r="AG142" i="16"/>
  <c r="L211" i="27"/>
  <c r="O211" i="27" s="1"/>
  <c r="L209" i="27"/>
  <c r="O209" i="27" s="1"/>
  <c r="L207" i="27"/>
  <c r="O207" i="27" s="1"/>
  <c r="L205" i="27"/>
  <c r="O205" i="27" s="1"/>
  <c r="L203" i="27"/>
  <c r="O203" i="27" s="1"/>
  <c r="L201" i="27"/>
  <c r="O201" i="27" s="1"/>
  <c r="L199" i="27"/>
  <c r="O199" i="27" s="1"/>
  <c r="L197" i="27"/>
  <c r="O197" i="27" s="1"/>
  <c r="L195" i="27"/>
  <c r="O195" i="27" s="1"/>
  <c r="L193" i="27"/>
  <c r="O193" i="27" s="1"/>
  <c r="L191" i="27"/>
  <c r="O191" i="27" s="1"/>
  <c r="L189" i="27"/>
  <c r="O189" i="27" s="1"/>
  <c r="L187" i="27"/>
  <c r="O187" i="27" s="1"/>
  <c r="L212" i="27"/>
  <c r="O212" i="27" s="1"/>
  <c r="L210" i="27"/>
  <c r="O210" i="27" s="1"/>
  <c r="L208" i="27"/>
  <c r="O208" i="27" s="1"/>
  <c r="L206" i="27"/>
  <c r="O206" i="27" s="1"/>
  <c r="L204" i="27"/>
  <c r="O204" i="27" s="1"/>
  <c r="L202" i="27"/>
  <c r="O202" i="27" s="1"/>
  <c r="L200" i="27"/>
  <c r="O200" i="27" s="1"/>
  <c r="L198" i="27"/>
  <c r="O198" i="27" s="1"/>
  <c r="L196" i="27"/>
  <c r="O196" i="27" s="1"/>
  <c r="L194" i="27"/>
  <c r="O194" i="27" s="1"/>
  <c r="L192" i="27"/>
  <c r="O192" i="27" s="1"/>
  <c r="L190" i="27"/>
  <c r="O190" i="27" s="1"/>
  <c r="L188" i="27"/>
  <c r="O188" i="27" s="1"/>
  <c r="L186" i="27"/>
  <c r="O186" i="27" s="1"/>
  <c r="L184" i="27"/>
  <c r="O184" i="27" s="1"/>
  <c r="L182" i="27"/>
  <c r="O182" i="27" s="1"/>
  <c r="L180" i="27"/>
  <c r="O180" i="27" s="1"/>
  <c r="L178" i="27"/>
  <c r="O178" i="27" s="1"/>
  <c r="L176" i="27"/>
  <c r="O176" i="27" s="1"/>
  <c r="L174" i="27"/>
  <c r="O174" i="27" s="1"/>
  <c r="L172" i="27"/>
  <c r="O172" i="27" s="1"/>
  <c r="L170" i="27"/>
  <c r="O170" i="27" s="1"/>
  <c r="L168" i="27"/>
  <c r="O168" i="27" s="1"/>
  <c r="L166" i="27"/>
  <c r="O166" i="27" s="1"/>
  <c r="L179" i="27"/>
  <c r="O179" i="27" s="1"/>
  <c r="L171" i="27"/>
  <c r="O171" i="27" s="1"/>
  <c r="L185" i="27"/>
  <c r="O185" i="27" s="1"/>
  <c r="L177" i="27"/>
  <c r="O177" i="27" s="1"/>
  <c r="L169" i="27"/>
  <c r="O169" i="27" s="1"/>
  <c r="L183" i="27"/>
  <c r="O183" i="27" s="1"/>
  <c r="L175" i="27"/>
  <c r="O175" i="27" s="1"/>
  <c r="L167" i="27"/>
  <c r="O167" i="27" s="1"/>
  <c r="L46" i="27"/>
  <c r="O46" i="27" s="1"/>
  <c r="L181" i="27"/>
  <c r="O181" i="27" s="1"/>
  <c r="L173" i="27"/>
  <c r="O173" i="27" s="1"/>
  <c r="AG250" i="16"/>
  <c r="AG63" i="16"/>
  <c r="AG163" i="16"/>
  <c r="AG306" i="16"/>
  <c r="O321" i="27"/>
  <c r="AG304" i="16"/>
  <c r="AG286" i="16"/>
  <c r="AG50" i="16"/>
  <c r="AG240" i="16"/>
  <c r="AG156" i="16"/>
  <c r="AG321" i="16"/>
  <c r="AG323" i="16"/>
  <c r="AG147" i="16"/>
  <c r="AG162" i="16"/>
  <c r="AG9" i="16"/>
  <c r="AG290" i="16"/>
  <c r="AG257" i="16"/>
  <c r="AG274" i="16"/>
  <c r="L274" i="27"/>
  <c r="O274" i="27" s="1"/>
  <c r="AG7" i="16"/>
  <c r="L7" i="27"/>
  <c r="O7" i="27" s="1"/>
  <c r="AG328" i="16"/>
  <c r="L328" i="27"/>
  <c r="O328" i="27" s="1"/>
  <c r="AG288" i="16"/>
  <c r="L288" i="27"/>
  <c r="O288" i="27" s="1"/>
  <c r="AG282" i="16"/>
  <c r="L282" i="27"/>
  <c r="O282" i="27" s="1"/>
  <c r="AG281" i="16"/>
  <c r="L281" i="27"/>
  <c r="O281" i="27" s="1"/>
  <c r="AG67" i="16"/>
  <c r="L67" i="27"/>
  <c r="O67" i="27" s="1"/>
  <c r="AG57" i="16"/>
  <c r="L57" i="27"/>
  <c r="O57" i="27" s="1"/>
  <c r="AG119" i="16"/>
  <c r="L119" i="27"/>
  <c r="O119" i="27" s="1"/>
  <c r="O2" i="27"/>
  <c r="AG254" i="16"/>
  <c r="L254" i="27"/>
  <c r="O254" i="27" s="1"/>
  <c r="AG68" i="16"/>
  <c r="L68" i="27"/>
  <c r="O68" i="27" s="1"/>
  <c r="AG122" i="16"/>
  <c r="L122" i="27"/>
  <c r="O122" i="27" s="1"/>
  <c r="L319" i="27"/>
  <c r="O319" i="27" s="1"/>
  <c r="L315" i="27"/>
  <c r="O315" i="27" s="1"/>
  <c r="L311" i="27"/>
  <c r="O311" i="27" s="1"/>
  <c r="L320" i="27"/>
  <c r="O320" i="27" s="1"/>
  <c r="L316" i="27"/>
  <c r="O316" i="27" s="1"/>
  <c r="L312" i="27"/>
  <c r="O312" i="27" s="1"/>
  <c r="L317" i="27"/>
  <c r="O317" i="27" s="1"/>
  <c r="L313" i="27"/>
  <c r="O313" i="27" s="1"/>
  <c r="L309" i="27"/>
  <c r="O309" i="27" s="1"/>
  <c r="L318" i="27"/>
  <c r="O318" i="27" s="1"/>
  <c r="L314" i="27"/>
  <c r="O314" i="27" s="1"/>
  <c r="L310" i="27"/>
  <c r="O310" i="27" s="1"/>
  <c r="L308" i="27"/>
  <c r="O308" i="27" s="1"/>
  <c r="AG285" i="16"/>
  <c r="L285" i="27"/>
  <c r="O285" i="27" s="1"/>
  <c r="AG54" i="16"/>
  <c r="L54" i="27"/>
  <c r="O54" i="27" s="1"/>
  <c r="AG52" i="16"/>
  <c r="L52" i="27"/>
  <c r="O52" i="27" s="1"/>
  <c r="AG10" i="16"/>
  <c r="L10" i="27"/>
  <c r="O10" i="27" s="1"/>
  <c r="AG303" i="16"/>
  <c r="L303" i="27"/>
  <c r="O303" i="27" s="1"/>
  <c r="O38" i="27"/>
  <c r="AG302" i="16"/>
  <c r="AG66" i="16"/>
  <c r="AG39" i="16"/>
  <c r="AG232" i="16"/>
  <c r="AG4" i="16"/>
  <c r="AG295" i="16"/>
  <c r="AG137" i="16"/>
  <c r="AG331" i="16"/>
  <c r="AG11" i="16"/>
  <c r="AG270" i="16"/>
  <c r="AG144" i="16"/>
  <c r="AG56" i="16"/>
  <c r="AG155" i="16"/>
  <c r="AG226" i="16"/>
  <c r="AG298" i="16"/>
  <c r="AG283" i="16"/>
  <c r="AG62" i="16"/>
  <c r="AG157" i="16"/>
  <c r="AG296" i="16"/>
  <c r="AG297" i="16"/>
  <c r="AG146" i="16"/>
  <c r="AG65" i="16"/>
  <c r="AG215" i="16"/>
  <c r="AG40" i="16"/>
  <c r="AG5" i="16"/>
  <c r="AG267" i="16"/>
  <c r="AG148" i="16"/>
  <c r="AG61" i="16"/>
  <c r="AG220" i="16"/>
  <c r="AG238" i="16"/>
  <c r="AG158" i="16"/>
  <c r="AG264" i="16"/>
  <c r="L264" i="27"/>
  <c r="O264" i="27" s="1"/>
  <c r="AG275" i="16"/>
  <c r="L275" i="27"/>
  <c r="O275" i="27" s="1"/>
  <c r="AG271" i="16"/>
  <c r="L271" i="27"/>
  <c r="O271" i="27" s="1"/>
  <c r="O118" i="27"/>
  <c r="AG276" i="16"/>
  <c r="L276" i="27"/>
  <c r="O276" i="27" s="1"/>
  <c r="AG160" i="16"/>
  <c r="L160" i="27"/>
  <c r="O160" i="27" s="1"/>
  <c r="AG106" i="16"/>
  <c r="L117" i="27"/>
  <c r="O117" i="27" s="1"/>
  <c r="L115" i="27"/>
  <c r="O115" i="27" s="1"/>
  <c r="L113" i="27"/>
  <c r="O113" i="27" s="1"/>
  <c r="L111" i="27"/>
  <c r="O111" i="27" s="1"/>
  <c r="L109" i="27"/>
  <c r="O109" i="27" s="1"/>
  <c r="L107" i="27"/>
  <c r="O107" i="27" s="1"/>
  <c r="L105" i="27"/>
  <c r="O105" i="27" s="1"/>
  <c r="L103" i="27"/>
  <c r="O103" i="27" s="1"/>
  <c r="L101" i="27"/>
  <c r="O101" i="27" s="1"/>
  <c r="L99" i="27"/>
  <c r="O99" i="27" s="1"/>
  <c r="L97" i="27"/>
  <c r="O97" i="27" s="1"/>
  <c r="L95" i="27"/>
  <c r="O95" i="27" s="1"/>
  <c r="L93" i="27"/>
  <c r="O93" i="27" s="1"/>
  <c r="L91" i="27"/>
  <c r="O91" i="27" s="1"/>
  <c r="L89" i="27"/>
  <c r="O89" i="27" s="1"/>
  <c r="L87" i="27"/>
  <c r="O87" i="27" s="1"/>
  <c r="L85" i="27"/>
  <c r="O85" i="27" s="1"/>
  <c r="L83" i="27"/>
  <c r="O83" i="27" s="1"/>
  <c r="L81" i="27"/>
  <c r="O81" i="27" s="1"/>
  <c r="L79" i="27"/>
  <c r="O79" i="27" s="1"/>
  <c r="L77" i="27"/>
  <c r="O77" i="27" s="1"/>
  <c r="L75" i="27"/>
  <c r="O75" i="27" s="1"/>
  <c r="L73" i="27"/>
  <c r="O73" i="27" s="1"/>
  <c r="L71" i="27"/>
  <c r="O71" i="27" s="1"/>
  <c r="L116" i="27"/>
  <c r="O116" i="27" s="1"/>
  <c r="L114" i="27"/>
  <c r="O114" i="27" s="1"/>
  <c r="L112" i="27"/>
  <c r="O112" i="27" s="1"/>
  <c r="L110" i="27"/>
  <c r="O110" i="27" s="1"/>
  <c r="L108" i="27"/>
  <c r="O108" i="27" s="1"/>
  <c r="L106" i="27"/>
  <c r="O106" i="27" s="1"/>
  <c r="L104" i="27"/>
  <c r="O104" i="27" s="1"/>
  <c r="L102" i="27"/>
  <c r="O102" i="27" s="1"/>
  <c r="L100" i="27"/>
  <c r="O100" i="27" s="1"/>
  <c r="L98" i="27"/>
  <c r="O98" i="27" s="1"/>
  <c r="L96" i="27"/>
  <c r="O96" i="27" s="1"/>
  <c r="L94" i="27"/>
  <c r="O94" i="27" s="1"/>
  <c r="L92" i="27"/>
  <c r="O92" i="27" s="1"/>
  <c r="L90" i="27"/>
  <c r="O90" i="27" s="1"/>
  <c r="L88" i="27"/>
  <c r="O88" i="27" s="1"/>
  <c r="L86" i="27"/>
  <c r="O86" i="27" s="1"/>
  <c r="L84" i="27"/>
  <c r="O84" i="27" s="1"/>
  <c r="L82" i="27"/>
  <c r="O82" i="27" s="1"/>
  <c r="L80" i="27"/>
  <c r="O80" i="27" s="1"/>
  <c r="L78" i="27"/>
  <c r="O78" i="27" s="1"/>
  <c r="L76" i="27"/>
  <c r="O76" i="27" s="1"/>
  <c r="L74" i="27"/>
  <c r="O74" i="27" s="1"/>
  <c r="L72" i="27"/>
  <c r="O72" i="27" s="1"/>
  <c r="L70" i="27"/>
  <c r="O70" i="27" s="1"/>
  <c r="AG308" i="16"/>
  <c r="AG287" i="16"/>
  <c r="X44" i="13"/>
  <c r="AA5" i="13"/>
  <c r="X44" i="12"/>
  <c r="AA5" i="12"/>
  <c r="AA44" i="12" s="1"/>
  <c r="G10" i="36" l="1"/>
  <c r="G5" i="36"/>
  <c r="L15" i="32"/>
  <c r="L14" i="32"/>
  <c r="AP5" i="16"/>
  <c r="AQ5" i="16" s="1"/>
  <c r="AP6" i="16"/>
  <c r="AQ6" i="16" s="1"/>
  <c r="W11" i="27"/>
  <c r="AP4" i="16"/>
  <c r="AQ4" i="16" s="1"/>
  <c r="AP3" i="16"/>
  <c r="AQ3" i="16" s="1"/>
  <c r="AC10" i="27"/>
  <c r="AC9" i="27"/>
  <c r="AC11" i="27"/>
  <c r="T10" i="27"/>
  <c r="AC12" i="27"/>
  <c r="T11" i="27"/>
  <c r="Z11" i="27" s="1"/>
  <c r="T9" i="27"/>
  <c r="W10" i="27"/>
  <c r="W12" i="27"/>
  <c r="W9" i="27"/>
  <c r="T12" i="27"/>
  <c r="AA44" i="13"/>
  <c r="AA36" i="16"/>
  <c r="L36" i="27" s="1"/>
  <c r="O36" i="27" s="1"/>
  <c r="AA32" i="16"/>
  <c r="L32" i="27" s="1"/>
  <c r="O32" i="27" s="1"/>
  <c r="AA28" i="16"/>
  <c r="L28" i="27" s="1"/>
  <c r="O28" i="27" s="1"/>
  <c r="AA33" i="16"/>
  <c r="L33" i="27" s="1"/>
  <c r="O33" i="27" s="1"/>
  <c r="AA35" i="16"/>
  <c r="L35" i="27" s="1"/>
  <c r="O35" i="27" s="1"/>
  <c r="AA31" i="16"/>
  <c r="L31" i="27" s="1"/>
  <c r="O31" i="27" s="1"/>
  <c r="AA27" i="16"/>
  <c r="L27" i="27" s="1"/>
  <c r="O27" i="27" s="1"/>
  <c r="AA29" i="16"/>
  <c r="L29" i="27" s="1"/>
  <c r="O29" i="27" s="1"/>
  <c r="AA34" i="16"/>
  <c r="L34" i="27" s="1"/>
  <c r="O34" i="27" s="1"/>
  <c r="AA30" i="16"/>
  <c r="L30" i="27" s="1"/>
  <c r="O30" i="27" s="1"/>
  <c r="AA26" i="16"/>
  <c r="L26" i="27" s="1"/>
  <c r="O26" i="27" s="1"/>
  <c r="AA37" i="16"/>
  <c r="L37" i="27" s="1"/>
  <c r="O37" i="27" s="1"/>
  <c r="AH11" i="27" l="1"/>
  <c r="W7" i="27"/>
  <c r="Z10" i="27"/>
  <c r="AH10" i="27" s="1"/>
  <c r="Z12" i="27"/>
  <c r="AH12" i="27" s="1"/>
  <c r="AP8" i="16"/>
  <c r="AQ8" i="16" s="1"/>
  <c r="Z9" i="27"/>
  <c r="AH9" i="27" s="1"/>
  <c r="T7" i="27"/>
  <c r="AG37" i="16"/>
  <c r="AG33" i="16"/>
  <c r="AG26" i="16"/>
  <c r="AG27" i="16"/>
  <c r="AG28" i="16"/>
  <c r="AG30" i="16"/>
  <c r="AG31" i="16"/>
  <c r="AG32" i="16"/>
  <c r="AG34" i="16"/>
  <c r="AG35" i="16"/>
  <c r="AG36" i="16"/>
  <c r="AG29" i="16"/>
  <c r="Z7" i="27" l="1"/>
  <c r="AC7" i="27"/>
  <c r="AH7" i="27" s="1"/>
  <c r="AP2" i="16"/>
  <c r="AP7" i="16" l="1"/>
  <c r="AQ2" i="16"/>
  <c r="AP9" i="16" l="1"/>
  <c r="AQ9" i="16" s="1"/>
  <c r="AQ7" i="16"/>
  <c r="K2" i="27"/>
  <c r="N2" i="27"/>
  <c r="K3" i="27"/>
  <c r="N3" i="27"/>
  <c r="K4" i="27"/>
  <c r="N4" i="27"/>
  <c r="K5" i="27"/>
  <c r="N5" i="27"/>
  <c r="K6" i="27"/>
  <c r="N6" i="27"/>
  <c r="K7" i="27"/>
  <c r="N7" i="27"/>
  <c r="R7" i="27"/>
  <c r="S7" i="27"/>
  <c r="U7" i="27"/>
  <c r="V7" i="27"/>
  <c r="X7" i="27"/>
  <c r="Y7" i="27"/>
  <c r="AA7" i="27"/>
  <c r="AB7" i="27"/>
  <c r="AF7" i="27"/>
  <c r="AG7" i="27"/>
  <c r="AI7" i="27"/>
  <c r="AJ7" i="27"/>
  <c r="K8" i="27"/>
  <c r="N8" i="27"/>
  <c r="K9" i="27"/>
  <c r="N9" i="27"/>
  <c r="S9" i="27"/>
  <c r="V9" i="27"/>
  <c r="Y9" i="27"/>
  <c r="AB9" i="27"/>
  <c r="AE9" i="27"/>
  <c r="AG9" i="27"/>
  <c r="AJ9" i="27"/>
  <c r="K10" i="27"/>
  <c r="N10" i="27"/>
  <c r="S10" i="27"/>
  <c r="V10" i="27"/>
  <c r="Y10" i="27"/>
  <c r="AB10" i="27"/>
  <c r="AE10" i="27"/>
  <c r="AG10" i="27"/>
  <c r="AJ10" i="27"/>
  <c r="K11" i="27"/>
  <c r="N11" i="27"/>
  <c r="S11" i="27"/>
  <c r="V11" i="27"/>
  <c r="Y11" i="27"/>
  <c r="AB11" i="27"/>
  <c r="AE11" i="27"/>
  <c r="AG11" i="27"/>
  <c r="AJ11" i="27"/>
  <c r="K12" i="27"/>
  <c r="N12" i="27"/>
  <c r="S12" i="27"/>
  <c r="V12" i="27"/>
  <c r="Y12" i="27"/>
  <c r="AB12" i="27"/>
  <c r="AG12" i="27"/>
  <c r="AJ12" i="27"/>
  <c r="K13" i="27"/>
  <c r="N13" i="27"/>
  <c r="J14" i="27"/>
  <c r="M14" i="27"/>
  <c r="J15" i="27"/>
  <c r="M15" i="27"/>
  <c r="J16" i="27"/>
  <c r="M16" i="27"/>
  <c r="J17" i="27"/>
  <c r="M17" i="27"/>
  <c r="J18" i="27"/>
  <c r="M18" i="27"/>
  <c r="J19" i="27"/>
  <c r="M19" i="27"/>
  <c r="J20" i="27"/>
  <c r="M20" i="27"/>
  <c r="J21" i="27"/>
  <c r="M21" i="27"/>
  <c r="J22" i="27"/>
  <c r="M22" i="27"/>
  <c r="J23" i="27"/>
  <c r="M23" i="27"/>
  <c r="J24" i="27"/>
  <c r="M24" i="27"/>
  <c r="J25" i="27"/>
  <c r="M25" i="27"/>
  <c r="K26" i="27"/>
  <c r="N26" i="27"/>
  <c r="K27" i="27"/>
  <c r="N27" i="27"/>
  <c r="K28" i="27"/>
  <c r="N28" i="27"/>
  <c r="K29" i="27"/>
  <c r="N29" i="27"/>
  <c r="K30" i="27"/>
  <c r="N30" i="27"/>
  <c r="K31" i="27"/>
  <c r="N31" i="27"/>
  <c r="K32" i="27"/>
  <c r="N32" i="27"/>
  <c r="K33" i="27"/>
  <c r="N33" i="27"/>
  <c r="K34" i="27"/>
  <c r="N34" i="27"/>
  <c r="K35" i="27"/>
  <c r="N35" i="27"/>
  <c r="K36" i="27"/>
  <c r="N36" i="27"/>
  <c r="K37" i="27"/>
  <c r="N37" i="27"/>
  <c r="K38" i="27"/>
  <c r="N38" i="27"/>
  <c r="K39" i="27"/>
  <c r="N39" i="27"/>
  <c r="K40" i="27"/>
  <c r="N40" i="27"/>
  <c r="K41" i="27"/>
  <c r="N41" i="27"/>
  <c r="K42" i="27"/>
  <c r="N42" i="27"/>
  <c r="K43" i="27"/>
  <c r="N43" i="27"/>
  <c r="K44" i="27"/>
  <c r="N44" i="27"/>
  <c r="K45" i="27"/>
  <c r="N45" i="27"/>
  <c r="K46" i="27"/>
  <c r="N46" i="27"/>
  <c r="K47" i="27"/>
  <c r="N47" i="27"/>
  <c r="K48" i="27"/>
  <c r="N48" i="27"/>
  <c r="K49" i="27"/>
  <c r="N49" i="27"/>
  <c r="K50" i="27"/>
  <c r="N50" i="27"/>
  <c r="K51" i="27"/>
  <c r="N51" i="27"/>
  <c r="K52" i="27"/>
  <c r="N52" i="27"/>
  <c r="K53" i="27"/>
  <c r="N53" i="27"/>
  <c r="K54" i="27"/>
  <c r="N54" i="27"/>
  <c r="K55" i="27"/>
  <c r="N55" i="27"/>
  <c r="K56" i="27"/>
  <c r="N56" i="27"/>
  <c r="K57" i="27"/>
  <c r="N57" i="27"/>
  <c r="K58" i="27"/>
  <c r="N58" i="27"/>
  <c r="K59" i="27"/>
  <c r="N59" i="27"/>
  <c r="K60" i="27"/>
  <c r="N60" i="27"/>
  <c r="K61" i="27"/>
  <c r="N61" i="27"/>
  <c r="K62" i="27"/>
  <c r="N62" i="27"/>
  <c r="K63" i="27"/>
  <c r="N63" i="27"/>
  <c r="K64" i="27"/>
  <c r="N64" i="27"/>
  <c r="K65" i="27"/>
  <c r="N65" i="27"/>
  <c r="K66" i="27"/>
  <c r="N66" i="27"/>
  <c r="K67" i="27"/>
  <c r="N67" i="27"/>
  <c r="K68" i="27"/>
  <c r="N68" i="27"/>
  <c r="K69" i="27"/>
  <c r="N69" i="27"/>
  <c r="K70" i="27"/>
  <c r="N70" i="27"/>
  <c r="K71" i="27"/>
  <c r="N71" i="27"/>
  <c r="K72" i="27"/>
  <c r="N72" i="27"/>
  <c r="K73" i="27"/>
  <c r="N73" i="27"/>
  <c r="K74" i="27"/>
  <c r="N74" i="27"/>
  <c r="K75" i="27"/>
  <c r="N75" i="27"/>
  <c r="K76" i="27"/>
  <c r="N76" i="27"/>
  <c r="K77" i="27"/>
  <c r="N77" i="27"/>
  <c r="K78" i="27"/>
  <c r="N78" i="27"/>
  <c r="K79" i="27"/>
  <c r="N79" i="27"/>
  <c r="K80" i="27"/>
  <c r="N80" i="27"/>
  <c r="K81" i="27"/>
  <c r="N81" i="27"/>
  <c r="K82" i="27"/>
  <c r="N82" i="27"/>
  <c r="K83" i="27"/>
  <c r="N83" i="27"/>
  <c r="K84" i="27"/>
  <c r="N84" i="27"/>
  <c r="K85" i="27"/>
  <c r="N85" i="27"/>
  <c r="K86" i="27"/>
  <c r="N86" i="27"/>
  <c r="K87" i="27"/>
  <c r="N87" i="27"/>
  <c r="K88" i="27"/>
  <c r="N88" i="27"/>
  <c r="K89" i="27"/>
  <c r="N89" i="27"/>
  <c r="K90" i="27"/>
  <c r="N90" i="27"/>
  <c r="K91" i="27"/>
  <c r="N91" i="27"/>
  <c r="K92" i="27"/>
  <c r="N92" i="27"/>
  <c r="K93" i="27"/>
  <c r="N93" i="27"/>
  <c r="K94" i="27"/>
  <c r="N94" i="27"/>
  <c r="K95" i="27"/>
  <c r="N95" i="27"/>
  <c r="K96" i="27"/>
  <c r="N96" i="27"/>
  <c r="K97" i="27"/>
  <c r="N97" i="27"/>
  <c r="K98" i="27"/>
  <c r="N98" i="27"/>
  <c r="K99" i="27"/>
  <c r="N99" i="27"/>
  <c r="K100" i="27"/>
  <c r="N100" i="27"/>
  <c r="K101" i="27"/>
  <c r="N101" i="27"/>
  <c r="K102" i="27"/>
  <c r="N102" i="27"/>
  <c r="K103" i="27"/>
  <c r="N103" i="27"/>
  <c r="K104" i="27"/>
  <c r="N104" i="27"/>
  <c r="K105" i="27"/>
  <c r="N105" i="27"/>
  <c r="K106" i="27"/>
  <c r="N106" i="27"/>
  <c r="K107" i="27"/>
  <c r="N107" i="27"/>
  <c r="K108" i="27"/>
  <c r="N108" i="27"/>
  <c r="K109" i="27"/>
  <c r="N109" i="27"/>
  <c r="K110" i="27"/>
  <c r="N110" i="27"/>
  <c r="K111" i="27"/>
  <c r="N111" i="27"/>
  <c r="K112" i="27"/>
  <c r="N112" i="27"/>
  <c r="K113" i="27"/>
  <c r="N113" i="27"/>
  <c r="K114" i="27"/>
  <c r="N114" i="27"/>
  <c r="K115" i="27"/>
  <c r="N115" i="27"/>
  <c r="K116" i="27"/>
  <c r="N116" i="27"/>
  <c r="K117" i="27"/>
  <c r="N117" i="27"/>
  <c r="K118" i="27"/>
  <c r="N118" i="27"/>
  <c r="K119" i="27"/>
  <c r="N119" i="27"/>
  <c r="K120" i="27"/>
  <c r="N120" i="27"/>
  <c r="K121" i="27"/>
  <c r="N121" i="27"/>
  <c r="K122" i="27"/>
  <c r="N122" i="27"/>
  <c r="K123" i="27"/>
  <c r="N123" i="27"/>
  <c r="K124" i="27"/>
  <c r="N124" i="27"/>
  <c r="K125" i="27"/>
  <c r="N125" i="27"/>
  <c r="K126" i="27"/>
  <c r="N126" i="27"/>
  <c r="K127" i="27"/>
  <c r="N127" i="27"/>
  <c r="K128" i="27"/>
  <c r="N128" i="27"/>
  <c r="K129" i="27"/>
  <c r="N129" i="27"/>
  <c r="K130" i="27"/>
  <c r="N130" i="27"/>
  <c r="K131" i="27"/>
  <c r="N131" i="27"/>
  <c r="K132" i="27"/>
  <c r="N132" i="27"/>
  <c r="K133" i="27"/>
  <c r="N133" i="27"/>
  <c r="K134" i="27"/>
  <c r="N134" i="27"/>
  <c r="K135" i="27"/>
  <c r="N135" i="27"/>
  <c r="K136" i="27"/>
  <c r="N136" i="27"/>
  <c r="K137" i="27"/>
  <c r="N137" i="27"/>
  <c r="K138" i="27"/>
  <c r="N138" i="27"/>
  <c r="K139" i="27"/>
  <c r="N139" i="27"/>
  <c r="K140" i="27"/>
  <c r="N140" i="27"/>
  <c r="K141" i="27"/>
  <c r="N141" i="27"/>
  <c r="K142" i="27"/>
  <c r="N142" i="27"/>
  <c r="K143" i="27"/>
  <c r="N143" i="27"/>
  <c r="K144" i="27"/>
  <c r="N144" i="27"/>
  <c r="K145" i="27"/>
  <c r="N145" i="27"/>
  <c r="K146" i="27"/>
  <c r="N146" i="27"/>
  <c r="K147" i="27"/>
  <c r="N147" i="27"/>
  <c r="K148" i="27"/>
  <c r="N148" i="27"/>
  <c r="K149" i="27"/>
  <c r="N149" i="27"/>
  <c r="K150" i="27"/>
  <c r="N150" i="27"/>
  <c r="K151" i="27"/>
  <c r="N151" i="27"/>
  <c r="K152" i="27"/>
  <c r="N152" i="27"/>
  <c r="K153" i="27"/>
  <c r="N153" i="27"/>
  <c r="K154" i="27"/>
  <c r="N154" i="27"/>
  <c r="K155" i="27"/>
  <c r="N155" i="27"/>
  <c r="K156" i="27"/>
  <c r="N156" i="27"/>
  <c r="K157" i="27"/>
  <c r="N157" i="27"/>
  <c r="K158" i="27"/>
  <c r="N158" i="27"/>
  <c r="K159" i="27"/>
  <c r="N159" i="27"/>
  <c r="K160" i="27"/>
  <c r="N160" i="27"/>
  <c r="K161" i="27"/>
  <c r="N161" i="27"/>
  <c r="K162" i="27"/>
  <c r="N162" i="27"/>
  <c r="K163" i="27"/>
  <c r="N163" i="27"/>
  <c r="K164" i="27"/>
  <c r="N164" i="27"/>
  <c r="K165" i="27"/>
  <c r="N165" i="27"/>
  <c r="K166" i="27"/>
  <c r="N166" i="27"/>
  <c r="K167" i="27"/>
  <c r="N167" i="27"/>
  <c r="K168" i="27"/>
  <c r="N168" i="27"/>
  <c r="K169" i="27"/>
  <c r="N169" i="27"/>
  <c r="K170" i="27"/>
  <c r="N170" i="27"/>
  <c r="K171" i="27"/>
  <c r="N171" i="27"/>
  <c r="K172" i="27"/>
  <c r="N172" i="27"/>
  <c r="K173" i="27"/>
  <c r="N173" i="27"/>
  <c r="K174" i="27"/>
  <c r="N174" i="27"/>
  <c r="K175" i="27"/>
  <c r="N175" i="27"/>
  <c r="K176" i="27"/>
  <c r="N176" i="27"/>
  <c r="K177" i="27"/>
  <c r="N177" i="27"/>
  <c r="K178" i="27"/>
  <c r="N178" i="27"/>
  <c r="K179" i="27"/>
  <c r="N179" i="27"/>
  <c r="K180" i="27"/>
  <c r="N180" i="27"/>
  <c r="K181" i="27"/>
  <c r="N181" i="27"/>
  <c r="K182" i="27"/>
  <c r="N182" i="27"/>
  <c r="K183" i="27"/>
  <c r="N183" i="27"/>
  <c r="K184" i="27"/>
  <c r="N184" i="27"/>
  <c r="K185" i="27"/>
  <c r="N185" i="27"/>
  <c r="K186" i="27"/>
  <c r="N186" i="27"/>
  <c r="K187" i="27"/>
  <c r="N187" i="27"/>
  <c r="K188" i="27"/>
  <c r="N188" i="27"/>
  <c r="K189" i="27"/>
  <c r="N189" i="27"/>
  <c r="K190" i="27"/>
  <c r="N190" i="27"/>
  <c r="K191" i="27"/>
  <c r="N191" i="27"/>
  <c r="K192" i="27"/>
  <c r="N192" i="27"/>
  <c r="K193" i="27"/>
  <c r="N193" i="27"/>
  <c r="K194" i="27"/>
  <c r="N194" i="27"/>
  <c r="K195" i="27"/>
  <c r="N195" i="27"/>
  <c r="K196" i="27"/>
  <c r="N196" i="27"/>
  <c r="K197" i="27"/>
  <c r="N197" i="27"/>
  <c r="K198" i="27"/>
  <c r="N198" i="27"/>
  <c r="K199" i="27"/>
  <c r="N199" i="27"/>
  <c r="K200" i="27"/>
  <c r="N200" i="27"/>
  <c r="K201" i="27"/>
  <c r="N201" i="27"/>
  <c r="K202" i="27"/>
  <c r="N202" i="27"/>
  <c r="K203" i="27"/>
  <c r="N203" i="27"/>
  <c r="K204" i="27"/>
  <c r="N204" i="27"/>
  <c r="K205" i="27"/>
  <c r="N205" i="27"/>
  <c r="K206" i="27"/>
  <c r="N206" i="27"/>
  <c r="K207" i="27"/>
  <c r="N207" i="27"/>
  <c r="K208" i="27"/>
  <c r="N208" i="27"/>
  <c r="K209" i="27"/>
  <c r="N209" i="27"/>
  <c r="K210" i="27"/>
  <c r="N210" i="27"/>
  <c r="K211" i="27"/>
  <c r="N211" i="27"/>
  <c r="K212" i="27"/>
  <c r="N212" i="27"/>
  <c r="K213" i="27"/>
  <c r="N213" i="27"/>
  <c r="K214" i="27"/>
  <c r="N214" i="27"/>
  <c r="K215" i="27"/>
  <c r="N215" i="27"/>
  <c r="K216" i="27"/>
  <c r="N216" i="27"/>
  <c r="K217" i="27"/>
  <c r="N217" i="27"/>
  <c r="K218" i="27"/>
  <c r="N218" i="27"/>
  <c r="K219" i="27"/>
  <c r="N219" i="27"/>
  <c r="K220" i="27"/>
  <c r="N220" i="27"/>
  <c r="K221" i="27"/>
  <c r="N221" i="27"/>
  <c r="K222" i="27"/>
  <c r="N222" i="27"/>
  <c r="K223" i="27"/>
  <c r="N223" i="27"/>
  <c r="K224" i="27"/>
  <c r="N224" i="27"/>
  <c r="K225" i="27"/>
  <c r="N225" i="27"/>
  <c r="K226" i="27"/>
  <c r="N226" i="27"/>
  <c r="K227" i="27"/>
  <c r="N227" i="27"/>
  <c r="K228" i="27"/>
  <c r="N228" i="27"/>
  <c r="K229" i="27"/>
  <c r="N229" i="27"/>
  <c r="K230" i="27"/>
  <c r="N230" i="27"/>
  <c r="K231" i="27"/>
  <c r="N231" i="27"/>
  <c r="K232" i="27"/>
  <c r="N232" i="27"/>
  <c r="K233" i="27"/>
  <c r="N233" i="27"/>
  <c r="K234" i="27"/>
  <c r="N234" i="27"/>
  <c r="K235" i="27"/>
  <c r="N235" i="27"/>
  <c r="K236" i="27"/>
  <c r="N236" i="27"/>
  <c r="K237" i="27"/>
  <c r="N237" i="27"/>
  <c r="K238" i="27"/>
  <c r="N238" i="27"/>
  <c r="K239" i="27"/>
  <c r="N239" i="27"/>
  <c r="K240" i="27"/>
  <c r="N240" i="27"/>
  <c r="K241" i="27"/>
  <c r="N241" i="27"/>
  <c r="K242" i="27"/>
  <c r="N242" i="27"/>
  <c r="K243" i="27"/>
  <c r="N243" i="27"/>
  <c r="K244" i="27"/>
  <c r="N244" i="27"/>
  <c r="K245" i="27"/>
  <c r="N245" i="27"/>
  <c r="K246" i="27"/>
  <c r="N246" i="27"/>
  <c r="K247" i="27"/>
  <c r="N247" i="27"/>
  <c r="K248" i="27"/>
  <c r="N248" i="27"/>
  <c r="K249" i="27"/>
  <c r="N249" i="27"/>
  <c r="K250" i="27"/>
  <c r="N250" i="27"/>
  <c r="K251" i="27"/>
  <c r="N251" i="27"/>
  <c r="K252" i="27"/>
  <c r="N252" i="27"/>
  <c r="K253" i="27"/>
  <c r="N253" i="27"/>
  <c r="K254" i="27"/>
  <c r="N254" i="27"/>
  <c r="K255" i="27"/>
  <c r="N255" i="27"/>
  <c r="K256" i="27"/>
  <c r="N256" i="27"/>
  <c r="K257" i="27"/>
  <c r="N257" i="27"/>
  <c r="K258" i="27"/>
  <c r="N258" i="27"/>
  <c r="K259" i="27"/>
  <c r="N259" i="27"/>
  <c r="K260" i="27"/>
  <c r="N260" i="27"/>
  <c r="K261" i="27"/>
  <c r="N261" i="27"/>
  <c r="K262" i="27"/>
  <c r="N262" i="27"/>
  <c r="K263" i="27"/>
  <c r="N263" i="27"/>
  <c r="K264" i="27"/>
  <c r="N264" i="27"/>
  <c r="K265" i="27"/>
  <c r="N265" i="27"/>
  <c r="K266" i="27"/>
  <c r="N266" i="27"/>
  <c r="K267" i="27"/>
  <c r="N267" i="27"/>
  <c r="K268" i="27"/>
  <c r="N268" i="27"/>
  <c r="K269" i="27"/>
  <c r="N269" i="27"/>
  <c r="K270" i="27"/>
  <c r="N270" i="27"/>
  <c r="K271" i="27"/>
  <c r="N271" i="27"/>
  <c r="K272" i="27"/>
  <c r="N272" i="27"/>
  <c r="K273" i="27"/>
  <c r="N273" i="27"/>
  <c r="K274" i="27"/>
  <c r="N274" i="27"/>
  <c r="K275" i="27"/>
  <c r="N275" i="27"/>
  <c r="K276" i="27"/>
  <c r="N276" i="27"/>
  <c r="K277" i="27"/>
  <c r="N277" i="27"/>
  <c r="K278" i="27"/>
  <c r="N278" i="27"/>
  <c r="K279" i="27"/>
  <c r="N279" i="27"/>
  <c r="K280" i="27"/>
  <c r="N280" i="27"/>
  <c r="K281" i="27"/>
  <c r="N281" i="27"/>
  <c r="K282" i="27"/>
  <c r="N282" i="27"/>
  <c r="K283" i="27"/>
  <c r="N283" i="27"/>
  <c r="K284" i="27"/>
  <c r="N284" i="27"/>
  <c r="K285" i="27"/>
  <c r="N285" i="27"/>
  <c r="K286" i="27"/>
  <c r="N286" i="27"/>
  <c r="K287" i="27"/>
  <c r="N287" i="27"/>
  <c r="K288" i="27"/>
  <c r="N288" i="27"/>
  <c r="K289" i="27"/>
  <c r="N289" i="27"/>
  <c r="K290" i="27"/>
  <c r="N290" i="27"/>
  <c r="K291" i="27"/>
  <c r="N291" i="27"/>
  <c r="K292" i="27"/>
  <c r="N292" i="27"/>
  <c r="K293" i="27"/>
  <c r="N293" i="27"/>
  <c r="K294" i="27"/>
  <c r="N294" i="27"/>
  <c r="K295" i="27"/>
  <c r="N295" i="27"/>
  <c r="K296" i="27"/>
  <c r="N296" i="27"/>
  <c r="K297" i="27"/>
  <c r="N297" i="27"/>
  <c r="K298" i="27"/>
  <c r="N298" i="27"/>
  <c r="K299" i="27"/>
  <c r="N299" i="27"/>
  <c r="K300" i="27"/>
  <c r="N300" i="27"/>
  <c r="K301" i="27"/>
  <c r="N301" i="27"/>
  <c r="K302" i="27"/>
  <c r="N302" i="27"/>
  <c r="K303" i="27"/>
  <c r="N303" i="27"/>
  <c r="K304" i="27"/>
  <c r="N304" i="27"/>
  <c r="K305" i="27"/>
  <c r="N305" i="27"/>
  <c r="K306" i="27"/>
  <c r="N306" i="27"/>
  <c r="K307" i="27"/>
  <c r="N307" i="27"/>
  <c r="K308" i="27"/>
  <c r="N308" i="27"/>
  <c r="K309" i="27"/>
  <c r="N309" i="27"/>
  <c r="K310" i="27"/>
  <c r="N310" i="27"/>
  <c r="K311" i="27"/>
  <c r="N311" i="27"/>
  <c r="K312" i="27"/>
  <c r="N312" i="27"/>
  <c r="K313" i="27"/>
  <c r="N313" i="27"/>
  <c r="K314" i="27"/>
  <c r="N314" i="27"/>
  <c r="K315" i="27"/>
  <c r="N315" i="27"/>
  <c r="K316" i="27"/>
  <c r="N316" i="27"/>
  <c r="K317" i="27"/>
  <c r="N317" i="27"/>
  <c r="K318" i="27"/>
  <c r="N318" i="27"/>
  <c r="K319" i="27"/>
  <c r="N319" i="27"/>
  <c r="K320" i="27"/>
  <c r="N320" i="27"/>
  <c r="K321" i="27"/>
  <c r="N321" i="27"/>
  <c r="K322" i="27"/>
  <c r="N322" i="27"/>
  <c r="K323" i="27"/>
  <c r="N323" i="27"/>
  <c r="K324" i="27"/>
  <c r="N324" i="27"/>
  <c r="K325" i="27"/>
  <c r="N325" i="27"/>
  <c r="K326" i="27"/>
  <c r="N326" i="27"/>
  <c r="K327" i="27"/>
  <c r="N327" i="27"/>
  <c r="K328" i="27"/>
  <c r="N328" i="27"/>
  <c r="K329" i="27"/>
  <c r="N329" i="27"/>
  <c r="K330" i="27"/>
  <c r="N330" i="27"/>
  <c r="K331" i="27"/>
  <c r="N331" i="27"/>
  <c r="K332" i="27"/>
  <c r="N332" i="27"/>
  <c r="D47" i="5"/>
  <c r="E47" i="5"/>
  <c r="F47" i="5"/>
  <c r="D48" i="5"/>
  <c r="E48" i="5"/>
  <c r="F48" i="5"/>
  <c r="D50" i="5"/>
  <c r="D51" i="5"/>
  <c r="Z2" i="16"/>
  <c r="AF2" i="16"/>
  <c r="AK2" i="16"/>
  <c r="AL2" i="16"/>
  <c r="AU2" i="16"/>
  <c r="AV2" i="16"/>
  <c r="Z3" i="16"/>
  <c r="AF3" i="16"/>
  <c r="AK3" i="16"/>
  <c r="AL3" i="16"/>
  <c r="AU3" i="16"/>
  <c r="AV3" i="16"/>
  <c r="Z4" i="16"/>
  <c r="AF4" i="16"/>
  <c r="AK4" i="16"/>
  <c r="AL4" i="16"/>
  <c r="AU4" i="16"/>
  <c r="AV4" i="16"/>
  <c r="Z5" i="16"/>
  <c r="AF5" i="16"/>
  <c r="AK5" i="16"/>
  <c r="AL5" i="16"/>
  <c r="AU5" i="16"/>
  <c r="AV5" i="16"/>
  <c r="Z6" i="16"/>
  <c r="AF6" i="16"/>
  <c r="AK6" i="16"/>
  <c r="AL6" i="16"/>
  <c r="AU6" i="16"/>
  <c r="AV6" i="16"/>
  <c r="Z7" i="16"/>
  <c r="AF7" i="16"/>
  <c r="AK7" i="16"/>
  <c r="AL7" i="16"/>
  <c r="AU7" i="16"/>
  <c r="AV7" i="16"/>
  <c r="Z8" i="16"/>
  <c r="AF8" i="16"/>
  <c r="AK8" i="16"/>
  <c r="AL8" i="16"/>
  <c r="AU8" i="16"/>
  <c r="AV8" i="16"/>
  <c r="Z9" i="16"/>
  <c r="AF9" i="16"/>
  <c r="AK9" i="16"/>
  <c r="AL9" i="16"/>
  <c r="AU9" i="16"/>
  <c r="AV9" i="16"/>
  <c r="Z10" i="16"/>
  <c r="AF10" i="16"/>
  <c r="Z11" i="16"/>
  <c r="AF11" i="16"/>
  <c r="Z12" i="16"/>
  <c r="AF12" i="16"/>
  <c r="Z13" i="16"/>
  <c r="AF13" i="16"/>
  <c r="Y14" i="16"/>
  <c r="AE14" i="16"/>
  <c r="Y15" i="16"/>
  <c r="AE15" i="16"/>
  <c r="Y16" i="16"/>
  <c r="AE16" i="16"/>
  <c r="Y17" i="16"/>
  <c r="AE17" i="16"/>
  <c r="Y18" i="16"/>
  <c r="AE18" i="16"/>
  <c r="Y19" i="16"/>
  <c r="AE19" i="16"/>
  <c r="Y20" i="16"/>
  <c r="AE20" i="16"/>
  <c r="Y21" i="16"/>
  <c r="AE21" i="16"/>
  <c r="Y22" i="16"/>
  <c r="AE22" i="16"/>
  <c r="Y23" i="16"/>
  <c r="AE23" i="16"/>
  <c r="Y24" i="16"/>
  <c r="AE24" i="16"/>
  <c r="Y25" i="16"/>
  <c r="AE25" i="16"/>
  <c r="Z26" i="16"/>
  <c r="AF26" i="16"/>
  <c r="Z27" i="16"/>
  <c r="AF27" i="16"/>
  <c r="Z28" i="16"/>
  <c r="AF28" i="16"/>
  <c r="Z29" i="16"/>
  <c r="AF29" i="16"/>
  <c r="Z30" i="16"/>
  <c r="AF30" i="16"/>
  <c r="Z31" i="16"/>
  <c r="AF31" i="16"/>
  <c r="Z32" i="16"/>
  <c r="AF32" i="16"/>
  <c r="Z33" i="16"/>
  <c r="AF33" i="16"/>
  <c r="Z34" i="16"/>
  <c r="AF34" i="16"/>
  <c r="Z35" i="16"/>
  <c r="AF35" i="16"/>
  <c r="Z36" i="16"/>
  <c r="AF36" i="16"/>
  <c r="Z37" i="16"/>
  <c r="AF37" i="16"/>
  <c r="Z38" i="16"/>
  <c r="AF38" i="16"/>
  <c r="Z39" i="16"/>
  <c r="AF39" i="16"/>
  <c r="Z40" i="16"/>
  <c r="AF40" i="16"/>
  <c r="Z41" i="16"/>
  <c r="AF41" i="16"/>
  <c r="Z42" i="16"/>
  <c r="AF42" i="16"/>
  <c r="Z43" i="16"/>
  <c r="AF43" i="16"/>
  <c r="Z44" i="16"/>
  <c r="AF44" i="16"/>
  <c r="Z45" i="16"/>
  <c r="AF45" i="16"/>
  <c r="Z46" i="16"/>
  <c r="AF46" i="16"/>
  <c r="Z47" i="16"/>
  <c r="AF47" i="16"/>
  <c r="Z48" i="16"/>
  <c r="AF48" i="16"/>
  <c r="Z49" i="16"/>
  <c r="AF49" i="16"/>
  <c r="Z50" i="16"/>
  <c r="AF50" i="16"/>
  <c r="Z51" i="16"/>
  <c r="AF51" i="16"/>
  <c r="Z52" i="16"/>
  <c r="AF52" i="16"/>
  <c r="Z53" i="16"/>
  <c r="AF53" i="16"/>
  <c r="Z54" i="16"/>
  <c r="AF54" i="16"/>
  <c r="Z55" i="16"/>
  <c r="AF55" i="16"/>
  <c r="Z56" i="16"/>
  <c r="AF56" i="16"/>
  <c r="Z57" i="16"/>
  <c r="AF57" i="16"/>
  <c r="Z58" i="16"/>
  <c r="AF58" i="16"/>
  <c r="Z59" i="16"/>
  <c r="AF59" i="16"/>
  <c r="Z60" i="16"/>
  <c r="AF60" i="16"/>
  <c r="Z61" i="16"/>
  <c r="AF61" i="16"/>
  <c r="Z62" i="16"/>
  <c r="AF62" i="16"/>
  <c r="Z63" i="16"/>
  <c r="AF63" i="16"/>
  <c r="Z64" i="16"/>
  <c r="AF64" i="16"/>
  <c r="Z65" i="16"/>
  <c r="AF65" i="16"/>
  <c r="Z66" i="16"/>
  <c r="AF66" i="16"/>
  <c r="Z67" i="16"/>
  <c r="AF67" i="16"/>
  <c r="Z68" i="16"/>
  <c r="AF68" i="16"/>
  <c r="Z69" i="16"/>
  <c r="AF69" i="16"/>
  <c r="Z70" i="16"/>
  <c r="AF70" i="16"/>
  <c r="Z71" i="16"/>
  <c r="AF71" i="16"/>
  <c r="Z72" i="16"/>
  <c r="AF72" i="16"/>
  <c r="Z73" i="16"/>
  <c r="AF73" i="16"/>
  <c r="Z74" i="16"/>
  <c r="AF74" i="16"/>
  <c r="Z75" i="16"/>
  <c r="AF75" i="16"/>
  <c r="Z76" i="16"/>
  <c r="AF76" i="16"/>
  <c r="Z77" i="16"/>
  <c r="AF77" i="16"/>
  <c r="Z78" i="16"/>
  <c r="AF78" i="16"/>
  <c r="Z79" i="16"/>
  <c r="AF79" i="16"/>
  <c r="Z80" i="16"/>
  <c r="AF80" i="16"/>
  <c r="Z81" i="16"/>
  <c r="AF81" i="16"/>
  <c r="Z82" i="16"/>
  <c r="AF82" i="16"/>
  <c r="Z83" i="16"/>
  <c r="AF83" i="16"/>
  <c r="Z84" i="16"/>
  <c r="AF84" i="16"/>
  <c r="Z85" i="16"/>
  <c r="AF85" i="16"/>
  <c r="Z86" i="16"/>
  <c r="AF86" i="16"/>
  <c r="Z87" i="16"/>
  <c r="AF87" i="16"/>
  <c r="Z88" i="16"/>
  <c r="AF88" i="16"/>
  <c r="Z89" i="16"/>
  <c r="AF89" i="16"/>
  <c r="Z90" i="16"/>
  <c r="AF90" i="16"/>
  <c r="Z91" i="16"/>
  <c r="AF91" i="16"/>
  <c r="Z92" i="16"/>
  <c r="AF92" i="16"/>
  <c r="Z93" i="16"/>
  <c r="AF93" i="16"/>
  <c r="Z94" i="16"/>
  <c r="AF94" i="16"/>
  <c r="Z95" i="16"/>
  <c r="AF95" i="16"/>
  <c r="Z96" i="16"/>
  <c r="AF96" i="16"/>
  <c r="Z97" i="16"/>
  <c r="AF97" i="16"/>
  <c r="Z98" i="16"/>
  <c r="AF98" i="16"/>
  <c r="Z99" i="16"/>
  <c r="AF99" i="16"/>
  <c r="Z100" i="16"/>
  <c r="AF100" i="16"/>
  <c r="Z101" i="16"/>
  <c r="AF101" i="16"/>
  <c r="Z102" i="16"/>
  <c r="AF102" i="16"/>
  <c r="Z103" i="16"/>
  <c r="AF103" i="16"/>
  <c r="Z104" i="16"/>
  <c r="AF104" i="16"/>
  <c r="Z105" i="16"/>
  <c r="AF105" i="16"/>
  <c r="Z106" i="16"/>
  <c r="AF106" i="16"/>
  <c r="Z107" i="16"/>
  <c r="AF107" i="16"/>
  <c r="Z108" i="16"/>
  <c r="AF108" i="16"/>
  <c r="Z109" i="16"/>
  <c r="AF109" i="16"/>
  <c r="Z110" i="16"/>
  <c r="AF110" i="16"/>
  <c r="Z111" i="16"/>
  <c r="AF111" i="16"/>
  <c r="Z112" i="16"/>
  <c r="AF112" i="16"/>
  <c r="Z113" i="16"/>
  <c r="AF113" i="16"/>
  <c r="Z114" i="16"/>
  <c r="AF114" i="16"/>
  <c r="Z115" i="16"/>
  <c r="AF115" i="16"/>
  <c r="Z116" i="16"/>
  <c r="AF116" i="16"/>
  <c r="Z117" i="16"/>
  <c r="AF117" i="16"/>
  <c r="Z118" i="16"/>
  <c r="AF118" i="16"/>
  <c r="Z119" i="16"/>
  <c r="AF119" i="16"/>
  <c r="Z120" i="16"/>
  <c r="AF120" i="16"/>
  <c r="Z121" i="16"/>
  <c r="AF121" i="16"/>
  <c r="Z122" i="16"/>
  <c r="AF122" i="16"/>
  <c r="Z123" i="16"/>
  <c r="AF123" i="16"/>
  <c r="Z124" i="16"/>
  <c r="AF124" i="16"/>
  <c r="Z125" i="16"/>
  <c r="AF125" i="16"/>
  <c r="Z126" i="16"/>
  <c r="AF126" i="16"/>
  <c r="Z127" i="16"/>
  <c r="AF127" i="16"/>
  <c r="Z128" i="16"/>
  <c r="AF128" i="16"/>
  <c r="Z129" i="16"/>
  <c r="AF129" i="16"/>
  <c r="Z130" i="16"/>
  <c r="AF130" i="16"/>
  <c r="Z131" i="16"/>
  <c r="AF131" i="16"/>
  <c r="Z132" i="16"/>
  <c r="AF132" i="16"/>
  <c r="Z133" i="16"/>
  <c r="AF133" i="16"/>
  <c r="Z134" i="16"/>
  <c r="AF134" i="16"/>
  <c r="Z135" i="16"/>
  <c r="AF135" i="16"/>
  <c r="Z136" i="16"/>
  <c r="AF136" i="16"/>
  <c r="Z137" i="16"/>
  <c r="AF137" i="16"/>
  <c r="Z138" i="16"/>
  <c r="AF138" i="16"/>
  <c r="Z139" i="16"/>
  <c r="AF139" i="16"/>
  <c r="Z140" i="16"/>
  <c r="AF140" i="16"/>
  <c r="Z141" i="16"/>
  <c r="AF141" i="16"/>
  <c r="Z142" i="16"/>
  <c r="AF142" i="16"/>
  <c r="Z143" i="16"/>
  <c r="AF143" i="16"/>
  <c r="Z144" i="16"/>
  <c r="AF144" i="16"/>
  <c r="Z145" i="16"/>
  <c r="AF145" i="16"/>
  <c r="Z146" i="16"/>
  <c r="AF146" i="16"/>
  <c r="Z147" i="16"/>
  <c r="AF147" i="16"/>
  <c r="Z148" i="16"/>
  <c r="AF148" i="16"/>
  <c r="Z149" i="16"/>
  <c r="AF149" i="16"/>
  <c r="Z150" i="16"/>
  <c r="AF150" i="16"/>
  <c r="Z151" i="16"/>
  <c r="AF151" i="16"/>
  <c r="Z152" i="16"/>
  <c r="AF152" i="16"/>
  <c r="Z153" i="16"/>
  <c r="AF153" i="16"/>
  <c r="Z154" i="16"/>
  <c r="AF154" i="16"/>
  <c r="Z155" i="16"/>
  <c r="AF155" i="16"/>
  <c r="Z156" i="16"/>
  <c r="AF156" i="16"/>
  <c r="Z157" i="16"/>
  <c r="AF157" i="16"/>
  <c r="Z158" i="16"/>
  <c r="AF158" i="16"/>
  <c r="Z159" i="16"/>
  <c r="AF159" i="16"/>
  <c r="Z160" i="16"/>
  <c r="AF160" i="16"/>
  <c r="Z161" i="16"/>
  <c r="AF161" i="16"/>
  <c r="Z162" i="16"/>
  <c r="AF162" i="16"/>
  <c r="Z163" i="16"/>
  <c r="AF163" i="16"/>
  <c r="Z164" i="16"/>
  <c r="AF164" i="16"/>
  <c r="Z165" i="16"/>
  <c r="AF165" i="16"/>
  <c r="Z166" i="16"/>
  <c r="AF166" i="16"/>
  <c r="Z167" i="16"/>
  <c r="AF167" i="16"/>
  <c r="Z168" i="16"/>
  <c r="AF168" i="16"/>
  <c r="Z169" i="16"/>
  <c r="AF169" i="16"/>
  <c r="Z170" i="16"/>
  <c r="AF170" i="16"/>
  <c r="Z171" i="16"/>
  <c r="AF171" i="16"/>
  <c r="Z172" i="16"/>
  <c r="AF172" i="16"/>
  <c r="Z173" i="16"/>
  <c r="AF173" i="16"/>
  <c r="Z174" i="16"/>
  <c r="AF174" i="16"/>
  <c r="Z175" i="16"/>
  <c r="AF175" i="16"/>
  <c r="Z176" i="16"/>
  <c r="AF176" i="16"/>
  <c r="Z177" i="16"/>
  <c r="AF177" i="16"/>
  <c r="Z178" i="16"/>
  <c r="AF178" i="16"/>
  <c r="Z179" i="16"/>
  <c r="AF179" i="16"/>
  <c r="Z180" i="16"/>
  <c r="AF180" i="16"/>
  <c r="Z181" i="16"/>
  <c r="AF181" i="16"/>
  <c r="Z182" i="16"/>
  <c r="AF182" i="16"/>
  <c r="Z183" i="16"/>
  <c r="AF183" i="16"/>
  <c r="Z184" i="16"/>
  <c r="AF184" i="16"/>
  <c r="Z185" i="16"/>
  <c r="AF185" i="16"/>
  <c r="Z186" i="16"/>
  <c r="AF186" i="16"/>
  <c r="Z187" i="16"/>
  <c r="AF187" i="16"/>
  <c r="Z188" i="16"/>
  <c r="AF188" i="16"/>
  <c r="Z189" i="16"/>
  <c r="AF189" i="16"/>
  <c r="Z190" i="16"/>
  <c r="AF190" i="16"/>
  <c r="Z191" i="16"/>
  <c r="AF191" i="16"/>
  <c r="Z192" i="16"/>
  <c r="AF192" i="16"/>
  <c r="Z193" i="16"/>
  <c r="AF193" i="16"/>
  <c r="Z194" i="16"/>
  <c r="AF194" i="16"/>
  <c r="Z195" i="16"/>
  <c r="AF195" i="16"/>
  <c r="Z196" i="16"/>
  <c r="AF196" i="16"/>
  <c r="Z197" i="16"/>
  <c r="AF197" i="16"/>
  <c r="Z198" i="16"/>
  <c r="AF198" i="16"/>
  <c r="Z199" i="16"/>
  <c r="AF199" i="16"/>
  <c r="Z200" i="16"/>
  <c r="AF200" i="16"/>
  <c r="Z201" i="16"/>
  <c r="AF201" i="16"/>
  <c r="Z202" i="16"/>
  <c r="AF202" i="16"/>
  <c r="Z203" i="16"/>
  <c r="AF203" i="16"/>
  <c r="Z204" i="16"/>
  <c r="AF204" i="16"/>
  <c r="Z205" i="16"/>
  <c r="AF205" i="16"/>
  <c r="Z206" i="16"/>
  <c r="AF206" i="16"/>
  <c r="Z207" i="16"/>
  <c r="AF207" i="16"/>
  <c r="Z208" i="16"/>
  <c r="AF208" i="16"/>
  <c r="Z209" i="16"/>
  <c r="AF209" i="16"/>
  <c r="Z210" i="16"/>
  <c r="AF210" i="16"/>
  <c r="Z211" i="16"/>
  <c r="AF211" i="16"/>
  <c r="Z212" i="16"/>
  <c r="AF212" i="16"/>
  <c r="Z213" i="16"/>
  <c r="AF213" i="16"/>
  <c r="Z214" i="16"/>
  <c r="AF214" i="16"/>
  <c r="Z215" i="16"/>
  <c r="AF215" i="16"/>
  <c r="Z216" i="16"/>
  <c r="AF216" i="16"/>
  <c r="Z217" i="16"/>
  <c r="AF217" i="16"/>
  <c r="Z218" i="16"/>
  <c r="AF218" i="16"/>
  <c r="Z219" i="16"/>
  <c r="AF219" i="16"/>
  <c r="Z220" i="16"/>
  <c r="AF220" i="16"/>
  <c r="Z221" i="16"/>
  <c r="AF221" i="16"/>
  <c r="Z222" i="16"/>
  <c r="AF222" i="16"/>
  <c r="Z223" i="16"/>
  <c r="AF223" i="16"/>
  <c r="Z224" i="16"/>
  <c r="AF224" i="16"/>
  <c r="Z225" i="16"/>
  <c r="AF225" i="16"/>
  <c r="Z226" i="16"/>
  <c r="AF226" i="16"/>
  <c r="Z227" i="16"/>
  <c r="AF227" i="16"/>
  <c r="Z228" i="16"/>
  <c r="AF228" i="16"/>
  <c r="Z229" i="16"/>
  <c r="AF229" i="16"/>
  <c r="Z230" i="16"/>
  <c r="AF230" i="16"/>
  <c r="Z231" i="16"/>
  <c r="AF231" i="16"/>
  <c r="Z232" i="16"/>
  <c r="AF232" i="16"/>
  <c r="Z233" i="16"/>
  <c r="AF233" i="16"/>
  <c r="Z234" i="16"/>
  <c r="AF234" i="16"/>
  <c r="Z235" i="16"/>
  <c r="AF235" i="16"/>
  <c r="Z236" i="16"/>
  <c r="AF236" i="16"/>
  <c r="Z237" i="16"/>
  <c r="AF237" i="16"/>
  <c r="Z238" i="16"/>
  <c r="AF238" i="16"/>
  <c r="Z239" i="16"/>
  <c r="AF239" i="16"/>
  <c r="Z240" i="16"/>
  <c r="AF240" i="16"/>
  <c r="Z241" i="16"/>
  <c r="AF241" i="16"/>
  <c r="Z242" i="16"/>
  <c r="AF242" i="16"/>
  <c r="Z243" i="16"/>
  <c r="AF243" i="16"/>
  <c r="Z244" i="16"/>
  <c r="AF244" i="16"/>
  <c r="Z245" i="16"/>
  <c r="AF245" i="16"/>
  <c r="Z246" i="16"/>
  <c r="AF246" i="16"/>
  <c r="Z247" i="16"/>
  <c r="AF247" i="16"/>
  <c r="Z248" i="16"/>
  <c r="AF248" i="16"/>
  <c r="Z249" i="16"/>
  <c r="AF249" i="16"/>
  <c r="Z250" i="16"/>
  <c r="AF250" i="16"/>
  <c r="Z251" i="16"/>
  <c r="AF251" i="16"/>
  <c r="Z252" i="16"/>
  <c r="AF252" i="16"/>
  <c r="Z253" i="16"/>
  <c r="AF253" i="16"/>
  <c r="Z254" i="16"/>
  <c r="AF254" i="16"/>
  <c r="Z255" i="16"/>
  <c r="AF255" i="16"/>
  <c r="Z256" i="16"/>
  <c r="AF256" i="16"/>
  <c r="Z257" i="16"/>
  <c r="AF257" i="16"/>
  <c r="Z258" i="16"/>
  <c r="AF258" i="16"/>
  <c r="Z259" i="16"/>
  <c r="AF259" i="16"/>
  <c r="Z260" i="16"/>
  <c r="AF260" i="16"/>
  <c r="Z261" i="16"/>
  <c r="AF261" i="16"/>
  <c r="Z262" i="16"/>
  <c r="AF262" i="16"/>
  <c r="Z263" i="16"/>
  <c r="AF263" i="16"/>
  <c r="Z264" i="16"/>
  <c r="AF264" i="16"/>
  <c r="Z265" i="16"/>
  <c r="AF265" i="16"/>
  <c r="Z266" i="16"/>
  <c r="AF266" i="16"/>
  <c r="Z267" i="16"/>
  <c r="AF267" i="16"/>
  <c r="Z268" i="16"/>
  <c r="AF268" i="16"/>
  <c r="Z269" i="16"/>
  <c r="AF269" i="16"/>
  <c r="Z270" i="16"/>
  <c r="AF270" i="16"/>
  <c r="Z271" i="16"/>
  <c r="AF271" i="16"/>
  <c r="Z272" i="16"/>
  <c r="AF272" i="16"/>
  <c r="Z273" i="16"/>
  <c r="AF273" i="16"/>
  <c r="Z274" i="16"/>
  <c r="AF274" i="16"/>
  <c r="Z275" i="16"/>
  <c r="AF275" i="16"/>
  <c r="Z276" i="16"/>
  <c r="AF276" i="16"/>
  <c r="Z277" i="16"/>
  <c r="AF277" i="16"/>
  <c r="Z278" i="16"/>
  <c r="AF278" i="16"/>
  <c r="Z279" i="16"/>
  <c r="AF279" i="16"/>
  <c r="Z280" i="16"/>
  <c r="AF280" i="16"/>
  <c r="Z281" i="16"/>
  <c r="AF281" i="16"/>
  <c r="Z282" i="16"/>
  <c r="AF282" i="16"/>
  <c r="Z283" i="16"/>
  <c r="AF283" i="16"/>
  <c r="Z284" i="16"/>
  <c r="AF284" i="16"/>
  <c r="Z285" i="16"/>
  <c r="AF285" i="16"/>
  <c r="Z286" i="16"/>
  <c r="AF286" i="16"/>
  <c r="Z287" i="16"/>
  <c r="AF287" i="16"/>
  <c r="Z288" i="16"/>
  <c r="AF288" i="16"/>
  <c r="Z289" i="16"/>
  <c r="AF289" i="16"/>
  <c r="Z290" i="16"/>
  <c r="AF290" i="16"/>
  <c r="Z291" i="16"/>
  <c r="AF291" i="16"/>
  <c r="Z292" i="16"/>
  <c r="AF292" i="16"/>
  <c r="Z293" i="16"/>
  <c r="AF293" i="16"/>
  <c r="Z294" i="16"/>
  <c r="AF294" i="16"/>
  <c r="Z295" i="16"/>
  <c r="AF295" i="16"/>
  <c r="Z296" i="16"/>
  <c r="AF296" i="16"/>
  <c r="Z297" i="16"/>
  <c r="AF297" i="16"/>
  <c r="Z298" i="16"/>
  <c r="AF298" i="16"/>
  <c r="Z299" i="16"/>
  <c r="AF299" i="16"/>
  <c r="Z300" i="16"/>
  <c r="AF300" i="16"/>
  <c r="Z301" i="16"/>
  <c r="AF301" i="16"/>
  <c r="Z302" i="16"/>
  <c r="AF302" i="16"/>
  <c r="Z303" i="16"/>
  <c r="AF303" i="16"/>
  <c r="Z304" i="16"/>
  <c r="AF304" i="16"/>
  <c r="Z305" i="16"/>
  <c r="AF305" i="16"/>
  <c r="Z306" i="16"/>
  <c r="AF306" i="16"/>
  <c r="Z307" i="16"/>
  <c r="AF307" i="16"/>
  <c r="Z308" i="16"/>
  <c r="AF308" i="16"/>
  <c r="Z309" i="16"/>
  <c r="AF309" i="16"/>
  <c r="Z310" i="16"/>
  <c r="AF310" i="16"/>
  <c r="Z311" i="16"/>
  <c r="AF311" i="16"/>
  <c r="Z312" i="16"/>
  <c r="AF312" i="16"/>
  <c r="Z313" i="16"/>
  <c r="AF313" i="16"/>
  <c r="Z314" i="16"/>
  <c r="AF314" i="16"/>
  <c r="Z315" i="16"/>
  <c r="AF315" i="16"/>
  <c r="Z316" i="16"/>
  <c r="AF316" i="16"/>
  <c r="Z317" i="16"/>
  <c r="AF317" i="16"/>
  <c r="Z318" i="16"/>
  <c r="AF318" i="16"/>
  <c r="Z319" i="16"/>
  <c r="AF319" i="16"/>
  <c r="Z320" i="16"/>
  <c r="AF320" i="16"/>
  <c r="Z321" i="16"/>
  <c r="AF321" i="16"/>
  <c r="Z322" i="16"/>
  <c r="AF322" i="16"/>
  <c r="Z323" i="16"/>
  <c r="AF323" i="16"/>
  <c r="Z324" i="16"/>
  <c r="AF324" i="16"/>
  <c r="Z325" i="16"/>
  <c r="AF325" i="16"/>
  <c r="Z326" i="16"/>
  <c r="AF326" i="16"/>
  <c r="Z327" i="16"/>
  <c r="AF327" i="16"/>
  <c r="Z328" i="16"/>
  <c r="AF328" i="16"/>
  <c r="Z329" i="16"/>
  <c r="AF329" i="16"/>
  <c r="Z330" i="16"/>
  <c r="AF330" i="16"/>
  <c r="Z331" i="16"/>
  <c r="AF331" i="16"/>
  <c r="Z332" i="16"/>
  <c r="AF332" i="16"/>
  <c r="D7" i="31"/>
  <c r="R7" i="31"/>
  <c r="S7" i="31"/>
  <c r="V7" i="31"/>
  <c r="W7" i="31"/>
  <c r="X7" i="31"/>
  <c r="D9" i="31"/>
  <c r="R9" i="31"/>
  <c r="S9" i="31"/>
  <c r="V9" i="31"/>
  <c r="W9" i="31"/>
  <c r="X9" i="31"/>
  <c r="D11" i="31"/>
  <c r="R11" i="31"/>
  <c r="S11" i="31"/>
  <c r="V11" i="31"/>
  <c r="W11" i="31"/>
  <c r="X11" i="31"/>
  <c r="D13" i="31"/>
  <c r="R13" i="31"/>
  <c r="S13" i="31"/>
  <c r="V13" i="31"/>
  <c r="W13" i="31"/>
  <c r="X13" i="31"/>
  <c r="D14" i="31"/>
  <c r="R14" i="31"/>
  <c r="S14" i="31"/>
  <c r="V14" i="31"/>
  <c r="W14" i="31"/>
  <c r="X14" i="31"/>
  <c r="D15" i="31"/>
  <c r="R15" i="31"/>
  <c r="S15" i="31"/>
  <c r="V15" i="31"/>
  <c r="W15" i="31"/>
  <c r="X15" i="31"/>
  <c r="Z2" i="17"/>
  <c r="AE2" i="17"/>
  <c r="Z3" i="17"/>
  <c r="AE3" i="17"/>
  <c r="Z4" i="17"/>
  <c r="AE4" i="17"/>
  <c r="Z5" i="17"/>
  <c r="AE5" i="17"/>
  <c r="AJ5" i="17"/>
  <c r="Z6" i="17"/>
  <c r="AE6" i="17"/>
  <c r="AJ6" i="17"/>
  <c r="Z7" i="17"/>
  <c r="AE7" i="17"/>
  <c r="AJ7" i="17"/>
  <c r="Z8" i="17"/>
  <c r="AE8" i="17"/>
  <c r="AJ8" i="17"/>
  <c r="Z9" i="17"/>
  <c r="AE9" i="17"/>
  <c r="Z10" i="17"/>
  <c r="AE10" i="17"/>
  <c r="Z11" i="17"/>
  <c r="AE11" i="17"/>
  <c r="Z12" i="17"/>
  <c r="AE12" i="17"/>
  <c r="Z13" i="17"/>
  <c r="AE13" i="17"/>
  <c r="Z14" i="17"/>
  <c r="AE14" i="17"/>
  <c r="Z15" i="17"/>
  <c r="AE15" i="17"/>
  <c r="Z16" i="17"/>
  <c r="AE16" i="17"/>
  <c r="Z17" i="17"/>
  <c r="AE17" i="17"/>
  <c r="Z18" i="17"/>
  <c r="AE18" i="17"/>
  <c r="Z19" i="17"/>
  <c r="AE19" i="17"/>
  <c r="Z20" i="17"/>
  <c r="AE20" i="17"/>
  <c r="Z21" i="17"/>
  <c r="AE21" i="17"/>
  <c r="Z22" i="17"/>
  <c r="AE22" i="17"/>
  <c r="Z23" i="17"/>
  <c r="AE23" i="17"/>
  <c r="Z24" i="17"/>
  <c r="AE24" i="17"/>
  <c r="Z25" i="17"/>
  <c r="AE25" i="17"/>
  <c r="Z26" i="17"/>
  <c r="AE26" i="17"/>
  <c r="Z27" i="17"/>
  <c r="AE27" i="17"/>
  <c r="Z28" i="17"/>
  <c r="AE28" i="17"/>
  <c r="Z29" i="17"/>
  <c r="AE29" i="17"/>
  <c r="Z30" i="17"/>
  <c r="AE30" i="17"/>
  <c r="Z31" i="17"/>
  <c r="AE31" i="17"/>
  <c r="Z32" i="17"/>
  <c r="AE32" i="17"/>
  <c r="Z33" i="17"/>
  <c r="AE33" i="17"/>
  <c r="Z34" i="17"/>
  <c r="AE34" i="17"/>
  <c r="Z35" i="17"/>
  <c r="AE35" i="17"/>
  <c r="Z36" i="17"/>
  <c r="AE36" i="17"/>
  <c r="Z37" i="17"/>
  <c r="AE37" i="17"/>
  <c r="Z38" i="17"/>
  <c r="AE38" i="17"/>
  <c r="Z39" i="17"/>
  <c r="AE39" i="17"/>
  <c r="Z40" i="17"/>
  <c r="AE40" i="17"/>
  <c r="Z41" i="17"/>
  <c r="AE41" i="17"/>
  <c r="Z42" i="17"/>
  <c r="AE42" i="17"/>
  <c r="Z43" i="17"/>
  <c r="AE43" i="17"/>
  <c r="Z44" i="17"/>
  <c r="AE44" i="17"/>
  <c r="Z45" i="17"/>
  <c r="AE45" i="17"/>
  <c r="Z46" i="17"/>
  <c r="AE46" i="17"/>
  <c r="Z47" i="17"/>
  <c r="AE47" i="17"/>
  <c r="Z48" i="17"/>
  <c r="AE48" i="17"/>
  <c r="Z49" i="17"/>
  <c r="AE49" i="17"/>
  <c r="Z50" i="17"/>
  <c r="AE50" i="17"/>
  <c r="Z51" i="17"/>
  <c r="AE51" i="17"/>
  <c r="Z52" i="17"/>
  <c r="AE52" i="17"/>
  <c r="Z53" i="17"/>
  <c r="AE53" i="17"/>
  <c r="Z54" i="17"/>
  <c r="AE54" i="17"/>
  <c r="Z55" i="17"/>
  <c r="AE55" i="17"/>
  <c r="Z56" i="17"/>
  <c r="AE56" i="17"/>
  <c r="Z57" i="17"/>
  <c r="AE57" i="17"/>
  <c r="Z58" i="17"/>
  <c r="AE58" i="17"/>
  <c r="Z59" i="17"/>
  <c r="AE59" i="17"/>
  <c r="Z60" i="17"/>
  <c r="AE60" i="17"/>
  <c r="Z61" i="17"/>
  <c r="AE61" i="17"/>
  <c r="Z62" i="17"/>
  <c r="AE62" i="17"/>
  <c r="Z63" i="17"/>
  <c r="AE63" i="17"/>
  <c r="Z64" i="17"/>
  <c r="AE64" i="17"/>
  <c r="Z65" i="17"/>
  <c r="AE65" i="17"/>
  <c r="Z66" i="17"/>
  <c r="AE66" i="17"/>
  <c r="Z67" i="17"/>
  <c r="AE67" i="17"/>
  <c r="Z68" i="17"/>
  <c r="AE68" i="17"/>
  <c r="Z69" i="17"/>
  <c r="AE69" i="17"/>
  <c r="Z70" i="17"/>
  <c r="AE70" i="17"/>
  <c r="Z71" i="17"/>
  <c r="AE71" i="17"/>
  <c r="Z72" i="17"/>
  <c r="AE72" i="17"/>
  <c r="Z73" i="17"/>
  <c r="AE73" i="17"/>
  <c r="Z74" i="17"/>
  <c r="AE74" i="17"/>
  <c r="Z75" i="17"/>
  <c r="AE75" i="17"/>
  <c r="Z76" i="17"/>
  <c r="AE76" i="17"/>
  <c r="Z77" i="17"/>
  <c r="AE77" i="17"/>
  <c r="Z78" i="17"/>
  <c r="AE78" i="17"/>
  <c r="Z79" i="17"/>
  <c r="AE79" i="17"/>
  <c r="Z80" i="17"/>
  <c r="AE80" i="17"/>
  <c r="Z81" i="17"/>
  <c r="AE81" i="17"/>
  <c r="Z82" i="17"/>
  <c r="AE82" i="17"/>
  <c r="Z83" i="17"/>
  <c r="AE83" i="17"/>
  <c r="Z84" i="17"/>
  <c r="AE84" i="17"/>
  <c r="Z85" i="17"/>
  <c r="AE85" i="17"/>
  <c r="Z86" i="17"/>
  <c r="AE86" i="17"/>
  <c r="Z87" i="17"/>
  <c r="AE87" i="17"/>
  <c r="Z88" i="17"/>
  <c r="AE88" i="17"/>
  <c r="Z89" i="17"/>
  <c r="AE89" i="17"/>
  <c r="Z90" i="17"/>
  <c r="AE90" i="17"/>
  <c r="Z91" i="17"/>
  <c r="AE91" i="17"/>
  <c r="Z92" i="17"/>
  <c r="AE92" i="17"/>
  <c r="Z93" i="17"/>
  <c r="AE93" i="17"/>
  <c r="Z94" i="17"/>
  <c r="AE94" i="17"/>
  <c r="Z95" i="17"/>
  <c r="AE95" i="17"/>
  <c r="Z96" i="17"/>
  <c r="AE96" i="17"/>
  <c r="Z97" i="17"/>
  <c r="AE97" i="17"/>
  <c r="Z98" i="17"/>
  <c r="AE98" i="17"/>
  <c r="Z99" i="17"/>
  <c r="AE99" i="17"/>
  <c r="Z100" i="17"/>
  <c r="AE100" i="17"/>
  <c r="Z101" i="17"/>
  <c r="AE101" i="17"/>
  <c r="Z102" i="17"/>
  <c r="AE102" i="17"/>
  <c r="Z103" i="17"/>
  <c r="AE103" i="17"/>
  <c r="Z104" i="17"/>
  <c r="AE104" i="17"/>
  <c r="Z105" i="17"/>
  <c r="AE105" i="17"/>
  <c r="Z106" i="17"/>
  <c r="AE106" i="17"/>
  <c r="Z107" i="17"/>
  <c r="AE107" i="17"/>
  <c r="Z108" i="17"/>
  <c r="AE108" i="17"/>
  <c r="Z109" i="17"/>
  <c r="AE109" i="17"/>
  <c r="Z110" i="17"/>
  <c r="AE110" i="17"/>
  <c r="Z111" i="17"/>
  <c r="AE111" i="17"/>
  <c r="Z112" i="17"/>
  <c r="AE112" i="17"/>
  <c r="Z113" i="17"/>
  <c r="AE113" i="17"/>
  <c r="Z114" i="17"/>
  <c r="AE114" i="17"/>
  <c r="Z115" i="17"/>
  <c r="AE115" i="17"/>
  <c r="Z116" i="17"/>
  <c r="AE116" i="17"/>
  <c r="Z117" i="17"/>
  <c r="AE117" i="17"/>
  <c r="Z118" i="17"/>
  <c r="AE118" i="17"/>
  <c r="Z119" i="17"/>
  <c r="AE119" i="17"/>
  <c r="Z120" i="17"/>
  <c r="AE120" i="17"/>
  <c r="Z121" i="17"/>
  <c r="AE121" i="17"/>
  <c r="Z122" i="17"/>
  <c r="AE122" i="17"/>
  <c r="Z123" i="17"/>
  <c r="AE123" i="17"/>
  <c r="Z124" i="17"/>
  <c r="AE124" i="17"/>
  <c r="Z125" i="17"/>
  <c r="AE125" i="17"/>
  <c r="Z126" i="17"/>
  <c r="AE126" i="17"/>
  <c r="Z127" i="17"/>
  <c r="AE127" i="17"/>
  <c r="Z128" i="17"/>
  <c r="AE128" i="17"/>
  <c r="Z129" i="17"/>
  <c r="AE129" i="17"/>
  <c r="Z130" i="17"/>
  <c r="AE130" i="17"/>
  <c r="Z131" i="17"/>
  <c r="AE131" i="17"/>
  <c r="Z132" i="17"/>
  <c r="AE132" i="17"/>
  <c r="Z133" i="17"/>
  <c r="AE133" i="17"/>
  <c r="Z134" i="17"/>
  <c r="AE134" i="17"/>
  <c r="Z135" i="17"/>
  <c r="AE135" i="17"/>
  <c r="Z136" i="17"/>
  <c r="AE136" i="17"/>
  <c r="Z137" i="17"/>
  <c r="AE137" i="17"/>
  <c r="Z138" i="17"/>
  <c r="AE138" i="17"/>
  <c r="Z139" i="17"/>
  <c r="AE139" i="17"/>
  <c r="Z140" i="17"/>
  <c r="AE140" i="17"/>
  <c r="Z141" i="17"/>
  <c r="AE141" i="17"/>
  <c r="Z142" i="17"/>
  <c r="AE142" i="17"/>
  <c r="Z143" i="17"/>
  <c r="AE143" i="17"/>
  <c r="Z144" i="17"/>
  <c r="AE144" i="17"/>
  <c r="Z145" i="17"/>
  <c r="AE145" i="17"/>
  <c r="Z146" i="17"/>
  <c r="AE146" i="17"/>
  <c r="Z147" i="17"/>
  <c r="AE147" i="17"/>
  <c r="Z148" i="17"/>
  <c r="AE148" i="17"/>
  <c r="Z149" i="17"/>
  <c r="AE149" i="17"/>
  <c r="Z150" i="17"/>
  <c r="AE150" i="17"/>
  <c r="Z151" i="17"/>
  <c r="AE151" i="17"/>
  <c r="Z152" i="17"/>
  <c r="AE152" i="17"/>
  <c r="Z153" i="17"/>
  <c r="AE153" i="17"/>
  <c r="Z154" i="17"/>
  <c r="AE154" i="17"/>
  <c r="Z155" i="17"/>
  <c r="AE155" i="17"/>
  <c r="Z156" i="17"/>
  <c r="AE156" i="17"/>
  <c r="Z157" i="17"/>
  <c r="AE157" i="17"/>
  <c r="E5" i="36"/>
  <c r="F5" i="36"/>
  <c r="H5" i="36"/>
  <c r="I5" i="36"/>
  <c r="R5" i="36"/>
  <c r="U5" i="36"/>
  <c r="E6" i="36"/>
  <c r="F6" i="36"/>
  <c r="H6" i="36"/>
  <c r="I6" i="36"/>
  <c r="R6" i="36"/>
  <c r="U6" i="36"/>
  <c r="E7" i="36"/>
  <c r="F7" i="36"/>
  <c r="H7" i="36"/>
  <c r="I7" i="36"/>
  <c r="R7" i="36"/>
  <c r="U7" i="36"/>
  <c r="E8" i="36"/>
  <c r="F8" i="36"/>
  <c r="H8" i="36"/>
  <c r="I8" i="36"/>
  <c r="R8" i="36"/>
  <c r="U8" i="36"/>
  <c r="E9" i="36"/>
  <c r="H9" i="36"/>
  <c r="R9" i="36"/>
  <c r="U9" i="36"/>
  <c r="F10" i="36"/>
  <c r="I10" i="36"/>
  <c r="R10" i="36"/>
  <c r="U10" i="36"/>
  <c r="F11" i="36"/>
  <c r="I11" i="36"/>
  <c r="R11" i="36"/>
  <c r="U11" i="36"/>
  <c r="E12" i="36"/>
  <c r="H12" i="36"/>
  <c r="R12" i="36"/>
  <c r="U12" i="36"/>
  <c r="F13" i="36"/>
  <c r="I13" i="36"/>
  <c r="R13" i="36"/>
  <c r="U13" i="36"/>
  <c r="F14" i="36"/>
  <c r="I14" i="36"/>
  <c r="R14" i="36"/>
  <c r="U14" i="36"/>
  <c r="E15" i="36"/>
  <c r="H15" i="36"/>
  <c r="R15" i="36"/>
  <c r="U15" i="36"/>
  <c r="R16" i="36"/>
  <c r="U16" i="36"/>
  <c r="R17" i="36"/>
  <c r="U17" i="36"/>
  <c r="R18" i="36"/>
  <c r="U18" i="36"/>
  <c r="R19" i="36"/>
  <c r="U19" i="36"/>
  <c r="R20" i="36"/>
  <c r="U20" i="36"/>
  <c r="R21" i="36"/>
  <c r="U21" i="36"/>
  <c r="R22" i="36"/>
  <c r="U22" i="36"/>
  <c r="R23" i="36"/>
  <c r="U23" i="36"/>
  <c r="R24" i="36"/>
  <c r="U24" i="36"/>
  <c r="R25" i="36"/>
  <c r="U25" i="36"/>
  <c r="R26" i="36"/>
  <c r="U26" i="36"/>
  <c r="R27" i="36"/>
  <c r="U27" i="36"/>
  <c r="R28" i="36"/>
  <c r="U28" i="36"/>
  <c r="R29" i="36"/>
  <c r="U29" i="36"/>
  <c r="R30" i="36"/>
  <c r="U30" i="36"/>
  <c r="R31" i="36"/>
  <c r="U31" i="36"/>
  <c r="R32" i="36"/>
  <c r="U32" i="36"/>
  <c r="R33" i="36"/>
  <c r="U33" i="36"/>
  <c r="Q34" i="36"/>
  <c r="T34" i="36"/>
  <c r="Q35" i="36"/>
  <c r="T35" i="36"/>
  <c r="N7" i="6"/>
  <c r="AJ7" i="6"/>
  <c r="AK7" i="6"/>
  <c r="N8" i="6"/>
  <c r="AJ8" i="6"/>
  <c r="AK8" i="6"/>
  <c r="N11" i="6"/>
  <c r="AJ11" i="6"/>
  <c r="AK11" i="6"/>
  <c r="N12" i="6"/>
  <c r="AJ12" i="6"/>
  <c r="AK12" i="6"/>
  <c r="N13" i="6"/>
  <c r="AJ13" i="6"/>
  <c r="AK13" i="6"/>
  <c r="N14" i="6"/>
  <c r="AJ14" i="6"/>
  <c r="AK14" i="6"/>
  <c r="N17" i="6"/>
  <c r="AJ17" i="6"/>
  <c r="AK17" i="6"/>
  <c r="N18" i="6"/>
  <c r="AJ18" i="6"/>
  <c r="AK18" i="6"/>
  <c r="N19" i="6"/>
  <c r="AJ19" i="6"/>
  <c r="AK19" i="6"/>
  <c r="N20" i="6"/>
  <c r="AJ20" i="6"/>
  <c r="AK20" i="6"/>
  <c r="N21" i="6"/>
  <c r="AJ21" i="6"/>
  <c r="AK21" i="6"/>
  <c r="N22" i="6"/>
  <c r="AJ22" i="6"/>
  <c r="AK22" i="6"/>
  <c r="N23" i="6"/>
  <c r="AJ23" i="6"/>
  <c r="AK23" i="6"/>
  <c r="N24" i="6"/>
  <c r="AJ24" i="6"/>
  <c r="AK24" i="6"/>
  <c r="N25" i="6"/>
  <c r="AJ25" i="6"/>
  <c r="AK25" i="6"/>
  <c r="N26" i="6"/>
  <c r="AJ26" i="6"/>
  <c r="AK26" i="6"/>
  <c r="N27" i="6"/>
  <c r="AJ27" i="6"/>
  <c r="AK27" i="6"/>
  <c r="N28" i="6"/>
  <c r="AJ28" i="6"/>
  <c r="AK28" i="6"/>
  <c r="N29" i="6"/>
  <c r="AJ29" i="6"/>
  <c r="AK29" i="6"/>
  <c r="N30" i="6"/>
  <c r="AJ30" i="6"/>
  <c r="AK30" i="6"/>
  <c r="N31" i="6"/>
  <c r="AJ31" i="6"/>
  <c r="AK31" i="6"/>
  <c r="N32" i="6"/>
  <c r="AJ32" i="6"/>
  <c r="AK32" i="6"/>
  <c r="N33" i="6"/>
  <c r="AJ33" i="6"/>
  <c r="AK33" i="6"/>
  <c r="N34" i="6"/>
  <c r="AJ34" i="6"/>
  <c r="AK34" i="6"/>
  <c r="N35" i="6"/>
  <c r="AJ35" i="6"/>
  <c r="AK35" i="6"/>
  <c r="N36" i="6"/>
  <c r="AJ36" i="6"/>
  <c r="AK36" i="6"/>
  <c r="N37" i="6"/>
  <c r="AJ37" i="6"/>
  <c r="AK37" i="6"/>
  <c r="N38" i="6"/>
  <c r="AJ38" i="6"/>
  <c r="AK38" i="6"/>
  <c r="N39" i="6"/>
  <c r="AJ39" i="6"/>
  <c r="AK39" i="6"/>
  <c r="N40" i="6"/>
  <c r="AJ40" i="6"/>
  <c r="AK40" i="6"/>
  <c r="N41" i="6"/>
  <c r="AJ41" i="6"/>
  <c r="AK41" i="6"/>
  <c r="N42" i="6"/>
  <c r="AJ42" i="6"/>
  <c r="AK42" i="6"/>
  <c r="N43" i="6"/>
  <c r="AJ43" i="6"/>
  <c r="AK43" i="6"/>
  <c r="N44" i="6"/>
  <c r="AJ44" i="6"/>
  <c r="AK44" i="6"/>
  <c r="N45" i="6"/>
  <c r="AJ45" i="6"/>
  <c r="AK45" i="6"/>
  <c r="N46" i="6"/>
  <c r="AJ46" i="6"/>
  <c r="AK46" i="6"/>
  <c r="N47" i="6"/>
  <c r="AJ47" i="6"/>
  <c r="AK47" i="6"/>
  <c r="N48" i="6"/>
  <c r="AJ48" i="6"/>
  <c r="AK48" i="6"/>
  <c r="N49" i="6"/>
  <c r="AJ49" i="6"/>
  <c r="AK49" i="6"/>
  <c r="N50" i="6"/>
  <c r="AJ50" i="6"/>
  <c r="AK50" i="6"/>
  <c r="N51" i="6"/>
  <c r="AJ51" i="6"/>
  <c r="AK51" i="6"/>
  <c r="N55" i="6"/>
  <c r="AJ55" i="6"/>
  <c r="AK55" i="6"/>
  <c r="N60" i="6"/>
  <c r="AJ60" i="6"/>
  <c r="AK60" i="6"/>
  <c r="L63" i="6"/>
  <c r="N63" i="6"/>
  <c r="L64" i="6"/>
  <c r="N64" i="6"/>
  <c r="N65" i="6"/>
  <c r="L66" i="6"/>
  <c r="L67" i="6"/>
  <c r="L68" i="6"/>
  <c r="L69" i="6"/>
  <c r="L70" i="6"/>
  <c r="N5" i="29"/>
  <c r="AB5" i="29"/>
  <c r="AC5" i="29"/>
  <c r="AF5" i="29"/>
  <c r="AG5" i="29"/>
  <c r="N6" i="29"/>
  <c r="AB6" i="29"/>
  <c r="AC6" i="29"/>
  <c r="AF6" i="29"/>
  <c r="AG6" i="29"/>
  <c r="N7" i="29"/>
  <c r="AB7" i="29"/>
  <c r="AC7" i="29"/>
  <c r="AF7" i="29"/>
  <c r="AG7" i="29"/>
  <c r="N8" i="29"/>
  <c r="AB8" i="29"/>
  <c r="AC8" i="29"/>
  <c r="AF8" i="29"/>
  <c r="AG8" i="29"/>
  <c r="N9" i="29"/>
  <c r="AB9" i="29"/>
  <c r="AC9" i="29"/>
  <c r="AF9" i="29"/>
  <c r="AG9" i="29"/>
  <c r="N10" i="29"/>
  <c r="AB10" i="29"/>
  <c r="AC10" i="29"/>
  <c r="AF10" i="29"/>
  <c r="AG10" i="29"/>
  <c r="N11" i="29"/>
  <c r="AB11" i="29"/>
  <c r="AC11" i="29"/>
  <c r="AF11" i="29"/>
  <c r="AG11" i="29"/>
  <c r="N12" i="29"/>
  <c r="AB12" i="29"/>
  <c r="AC12" i="29"/>
  <c r="AF12" i="29"/>
  <c r="AG12" i="29"/>
  <c r="N13" i="29"/>
  <c r="AB13" i="29"/>
  <c r="AC13" i="29"/>
  <c r="AF13" i="29"/>
  <c r="AG13" i="29"/>
  <c r="N14" i="29"/>
  <c r="AB14" i="29"/>
  <c r="AC14" i="29"/>
  <c r="AF14" i="29"/>
  <c r="AG14" i="29"/>
  <c r="N15" i="29"/>
  <c r="AB15" i="29"/>
  <c r="AC15" i="29"/>
  <c r="AF15" i="29"/>
  <c r="AG15" i="29"/>
  <c r="N16" i="29"/>
  <c r="AB16" i="29"/>
  <c r="AC16" i="29"/>
  <c r="AF16" i="29"/>
  <c r="AG16" i="29"/>
  <c r="N17" i="29"/>
  <c r="AB17" i="29"/>
  <c r="AC17" i="29"/>
  <c r="AF17" i="29"/>
  <c r="AG17" i="29"/>
  <c r="N18" i="29"/>
  <c r="AB18" i="29"/>
  <c r="AC18" i="29"/>
  <c r="AF18" i="29"/>
  <c r="AG18" i="29"/>
  <c r="N19" i="29"/>
  <c r="AB19" i="29"/>
  <c r="AC19" i="29"/>
  <c r="AF19" i="29"/>
  <c r="AG19" i="29"/>
  <c r="N20" i="29"/>
  <c r="AB20" i="29"/>
  <c r="AC20" i="29"/>
  <c r="AF20" i="29"/>
  <c r="AG20" i="29"/>
  <c r="N21" i="29"/>
  <c r="AB21" i="29"/>
  <c r="AC21" i="29"/>
  <c r="AF21" i="29"/>
  <c r="AG21" i="29"/>
  <c r="N22" i="29"/>
  <c r="AB22" i="29"/>
  <c r="AC22" i="29"/>
  <c r="AF22" i="29"/>
  <c r="AG22" i="29"/>
  <c r="N23" i="29"/>
  <c r="AB23" i="29"/>
  <c r="AC23" i="29"/>
  <c r="AF23" i="29"/>
  <c r="AG23" i="29"/>
  <c r="N24" i="29"/>
  <c r="AB24" i="29"/>
  <c r="AC24" i="29"/>
  <c r="AF24" i="29"/>
  <c r="AG24" i="29"/>
  <c r="N25" i="29"/>
  <c r="AB25" i="29"/>
  <c r="AC25" i="29"/>
  <c r="AF25" i="29"/>
  <c r="AG25" i="29"/>
  <c r="N26" i="29"/>
  <c r="AB26" i="29"/>
  <c r="AC26" i="29"/>
  <c r="AF26" i="29"/>
  <c r="AG26" i="29"/>
  <c r="N27" i="29"/>
  <c r="AB27" i="29"/>
  <c r="AC27" i="29"/>
  <c r="AF27" i="29"/>
  <c r="AG27" i="29"/>
  <c r="N28" i="29"/>
  <c r="AB28" i="29"/>
  <c r="AC28" i="29"/>
  <c r="AF28" i="29"/>
  <c r="AG28" i="29"/>
  <c r="N29" i="29"/>
  <c r="AB29" i="29"/>
  <c r="AC29" i="29"/>
  <c r="AF29" i="29"/>
  <c r="AG29" i="29"/>
  <c r="N30" i="29"/>
  <c r="AB30" i="29"/>
  <c r="AC30" i="29"/>
  <c r="AF30" i="29"/>
  <c r="AG30" i="29"/>
  <c r="N31" i="29"/>
  <c r="AB31" i="29"/>
  <c r="AC31" i="29"/>
  <c r="AF31" i="29"/>
  <c r="AG31" i="29"/>
  <c r="N32" i="29"/>
  <c r="AB32" i="29"/>
  <c r="AC32" i="29"/>
  <c r="AF32" i="29"/>
  <c r="AG32" i="29"/>
  <c r="N33" i="29"/>
  <c r="AB33" i="29"/>
  <c r="AC33" i="29"/>
  <c r="AF33" i="29"/>
  <c r="AG33" i="29"/>
  <c r="N34" i="29"/>
  <c r="AB34" i="29"/>
  <c r="AC34" i="29"/>
  <c r="AF34" i="29"/>
  <c r="AG34" i="29"/>
  <c r="N35" i="29"/>
  <c r="AB35" i="29"/>
  <c r="AC35" i="29"/>
  <c r="AF35" i="29"/>
  <c r="AG35" i="29"/>
  <c r="N36" i="29"/>
  <c r="AB36" i="29"/>
  <c r="AC36" i="29"/>
  <c r="AF36" i="29"/>
  <c r="AG36" i="29"/>
  <c r="N37" i="29"/>
  <c r="AB37" i="29"/>
  <c r="AC37" i="29"/>
  <c r="AF37" i="29"/>
  <c r="AG37" i="29"/>
  <c r="N38" i="29"/>
  <c r="AB38" i="29"/>
  <c r="AC38" i="29"/>
  <c r="AF38" i="29"/>
  <c r="AG38" i="29"/>
  <c r="N39" i="29"/>
  <c r="AB39" i="29"/>
  <c r="AC39" i="29"/>
  <c r="AF39" i="29"/>
  <c r="AG39" i="29"/>
  <c r="N40" i="29"/>
  <c r="AB40" i="29"/>
  <c r="AC40" i="29"/>
  <c r="AF40" i="29"/>
  <c r="AG40" i="29"/>
  <c r="N41" i="29"/>
  <c r="AB41" i="29"/>
  <c r="AC41" i="29"/>
  <c r="AF41" i="29"/>
  <c r="AG41" i="29"/>
  <c r="N42" i="29"/>
  <c r="AB42" i="29"/>
  <c r="AC42" i="29"/>
  <c r="AF42" i="29"/>
  <c r="AG42" i="29"/>
  <c r="N43" i="29"/>
  <c r="AB43" i="29"/>
  <c r="AC43" i="29"/>
  <c r="AF43" i="29"/>
  <c r="AG43" i="29"/>
  <c r="N44" i="29"/>
  <c r="AB44" i="29"/>
  <c r="AC44" i="29"/>
  <c r="AF44" i="29"/>
  <c r="AG44" i="29"/>
  <c r="N45" i="29"/>
  <c r="AB45" i="29"/>
  <c r="AC45" i="29"/>
  <c r="AF45" i="29"/>
  <c r="AG45" i="29"/>
  <c r="N46" i="29"/>
  <c r="AB46" i="29"/>
  <c r="AC46" i="29"/>
  <c r="AF46" i="29"/>
  <c r="AG46" i="29"/>
  <c r="N47" i="29"/>
  <c r="AB47" i="29"/>
  <c r="AC47" i="29"/>
  <c r="AF47" i="29"/>
  <c r="AG47" i="29"/>
  <c r="N48" i="29"/>
  <c r="AB48" i="29"/>
  <c r="AC48" i="29"/>
  <c r="AF48" i="29"/>
  <c r="AG48" i="29"/>
  <c r="N49" i="29"/>
  <c r="AB49" i="29"/>
  <c r="AC49" i="29"/>
  <c r="AF49" i="29"/>
  <c r="AG49" i="29"/>
  <c r="N50" i="29"/>
  <c r="AB50" i="29"/>
  <c r="AC50" i="29"/>
  <c r="AF50" i="29"/>
  <c r="AG50" i="29"/>
  <c r="N51" i="29"/>
  <c r="AB51" i="29"/>
  <c r="AC51" i="29"/>
  <c r="AF51" i="29"/>
  <c r="AG51" i="29"/>
  <c r="N57" i="29"/>
  <c r="AB57" i="29"/>
  <c r="AC57" i="29"/>
  <c r="AF57" i="29"/>
  <c r="AG57" i="29"/>
  <c r="N58" i="29"/>
  <c r="AB58" i="29"/>
  <c r="AC58" i="29"/>
  <c r="AF58" i="29"/>
  <c r="AG58" i="29"/>
  <c r="N59" i="29"/>
  <c r="AB59" i="29"/>
  <c r="AC59" i="29"/>
  <c r="AF59" i="29"/>
  <c r="AG59" i="29"/>
  <c r="N60" i="29"/>
  <c r="AB60" i="29"/>
  <c r="AC60" i="29"/>
  <c r="AF60" i="29"/>
  <c r="AG60" i="29"/>
  <c r="N61" i="29"/>
  <c r="AB61" i="29"/>
  <c r="AC61" i="29"/>
  <c r="AF61" i="29"/>
  <c r="AG61" i="29"/>
  <c r="N62" i="29"/>
  <c r="AB62" i="29"/>
  <c r="AC62" i="29"/>
  <c r="AF62" i="29"/>
  <c r="AG62" i="29"/>
  <c r="N63" i="29"/>
  <c r="AB63" i="29"/>
  <c r="AC63" i="29"/>
  <c r="AF63" i="29"/>
  <c r="AG63" i="29"/>
  <c r="N64" i="29"/>
  <c r="AB64" i="29"/>
  <c r="AC64" i="29"/>
  <c r="AF64" i="29"/>
  <c r="AG64" i="29"/>
  <c r="N65" i="29"/>
  <c r="AB65" i="29"/>
  <c r="AC65" i="29"/>
  <c r="AF65" i="29"/>
  <c r="AG65" i="29"/>
  <c r="N66" i="29"/>
  <c r="AB66" i="29"/>
  <c r="AC66" i="29"/>
  <c r="AF66" i="29"/>
  <c r="AG66" i="29"/>
  <c r="N67" i="29"/>
  <c r="AB67" i="29"/>
  <c r="AC67" i="29"/>
  <c r="AF67" i="29"/>
  <c r="AG67" i="29"/>
  <c r="N68" i="29"/>
  <c r="AB68" i="29"/>
  <c r="AC68" i="29"/>
  <c r="AF68" i="29"/>
  <c r="AG68" i="29"/>
  <c r="N69" i="29"/>
  <c r="AB69" i="29"/>
  <c r="AC69" i="29"/>
  <c r="AF69" i="29"/>
  <c r="AG69" i="29"/>
  <c r="N70" i="29"/>
  <c r="AB70" i="29"/>
  <c r="AC70" i="29"/>
  <c r="AF70" i="29"/>
  <c r="AG70" i="29"/>
  <c r="N71" i="29"/>
  <c r="AB71" i="29"/>
  <c r="AC71" i="29"/>
  <c r="AF71" i="29"/>
  <c r="AG71" i="29"/>
  <c r="N72" i="29"/>
  <c r="AB72" i="29"/>
  <c r="AC72" i="29"/>
  <c r="AF72" i="29"/>
  <c r="AG72" i="29"/>
  <c r="N73" i="29"/>
  <c r="AB73" i="29"/>
  <c r="AC73" i="29"/>
  <c r="AF73" i="29"/>
  <c r="AG73" i="29"/>
  <c r="N74" i="29"/>
  <c r="AB74" i="29"/>
  <c r="AC74" i="29"/>
  <c r="AF74" i="29"/>
  <c r="AG74" i="29"/>
  <c r="N75" i="29"/>
  <c r="AB75" i="29"/>
  <c r="AC75" i="29"/>
  <c r="AF75" i="29"/>
  <c r="AG75" i="29"/>
  <c r="N76" i="29"/>
  <c r="AB76" i="29"/>
  <c r="AC76" i="29"/>
  <c r="AF76" i="29"/>
  <c r="AG76" i="29"/>
  <c r="N77" i="29"/>
  <c r="AB77" i="29"/>
  <c r="AC77" i="29"/>
  <c r="AF77" i="29"/>
  <c r="AG77" i="29"/>
  <c r="N78" i="29"/>
  <c r="AB78" i="29"/>
  <c r="AC78" i="29"/>
  <c r="AF78" i="29"/>
  <c r="AG78" i="29"/>
  <c r="N79" i="29"/>
  <c r="AB79" i="29"/>
  <c r="AC79" i="29"/>
  <c r="AF79" i="29"/>
  <c r="AG79" i="29"/>
  <c r="N80" i="29"/>
  <c r="AB80" i="29"/>
  <c r="AC80" i="29"/>
  <c r="AF80" i="29"/>
  <c r="AG80" i="29"/>
  <c r="N81" i="29"/>
  <c r="AB81" i="29"/>
  <c r="AC81" i="29"/>
  <c r="AF81" i="29"/>
  <c r="AG81" i="29"/>
  <c r="N82" i="29"/>
  <c r="AB82" i="29"/>
  <c r="AC82" i="29"/>
  <c r="AF82" i="29"/>
  <c r="AG82" i="29"/>
  <c r="N83" i="29"/>
  <c r="AB83" i="29"/>
  <c r="AC83" i="29"/>
  <c r="AF83" i="29"/>
  <c r="AG83" i="29"/>
  <c r="N84" i="29"/>
  <c r="AB84" i="29"/>
  <c r="AC84" i="29"/>
  <c r="AF84" i="29"/>
  <c r="AG84" i="29"/>
  <c r="N85" i="29"/>
  <c r="AB85" i="29"/>
  <c r="AC85" i="29"/>
  <c r="AF85" i="29"/>
  <c r="AG85" i="29"/>
  <c r="N86" i="29"/>
  <c r="AB86" i="29"/>
  <c r="AC86" i="29"/>
  <c r="AF86" i="29"/>
  <c r="AG86" i="29"/>
  <c r="N87" i="29"/>
  <c r="AB87" i="29"/>
  <c r="AC87" i="29"/>
  <c r="AF87" i="29"/>
  <c r="AG87" i="29"/>
  <c r="N88" i="29"/>
  <c r="AB88" i="29"/>
  <c r="AC88" i="29"/>
  <c r="AF88" i="29"/>
  <c r="AG88" i="29"/>
  <c r="N89" i="29"/>
  <c r="AB89" i="29"/>
  <c r="AC89" i="29"/>
  <c r="AF89" i="29"/>
  <c r="AG89" i="29"/>
  <c r="N90" i="29"/>
  <c r="AB90" i="29"/>
  <c r="AC90" i="29"/>
  <c r="AF90" i="29"/>
  <c r="AG90" i="29"/>
  <c r="N91" i="29"/>
  <c r="AB91" i="29"/>
  <c r="AC91" i="29"/>
  <c r="AF91" i="29"/>
  <c r="AG91" i="29"/>
  <c r="N92" i="29"/>
  <c r="AB92" i="29"/>
  <c r="AC92" i="29"/>
  <c r="AF92" i="29"/>
  <c r="AG92" i="29"/>
  <c r="N93" i="29"/>
  <c r="AB93" i="29"/>
  <c r="AC93" i="29"/>
  <c r="AF93" i="29"/>
  <c r="AG93" i="29"/>
  <c r="N94" i="29"/>
  <c r="AB94" i="29"/>
  <c r="AC94" i="29"/>
  <c r="AF94" i="29"/>
  <c r="AG94" i="29"/>
  <c r="N95" i="29"/>
  <c r="AB95" i="29"/>
  <c r="AC95" i="29"/>
  <c r="AF95" i="29"/>
  <c r="AG95" i="29"/>
  <c r="N96" i="29"/>
  <c r="AB96" i="29"/>
  <c r="AC96" i="29"/>
  <c r="AF96" i="29"/>
  <c r="AG96" i="29"/>
  <c r="N97" i="29"/>
  <c r="AB97" i="29"/>
  <c r="AC97" i="29"/>
  <c r="AF97" i="29"/>
  <c r="AG97" i="29"/>
  <c r="N98" i="29"/>
  <c r="AB98" i="29"/>
  <c r="AC98" i="29"/>
  <c r="AF98" i="29"/>
  <c r="AG98" i="29"/>
  <c r="N99" i="29"/>
  <c r="AB99" i="29"/>
  <c r="AC99" i="29"/>
  <c r="AF99" i="29"/>
  <c r="AG99" i="29"/>
  <c r="N100" i="29"/>
  <c r="AB100" i="29"/>
  <c r="AC100" i="29"/>
  <c r="AF100" i="29"/>
  <c r="AG100" i="29"/>
  <c r="N101" i="29"/>
  <c r="AB101" i="29"/>
  <c r="AC101" i="29"/>
  <c r="AF101" i="29"/>
  <c r="AG101" i="29"/>
  <c r="N102" i="29"/>
  <c r="AB102" i="29"/>
  <c r="AC102" i="29"/>
  <c r="AF102" i="29"/>
  <c r="AG102" i="29"/>
  <c r="N103" i="29"/>
  <c r="AB103" i="29"/>
  <c r="AC103" i="29"/>
  <c r="AF103" i="29"/>
  <c r="AG103" i="29"/>
  <c r="N5" i="7"/>
  <c r="T5" i="7"/>
  <c r="AJ5" i="7"/>
  <c r="AK5" i="7"/>
  <c r="AL5" i="7"/>
  <c r="AM5" i="7"/>
  <c r="N6" i="7"/>
  <c r="T6" i="7"/>
  <c r="AJ6" i="7"/>
  <c r="AK6" i="7"/>
  <c r="AL6" i="7"/>
  <c r="AM6" i="7"/>
  <c r="N7" i="7"/>
  <c r="T7" i="7"/>
  <c r="AJ7" i="7"/>
  <c r="AK7" i="7"/>
  <c r="AL7" i="7"/>
  <c r="AM7" i="7"/>
  <c r="N8" i="7"/>
  <c r="T8" i="7"/>
  <c r="AJ8" i="7"/>
  <c r="AK8" i="7"/>
  <c r="AL8" i="7"/>
  <c r="AM8" i="7"/>
  <c r="N9" i="7"/>
  <c r="T9" i="7"/>
  <c r="AJ9" i="7"/>
  <c r="AK9" i="7"/>
  <c r="AL9" i="7"/>
  <c r="AM9" i="7"/>
  <c r="N10" i="7"/>
  <c r="T10" i="7"/>
  <c r="AJ10" i="7"/>
  <c r="AK10" i="7"/>
  <c r="AL10" i="7"/>
  <c r="AM10" i="7"/>
  <c r="N11" i="7"/>
  <c r="T11" i="7"/>
  <c r="AJ11" i="7"/>
  <c r="AK11" i="7"/>
  <c r="AL11" i="7"/>
  <c r="AM11" i="7"/>
  <c r="N12" i="7"/>
  <c r="T12" i="7"/>
  <c r="AJ12" i="7"/>
  <c r="AK12" i="7"/>
  <c r="AL12" i="7"/>
  <c r="AM12" i="7"/>
  <c r="N13" i="7"/>
  <c r="T13" i="7"/>
  <c r="AJ13" i="7"/>
  <c r="AK13" i="7"/>
  <c r="AL13" i="7"/>
  <c r="AM13" i="7"/>
  <c r="N14" i="7"/>
  <c r="T14" i="7"/>
  <c r="AJ14" i="7"/>
  <c r="AK14" i="7"/>
  <c r="AL14" i="7"/>
  <c r="AM14" i="7"/>
  <c r="N15" i="7"/>
  <c r="T15" i="7"/>
  <c r="AJ15" i="7"/>
  <c r="AK15" i="7"/>
  <c r="AL15" i="7"/>
  <c r="AM15" i="7"/>
  <c r="N16" i="7"/>
  <c r="T16" i="7"/>
  <c r="AJ16" i="7"/>
  <c r="AK16" i="7"/>
  <c r="AL16" i="7"/>
  <c r="AM16" i="7"/>
  <c r="N17" i="7"/>
  <c r="T17" i="7"/>
  <c r="AJ17" i="7"/>
  <c r="AK17" i="7"/>
  <c r="AL17" i="7"/>
  <c r="AM17" i="7"/>
  <c r="N18" i="7"/>
  <c r="T18" i="7"/>
  <c r="AJ18" i="7"/>
  <c r="AK18" i="7"/>
  <c r="AL18" i="7"/>
  <c r="AM18" i="7"/>
  <c r="N19" i="7"/>
  <c r="T19" i="7"/>
  <c r="AJ19" i="7"/>
  <c r="AK19" i="7"/>
  <c r="AL19" i="7"/>
  <c r="AM19" i="7"/>
  <c r="N20" i="7"/>
  <c r="T20" i="7"/>
  <c r="AJ20" i="7"/>
  <c r="AK20" i="7"/>
  <c r="AL20" i="7"/>
  <c r="AM20" i="7"/>
  <c r="N21" i="7"/>
  <c r="T21" i="7"/>
  <c r="AJ21" i="7"/>
  <c r="AK21" i="7"/>
  <c r="AL21" i="7"/>
  <c r="AM21" i="7"/>
  <c r="N22" i="7"/>
  <c r="T22" i="7"/>
  <c r="AJ22" i="7"/>
  <c r="AK22" i="7"/>
  <c r="AL22" i="7"/>
  <c r="AM22" i="7"/>
  <c r="N23" i="7"/>
  <c r="T23" i="7"/>
  <c r="AJ23" i="7"/>
  <c r="AK23" i="7"/>
  <c r="AL23" i="7"/>
  <c r="AM23" i="7"/>
  <c r="N24" i="7"/>
  <c r="T24" i="7"/>
  <c r="AJ24" i="7"/>
  <c r="AK24" i="7"/>
  <c r="AL24" i="7"/>
  <c r="AM24" i="7"/>
  <c r="N25" i="7"/>
  <c r="T25" i="7"/>
  <c r="AJ25" i="7"/>
  <c r="AK25" i="7"/>
  <c r="AL25" i="7"/>
  <c r="AM25" i="7"/>
  <c r="N26" i="7"/>
  <c r="T26" i="7"/>
  <c r="AJ26" i="7"/>
  <c r="AK26" i="7"/>
  <c r="AL26" i="7"/>
  <c r="AM26" i="7"/>
  <c r="N27" i="7"/>
  <c r="T27" i="7"/>
  <c r="AJ27" i="7"/>
  <c r="AK27" i="7"/>
  <c r="AL27" i="7"/>
  <c r="AM27" i="7"/>
  <c r="N28" i="7"/>
  <c r="T28" i="7"/>
  <c r="AJ28" i="7"/>
  <c r="AK28" i="7"/>
  <c r="AL28" i="7"/>
  <c r="AM28" i="7"/>
  <c r="N29" i="7"/>
  <c r="T29" i="7"/>
  <c r="AJ29" i="7"/>
  <c r="AK29" i="7"/>
  <c r="AL29" i="7"/>
  <c r="AM29" i="7"/>
  <c r="N30" i="7"/>
  <c r="T30" i="7"/>
  <c r="AJ30" i="7"/>
  <c r="AK30" i="7"/>
  <c r="AL30" i="7"/>
  <c r="AM30" i="7"/>
  <c r="N31" i="7"/>
  <c r="T31" i="7"/>
  <c r="AJ31" i="7"/>
  <c r="AK31" i="7"/>
  <c r="AL31" i="7"/>
  <c r="AM31" i="7"/>
  <c r="N32" i="7"/>
  <c r="T32" i="7"/>
  <c r="AJ32" i="7"/>
  <c r="AK32" i="7"/>
  <c r="AL32" i="7"/>
  <c r="AM32" i="7"/>
  <c r="N33" i="7"/>
  <c r="T33" i="7"/>
  <c r="AJ33" i="7"/>
  <c r="AK33" i="7"/>
  <c r="AL33" i="7"/>
  <c r="AM33" i="7"/>
  <c r="N34" i="7"/>
  <c r="T34" i="7"/>
  <c r="AJ34" i="7"/>
  <c r="AK34" i="7"/>
  <c r="AL34" i="7"/>
  <c r="AM34" i="7"/>
  <c r="N35" i="7"/>
  <c r="T35" i="7"/>
  <c r="AJ35" i="7"/>
  <c r="AK35" i="7"/>
  <c r="AL35" i="7"/>
  <c r="AM35" i="7"/>
  <c r="N36" i="7"/>
  <c r="T36" i="7"/>
  <c r="AJ36" i="7"/>
  <c r="AK36" i="7"/>
  <c r="AL36" i="7"/>
  <c r="AM36" i="7"/>
  <c r="N37" i="7"/>
  <c r="T37" i="7"/>
  <c r="AJ37" i="7"/>
  <c r="AK37" i="7"/>
  <c r="AL37" i="7"/>
  <c r="AM37" i="7"/>
  <c r="N38" i="7"/>
  <c r="T38" i="7"/>
  <c r="AJ38" i="7"/>
  <c r="AK38" i="7"/>
  <c r="AL38" i="7"/>
  <c r="AM38" i="7"/>
  <c r="N39" i="7"/>
  <c r="T39" i="7"/>
  <c r="AJ39" i="7"/>
  <c r="AK39" i="7"/>
  <c r="AL39" i="7"/>
  <c r="AM39" i="7"/>
  <c r="N40" i="7"/>
  <c r="T40" i="7"/>
  <c r="AJ40" i="7"/>
  <c r="AK40" i="7"/>
  <c r="AL40" i="7"/>
  <c r="AM40" i="7"/>
  <c r="N41" i="7"/>
  <c r="T41" i="7"/>
  <c r="AJ41" i="7"/>
  <c r="AK41" i="7"/>
  <c r="AL41" i="7"/>
  <c r="AM41" i="7"/>
  <c r="N42" i="7"/>
  <c r="T42" i="7"/>
  <c r="AJ42" i="7"/>
  <c r="AK42" i="7"/>
  <c r="AL42" i="7"/>
  <c r="AM42" i="7"/>
  <c r="N43" i="7"/>
  <c r="T43" i="7"/>
  <c r="AJ43" i="7"/>
  <c r="AK43" i="7"/>
  <c r="AL43" i="7"/>
  <c r="AM43" i="7"/>
  <c r="N44" i="7"/>
  <c r="T44" i="7"/>
  <c r="AJ44" i="7"/>
  <c r="AK44" i="7"/>
  <c r="AL44" i="7"/>
  <c r="AM44" i="7"/>
  <c r="N45" i="7"/>
  <c r="T45" i="7"/>
  <c r="AJ45" i="7"/>
  <c r="AK45" i="7"/>
  <c r="AL45" i="7"/>
  <c r="AM45" i="7"/>
  <c r="N46" i="7"/>
  <c r="T46" i="7"/>
  <c r="AJ46" i="7"/>
  <c r="AK46" i="7"/>
  <c r="AL46" i="7"/>
  <c r="AM46" i="7"/>
  <c r="N47" i="7"/>
  <c r="T47" i="7"/>
  <c r="AJ47" i="7"/>
  <c r="AK47" i="7"/>
  <c r="AL47" i="7"/>
  <c r="AM47" i="7"/>
  <c r="N48" i="7"/>
  <c r="T48" i="7"/>
  <c r="AJ48" i="7"/>
  <c r="AK48" i="7"/>
  <c r="AL48" i="7"/>
  <c r="AM48" i="7"/>
  <c r="N49" i="7"/>
  <c r="T49" i="7"/>
  <c r="AJ49" i="7"/>
  <c r="AK49" i="7"/>
  <c r="AL49" i="7"/>
  <c r="AM49" i="7"/>
  <c r="N50" i="7"/>
  <c r="T50" i="7"/>
  <c r="AJ50" i="7"/>
  <c r="AK50" i="7"/>
  <c r="AL50" i="7"/>
  <c r="AM50" i="7"/>
  <c r="N51" i="7"/>
  <c r="T51" i="7"/>
  <c r="AJ51" i="7"/>
  <c r="AK51" i="7"/>
  <c r="AL51" i="7"/>
  <c r="AM51" i="7"/>
  <c r="N53" i="7"/>
  <c r="T53" i="7"/>
  <c r="AJ53" i="7"/>
  <c r="AK53" i="7"/>
  <c r="AL53" i="7"/>
  <c r="AM53" i="7"/>
  <c r="N58" i="7"/>
  <c r="AE58" i="7"/>
  <c r="AF58" i="7"/>
  <c r="AJ58" i="7"/>
  <c r="AK58" i="7"/>
  <c r="N5" i="8"/>
  <c r="T5" i="8"/>
  <c r="AE5" i="8"/>
  <c r="AF5" i="8"/>
  <c r="AG5" i="8"/>
  <c r="AJ5" i="8"/>
  <c r="AK5" i="8"/>
  <c r="AL5" i="8"/>
  <c r="AM5" i="8"/>
  <c r="AO5" i="8"/>
  <c r="AP5" i="8"/>
  <c r="N6" i="8"/>
  <c r="T6" i="8"/>
  <c r="AE6" i="8"/>
  <c r="AF6" i="8"/>
  <c r="AG6" i="8"/>
  <c r="AJ6" i="8"/>
  <c r="AK6" i="8"/>
  <c r="AL6" i="8"/>
  <c r="AM6" i="8"/>
  <c r="AO6" i="8"/>
  <c r="AP6" i="8"/>
  <c r="N7" i="8"/>
  <c r="T7" i="8"/>
  <c r="AE7" i="8"/>
  <c r="AF7" i="8"/>
  <c r="AG7" i="8"/>
  <c r="AJ7" i="8"/>
  <c r="AK7" i="8"/>
  <c r="AL7" i="8"/>
  <c r="AM7" i="8"/>
  <c r="AO7" i="8"/>
  <c r="AP7" i="8"/>
  <c r="N8" i="8"/>
  <c r="T8" i="8"/>
  <c r="AE8" i="8"/>
  <c r="AF8" i="8"/>
  <c r="AG8" i="8"/>
  <c r="AJ8" i="8"/>
  <c r="AK8" i="8"/>
  <c r="AL8" i="8"/>
  <c r="AM8" i="8"/>
  <c r="AO8" i="8"/>
  <c r="AP8" i="8"/>
  <c r="N9" i="8"/>
  <c r="T9" i="8"/>
  <c r="AE9" i="8"/>
  <c r="AF9" i="8"/>
  <c r="AG9" i="8"/>
  <c r="AJ9" i="8"/>
  <c r="AK9" i="8"/>
  <c r="AL9" i="8"/>
  <c r="AM9" i="8"/>
  <c r="AO9" i="8"/>
  <c r="AP9" i="8"/>
  <c r="N10" i="8"/>
  <c r="T10" i="8"/>
  <c r="AE10" i="8"/>
  <c r="AF10" i="8"/>
  <c r="AG10" i="8"/>
  <c r="AJ10" i="8"/>
  <c r="AK10" i="8"/>
  <c r="AL10" i="8"/>
  <c r="AM10" i="8"/>
  <c r="AO10" i="8"/>
  <c r="AP10" i="8"/>
  <c r="N11" i="8"/>
  <c r="T11" i="8"/>
  <c r="AE11" i="8"/>
  <c r="AF11" i="8"/>
  <c r="AG11" i="8"/>
  <c r="AJ11" i="8"/>
  <c r="AK11" i="8"/>
  <c r="AL11" i="8"/>
  <c r="AM11" i="8"/>
  <c r="AO11" i="8"/>
  <c r="AP11" i="8"/>
  <c r="N12" i="8"/>
  <c r="T12" i="8"/>
  <c r="AE12" i="8"/>
  <c r="AF12" i="8"/>
  <c r="AG12" i="8"/>
  <c r="AJ12" i="8"/>
  <c r="AK12" i="8"/>
  <c r="AL12" i="8"/>
  <c r="AM12" i="8"/>
  <c r="AO12" i="8"/>
  <c r="AP12" i="8"/>
  <c r="N13" i="8"/>
  <c r="T13" i="8"/>
  <c r="AE13" i="8"/>
  <c r="AF13" i="8"/>
  <c r="AG13" i="8"/>
  <c r="AJ13" i="8"/>
  <c r="AK13" i="8"/>
  <c r="AL13" i="8"/>
  <c r="AM13" i="8"/>
  <c r="AO13" i="8"/>
  <c r="AP13" i="8"/>
  <c r="N14" i="8"/>
  <c r="T14" i="8"/>
  <c r="AE14" i="8"/>
  <c r="AF14" i="8"/>
  <c r="AG14" i="8"/>
  <c r="AJ14" i="8"/>
  <c r="AK14" i="8"/>
  <c r="AL14" i="8"/>
  <c r="AM14" i="8"/>
  <c r="AO14" i="8"/>
  <c r="AP14" i="8"/>
  <c r="N15" i="8"/>
  <c r="T15" i="8"/>
  <c r="AE15" i="8"/>
  <c r="AF15" i="8"/>
  <c r="AG15" i="8"/>
  <c r="AJ15" i="8"/>
  <c r="AK15" i="8"/>
  <c r="AL15" i="8"/>
  <c r="AM15" i="8"/>
  <c r="AO15" i="8"/>
  <c r="AP15" i="8"/>
  <c r="N16" i="8"/>
  <c r="T16" i="8"/>
  <c r="AE16" i="8"/>
  <c r="AF16" i="8"/>
  <c r="AG16" i="8"/>
  <c r="AJ16" i="8"/>
  <c r="AK16" i="8"/>
  <c r="AL16" i="8"/>
  <c r="AM16" i="8"/>
  <c r="AO16" i="8"/>
  <c r="AP16" i="8"/>
  <c r="N17" i="8"/>
  <c r="T17" i="8"/>
  <c r="AE17" i="8"/>
  <c r="AF17" i="8"/>
  <c r="AG17" i="8"/>
  <c r="AJ17" i="8"/>
  <c r="AK17" i="8"/>
  <c r="AL17" i="8"/>
  <c r="AM17" i="8"/>
  <c r="AO17" i="8"/>
  <c r="AP17" i="8"/>
  <c r="N18" i="8"/>
  <c r="T18" i="8"/>
  <c r="AE18" i="8"/>
  <c r="AF18" i="8"/>
  <c r="AG18" i="8"/>
  <c r="AJ18" i="8"/>
  <c r="AK18" i="8"/>
  <c r="AL18" i="8"/>
  <c r="AM18" i="8"/>
  <c r="AO18" i="8"/>
  <c r="AP18" i="8"/>
  <c r="N19" i="8"/>
  <c r="T19" i="8"/>
  <c r="AE19" i="8"/>
  <c r="AF19" i="8"/>
  <c r="AG19" i="8"/>
  <c r="AJ19" i="8"/>
  <c r="AK19" i="8"/>
  <c r="AL19" i="8"/>
  <c r="AM19" i="8"/>
  <c r="AO19" i="8"/>
  <c r="AP19" i="8"/>
  <c r="N20" i="8"/>
  <c r="T20" i="8"/>
  <c r="AE20" i="8"/>
  <c r="AF20" i="8"/>
  <c r="AG20" i="8"/>
  <c r="AJ20" i="8"/>
  <c r="AK20" i="8"/>
  <c r="AL20" i="8"/>
  <c r="AM20" i="8"/>
  <c r="AO20" i="8"/>
  <c r="AP20" i="8"/>
  <c r="N21" i="8"/>
  <c r="T21" i="8"/>
  <c r="AE21" i="8"/>
  <c r="AF21" i="8"/>
  <c r="AG21" i="8"/>
  <c r="AJ21" i="8"/>
  <c r="AK21" i="8"/>
  <c r="AL21" i="8"/>
  <c r="AM21" i="8"/>
  <c r="AO21" i="8"/>
  <c r="AP21" i="8"/>
  <c r="N22" i="8"/>
  <c r="T22" i="8"/>
  <c r="AE22" i="8"/>
  <c r="AF22" i="8"/>
  <c r="AG22" i="8"/>
  <c r="AJ22" i="8"/>
  <c r="AK22" i="8"/>
  <c r="AL22" i="8"/>
  <c r="AM22" i="8"/>
  <c r="AO22" i="8"/>
  <c r="AP22" i="8"/>
  <c r="N23" i="8"/>
  <c r="T23" i="8"/>
  <c r="AE23" i="8"/>
  <c r="AF23" i="8"/>
  <c r="AG23" i="8"/>
  <c r="AJ23" i="8"/>
  <c r="AK23" i="8"/>
  <c r="AL23" i="8"/>
  <c r="AM23" i="8"/>
  <c r="AO23" i="8"/>
  <c r="AP23" i="8"/>
  <c r="N24" i="8"/>
  <c r="T24" i="8"/>
  <c r="AE24" i="8"/>
  <c r="AF24" i="8"/>
  <c r="AG24" i="8"/>
  <c r="AJ24" i="8"/>
  <c r="AK24" i="8"/>
  <c r="AL24" i="8"/>
  <c r="AM24" i="8"/>
  <c r="AO24" i="8"/>
  <c r="AP24" i="8"/>
  <c r="N25" i="8"/>
  <c r="T25" i="8"/>
  <c r="AE25" i="8"/>
  <c r="AF25" i="8"/>
  <c r="AG25" i="8"/>
  <c r="AJ25" i="8"/>
  <c r="AK25" i="8"/>
  <c r="AL25" i="8"/>
  <c r="AM25" i="8"/>
  <c r="AO25" i="8"/>
  <c r="AP25" i="8"/>
  <c r="N26" i="8"/>
  <c r="T26" i="8"/>
  <c r="AE26" i="8"/>
  <c r="AF26" i="8"/>
  <c r="AG26" i="8"/>
  <c r="AJ26" i="8"/>
  <c r="AK26" i="8"/>
  <c r="AL26" i="8"/>
  <c r="AM26" i="8"/>
  <c r="AO26" i="8"/>
  <c r="AP26" i="8"/>
  <c r="N27" i="8"/>
  <c r="T27" i="8"/>
  <c r="AE27" i="8"/>
  <c r="AF27" i="8"/>
  <c r="AG27" i="8"/>
  <c r="AJ27" i="8"/>
  <c r="AK27" i="8"/>
  <c r="AL27" i="8"/>
  <c r="AM27" i="8"/>
  <c r="AO27" i="8"/>
  <c r="AP27" i="8"/>
  <c r="N28" i="8"/>
  <c r="T28" i="8"/>
  <c r="AE28" i="8"/>
  <c r="AF28" i="8"/>
  <c r="AG28" i="8"/>
  <c r="AJ28" i="8"/>
  <c r="AK28" i="8"/>
  <c r="AL28" i="8"/>
  <c r="AM28" i="8"/>
  <c r="AO28" i="8"/>
  <c r="AP28" i="8"/>
  <c r="N29" i="8"/>
  <c r="T29" i="8"/>
  <c r="AE29" i="8"/>
  <c r="AF29" i="8"/>
  <c r="AG29" i="8"/>
  <c r="AJ29" i="8"/>
  <c r="AK29" i="8"/>
  <c r="AL29" i="8"/>
  <c r="AM29" i="8"/>
  <c r="AO29" i="8"/>
  <c r="AP29" i="8"/>
  <c r="N30" i="8"/>
  <c r="T30" i="8"/>
  <c r="AE30" i="8"/>
  <c r="AF30" i="8"/>
  <c r="AG30" i="8"/>
  <c r="AJ30" i="8"/>
  <c r="AK30" i="8"/>
  <c r="AL30" i="8"/>
  <c r="AM30" i="8"/>
  <c r="AO30" i="8"/>
  <c r="AP30" i="8"/>
  <c r="N31" i="8"/>
  <c r="T31" i="8"/>
  <c r="AE31" i="8"/>
  <c r="AF31" i="8"/>
  <c r="AG31" i="8"/>
  <c r="AJ31" i="8"/>
  <c r="AK31" i="8"/>
  <c r="AL31" i="8"/>
  <c r="AM31" i="8"/>
  <c r="AO31" i="8"/>
  <c r="AP31" i="8"/>
  <c r="N32" i="8"/>
  <c r="T32" i="8"/>
  <c r="AE32" i="8"/>
  <c r="AF32" i="8"/>
  <c r="AG32" i="8"/>
  <c r="AJ32" i="8"/>
  <c r="AK32" i="8"/>
  <c r="AL32" i="8"/>
  <c r="AM32" i="8"/>
  <c r="AO32" i="8"/>
  <c r="AP32" i="8"/>
  <c r="N33" i="8"/>
  <c r="T33" i="8"/>
  <c r="AE33" i="8"/>
  <c r="AF33" i="8"/>
  <c r="AG33" i="8"/>
  <c r="AJ33" i="8"/>
  <c r="AK33" i="8"/>
  <c r="AL33" i="8"/>
  <c r="AM33" i="8"/>
  <c r="AO33" i="8"/>
  <c r="AP33" i="8"/>
  <c r="N34" i="8"/>
  <c r="T34" i="8"/>
  <c r="AE34" i="8"/>
  <c r="AF34" i="8"/>
  <c r="AG34" i="8"/>
  <c r="AJ34" i="8"/>
  <c r="AK34" i="8"/>
  <c r="AL34" i="8"/>
  <c r="AM34" i="8"/>
  <c r="AO34" i="8"/>
  <c r="AP34" i="8"/>
  <c r="N35" i="8"/>
  <c r="T35" i="8"/>
  <c r="AE35" i="8"/>
  <c r="AF35" i="8"/>
  <c r="AG35" i="8"/>
  <c r="AJ35" i="8"/>
  <c r="AK35" i="8"/>
  <c r="AL35" i="8"/>
  <c r="AM35" i="8"/>
  <c r="AO35" i="8"/>
  <c r="AP35" i="8"/>
  <c r="N36" i="8"/>
  <c r="T36" i="8"/>
  <c r="AE36" i="8"/>
  <c r="AF36" i="8"/>
  <c r="AG36" i="8"/>
  <c r="AJ36" i="8"/>
  <c r="AK36" i="8"/>
  <c r="AL36" i="8"/>
  <c r="AM36" i="8"/>
  <c r="AO36" i="8"/>
  <c r="AP36" i="8"/>
  <c r="N37" i="8"/>
  <c r="T37" i="8"/>
  <c r="AE37" i="8"/>
  <c r="AF37" i="8"/>
  <c r="AG37" i="8"/>
  <c r="AJ37" i="8"/>
  <c r="AK37" i="8"/>
  <c r="AL37" i="8"/>
  <c r="AM37" i="8"/>
  <c r="AO37" i="8"/>
  <c r="AP37" i="8"/>
  <c r="N38" i="8"/>
  <c r="T38" i="8"/>
  <c r="AE38" i="8"/>
  <c r="AF38" i="8"/>
  <c r="AG38" i="8"/>
  <c r="AJ38" i="8"/>
  <c r="AK38" i="8"/>
  <c r="AL38" i="8"/>
  <c r="AM38" i="8"/>
  <c r="AO38" i="8"/>
  <c r="AP38" i="8"/>
  <c r="N39" i="8"/>
  <c r="T39" i="8"/>
  <c r="AE39" i="8"/>
  <c r="AF39" i="8"/>
  <c r="AG39" i="8"/>
  <c r="AJ39" i="8"/>
  <c r="AK39" i="8"/>
  <c r="AL39" i="8"/>
  <c r="AM39" i="8"/>
  <c r="AO39" i="8"/>
  <c r="AP39" i="8"/>
  <c r="N40" i="8"/>
  <c r="T40" i="8"/>
  <c r="AE40" i="8"/>
  <c r="AF40" i="8"/>
  <c r="AG40" i="8"/>
  <c r="AJ40" i="8"/>
  <c r="AK40" i="8"/>
  <c r="AL40" i="8"/>
  <c r="AM40" i="8"/>
  <c r="AO40" i="8"/>
  <c r="AP40" i="8"/>
  <c r="N41" i="8"/>
  <c r="T41" i="8"/>
  <c r="AE41" i="8"/>
  <c r="AF41" i="8"/>
  <c r="AG41" i="8"/>
  <c r="AJ41" i="8"/>
  <c r="AK41" i="8"/>
  <c r="AL41" i="8"/>
  <c r="AM41" i="8"/>
  <c r="AO41" i="8"/>
  <c r="AP41" i="8"/>
  <c r="N42" i="8"/>
  <c r="T42" i="8"/>
  <c r="AE42" i="8"/>
  <c r="AF42" i="8"/>
  <c r="AG42" i="8"/>
  <c r="AJ42" i="8"/>
  <c r="AK42" i="8"/>
  <c r="AL42" i="8"/>
  <c r="AM42" i="8"/>
  <c r="AO42" i="8"/>
  <c r="AP42" i="8"/>
  <c r="N43" i="8"/>
  <c r="T43" i="8"/>
  <c r="AE43" i="8"/>
  <c r="AF43" i="8"/>
  <c r="AG43" i="8"/>
  <c r="AJ43" i="8"/>
  <c r="AK43" i="8"/>
  <c r="AL43" i="8"/>
  <c r="AM43" i="8"/>
  <c r="AO43" i="8"/>
  <c r="AP43" i="8"/>
  <c r="N44" i="8"/>
  <c r="T44" i="8"/>
  <c r="AE44" i="8"/>
  <c r="AF44" i="8"/>
  <c r="AG44" i="8"/>
  <c r="AJ44" i="8"/>
  <c r="AK44" i="8"/>
  <c r="AL44" i="8"/>
  <c r="AM44" i="8"/>
  <c r="AO44" i="8"/>
  <c r="AP44" i="8"/>
  <c r="N45" i="8"/>
  <c r="T45" i="8"/>
  <c r="AE45" i="8"/>
  <c r="AF45" i="8"/>
  <c r="AG45" i="8"/>
  <c r="AJ45" i="8"/>
  <c r="AK45" i="8"/>
  <c r="AL45" i="8"/>
  <c r="AM45" i="8"/>
  <c r="AO45" i="8"/>
  <c r="AP45" i="8"/>
  <c r="N46" i="8"/>
  <c r="T46" i="8"/>
  <c r="AE46" i="8"/>
  <c r="AF46" i="8"/>
  <c r="AG46" i="8"/>
  <c r="AJ46" i="8"/>
  <c r="AK46" i="8"/>
  <c r="AL46" i="8"/>
  <c r="AM46" i="8"/>
  <c r="AO46" i="8"/>
  <c r="AP46" i="8"/>
  <c r="N47" i="8"/>
  <c r="T47" i="8"/>
  <c r="AE47" i="8"/>
  <c r="AF47" i="8"/>
  <c r="AG47" i="8"/>
  <c r="AJ47" i="8"/>
  <c r="AK47" i="8"/>
  <c r="AL47" i="8"/>
  <c r="AM47" i="8"/>
  <c r="AO47" i="8"/>
  <c r="AP47" i="8"/>
  <c r="N48" i="8"/>
  <c r="T48" i="8"/>
  <c r="AE48" i="8"/>
  <c r="AF48" i="8"/>
  <c r="AG48" i="8"/>
  <c r="AJ48" i="8"/>
  <c r="AK48" i="8"/>
  <c r="AL48" i="8"/>
  <c r="AM48" i="8"/>
  <c r="AO48" i="8"/>
  <c r="AP48" i="8"/>
  <c r="N49" i="8"/>
  <c r="T49" i="8"/>
  <c r="AE49" i="8"/>
  <c r="AF49" i="8"/>
  <c r="AG49" i="8"/>
  <c r="AJ49" i="8"/>
  <c r="AK49" i="8"/>
  <c r="AL49" i="8"/>
  <c r="AM49" i="8"/>
  <c r="AO49" i="8"/>
  <c r="AP49" i="8"/>
  <c r="N50" i="8"/>
  <c r="T50" i="8"/>
  <c r="AE50" i="8"/>
  <c r="AF50" i="8"/>
  <c r="AG50" i="8"/>
  <c r="AJ50" i="8"/>
  <c r="AK50" i="8"/>
  <c r="AL50" i="8"/>
  <c r="AM50" i="8"/>
  <c r="AO50" i="8"/>
  <c r="AP50" i="8"/>
  <c r="N51" i="8"/>
  <c r="T51" i="8"/>
  <c r="AE51" i="8"/>
  <c r="AF51" i="8"/>
  <c r="AG51" i="8"/>
  <c r="AJ51" i="8"/>
  <c r="AK51" i="8"/>
  <c r="AL51" i="8"/>
  <c r="AM51" i="8"/>
  <c r="AO51" i="8"/>
  <c r="AP51" i="8"/>
  <c r="N53" i="8"/>
  <c r="T53" i="8"/>
  <c r="AE53" i="8"/>
  <c r="AF53" i="8"/>
  <c r="AG53" i="8"/>
  <c r="AJ53" i="8"/>
  <c r="AK53" i="8"/>
  <c r="AL53" i="8"/>
  <c r="AM53" i="8"/>
  <c r="AO53" i="8"/>
  <c r="AP53" i="8"/>
  <c r="AO55" i="8"/>
  <c r="AP55" i="8"/>
  <c r="AE58" i="8"/>
  <c r="AF58" i="8"/>
  <c r="N5" i="9"/>
  <c r="T5" i="9"/>
  <c r="AE5" i="9"/>
  <c r="AF5" i="9"/>
  <c r="AG5" i="9"/>
  <c r="AJ5" i="9"/>
  <c r="AK5" i="9"/>
  <c r="AL5" i="9"/>
  <c r="AM5" i="9"/>
  <c r="AO5" i="9"/>
  <c r="AP5" i="9"/>
  <c r="N6" i="9"/>
  <c r="T6" i="9"/>
  <c r="AE6" i="9"/>
  <c r="AF6" i="9"/>
  <c r="AG6" i="9"/>
  <c r="AJ6" i="9"/>
  <c r="AK6" i="9"/>
  <c r="AL6" i="9"/>
  <c r="AM6" i="9"/>
  <c r="AO6" i="9"/>
  <c r="AP6" i="9"/>
  <c r="N7" i="9"/>
  <c r="T7" i="9"/>
  <c r="AE7" i="9"/>
  <c r="AF7" i="9"/>
  <c r="AG7" i="9"/>
  <c r="AJ7" i="9"/>
  <c r="AK7" i="9"/>
  <c r="AL7" i="9"/>
  <c r="AM7" i="9"/>
  <c r="AO7" i="9"/>
  <c r="AP7" i="9"/>
  <c r="N8" i="9"/>
  <c r="T8" i="9"/>
  <c r="AE8" i="9"/>
  <c r="AF8" i="9"/>
  <c r="AG8" i="9"/>
  <c r="AJ8" i="9"/>
  <c r="AK8" i="9"/>
  <c r="AL8" i="9"/>
  <c r="AM8" i="9"/>
  <c r="AO8" i="9"/>
  <c r="AP8" i="9"/>
  <c r="N9" i="9"/>
  <c r="T9" i="9"/>
  <c r="AE9" i="9"/>
  <c r="AF9" i="9"/>
  <c r="AG9" i="9"/>
  <c r="AJ9" i="9"/>
  <c r="AK9" i="9"/>
  <c r="AL9" i="9"/>
  <c r="AM9" i="9"/>
  <c r="AO9" i="9"/>
  <c r="AP9" i="9"/>
  <c r="N10" i="9"/>
  <c r="T10" i="9"/>
  <c r="AE10" i="9"/>
  <c r="AF10" i="9"/>
  <c r="AG10" i="9"/>
  <c r="AJ10" i="9"/>
  <c r="AK10" i="9"/>
  <c r="AL10" i="9"/>
  <c r="AM10" i="9"/>
  <c r="AO10" i="9"/>
  <c r="AP10" i="9"/>
  <c r="N11" i="9"/>
  <c r="T11" i="9"/>
  <c r="AE11" i="9"/>
  <c r="AF11" i="9"/>
  <c r="AG11" i="9"/>
  <c r="AJ11" i="9"/>
  <c r="AK11" i="9"/>
  <c r="AL11" i="9"/>
  <c r="AM11" i="9"/>
  <c r="AO11" i="9"/>
  <c r="AP11" i="9"/>
  <c r="N12" i="9"/>
  <c r="T12" i="9"/>
  <c r="AE12" i="9"/>
  <c r="AF12" i="9"/>
  <c r="AG12" i="9"/>
  <c r="AJ12" i="9"/>
  <c r="AK12" i="9"/>
  <c r="AL12" i="9"/>
  <c r="AM12" i="9"/>
  <c r="AO12" i="9"/>
  <c r="AP12" i="9"/>
  <c r="N13" i="9"/>
  <c r="T13" i="9"/>
  <c r="AE13" i="9"/>
  <c r="AF13" i="9"/>
  <c r="AG13" i="9"/>
  <c r="AJ13" i="9"/>
  <c r="AK13" i="9"/>
  <c r="AL13" i="9"/>
  <c r="AM13" i="9"/>
  <c r="AO13" i="9"/>
  <c r="AP13" i="9"/>
  <c r="N14" i="9"/>
  <c r="T14" i="9"/>
  <c r="AE14" i="9"/>
  <c r="AF14" i="9"/>
  <c r="AG14" i="9"/>
  <c r="AJ14" i="9"/>
  <c r="AK14" i="9"/>
  <c r="AL14" i="9"/>
  <c r="AM14" i="9"/>
  <c r="AO14" i="9"/>
  <c r="AP14" i="9"/>
  <c r="N15" i="9"/>
  <c r="T15" i="9"/>
  <c r="AE15" i="9"/>
  <c r="AF15" i="9"/>
  <c r="AG15" i="9"/>
  <c r="AJ15" i="9"/>
  <c r="AK15" i="9"/>
  <c r="AL15" i="9"/>
  <c r="AM15" i="9"/>
  <c r="AO15" i="9"/>
  <c r="AP15" i="9"/>
  <c r="N16" i="9"/>
  <c r="T16" i="9"/>
  <c r="AE16" i="9"/>
  <c r="AF16" i="9"/>
  <c r="AG16" i="9"/>
  <c r="AJ16" i="9"/>
  <c r="AK16" i="9"/>
  <c r="AL16" i="9"/>
  <c r="AM16" i="9"/>
  <c r="AO16" i="9"/>
  <c r="AP16" i="9"/>
  <c r="N17" i="9"/>
  <c r="T17" i="9"/>
  <c r="AE17" i="9"/>
  <c r="AF17" i="9"/>
  <c r="AG17" i="9"/>
  <c r="AJ17" i="9"/>
  <c r="AK17" i="9"/>
  <c r="AL17" i="9"/>
  <c r="AM17" i="9"/>
  <c r="AO17" i="9"/>
  <c r="AP17" i="9"/>
  <c r="N18" i="9"/>
  <c r="T18" i="9"/>
  <c r="AE18" i="9"/>
  <c r="AF18" i="9"/>
  <c r="AG18" i="9"/>
  <c r="AJ18" i="9"/>
  <c r="AK18" i="9"/>
  <c r="AL18" i="9"/>
  <c r="AM18" i="9"/>
  <c r="AO18" i="9"/>
  <c r="AP18" i="9"/>
  <c r="N19" i="9"/>
  <c r="T19" i="9"/>
  <c r="AE19" i="9"/>
  <c r="AF19" i="9"/>
  <c r="AG19" i="9"/>
  <c r="AJ19" i="9"/>
  <c r="AK19" i="9"/>
  <c r="AL19" i="9"/>
  <c r="AM19" i="9"/>
  <c r="AO19" i="9"/>
  <c r="AP19" i="9"/>
  <c r="N20" i="9"/>
  <c r="T20" i="9"/>
  <c r="AE20" i="9"/>
  <c r="AF20" i="9"/>
  <c r="AG20" i="9"/>
  <c r="AJ20" i="9"/>
  <c r="AK20" i="9"/>
  <c r="AL20" i="9"/>
  <c r="AM20" i="9"/>
  <c r="AO20" i="9"/>
  <c r="AP20" i="9"/>
  <c r="N21" i="9"/>
  <c r="T21" i="9"/>
  <c r="AE21" i="9"/>
  <c r="AF21" i="9"/>
  <c r="AG21" i="9"/>
  <c r="AJ21" i="9"/>
  <c r="AK21" i="9"/>
  <c r="AL21" i="9"/>
  <c r="AM21" i="9"/>
  <c r="AO21" i="9"/>
  <c r="AP21" i="9"/>
  <c r="N22" i="9"/>
  <c r="T22" i="9"/>
  <c r="AE22" i="9"/>
  <c r="AF22" i="9"/>
  <c r="AG22" i="9"/>
  <c r="AJ22" i="9"/>
  <c r="AK22" i="9"/>
  <c r="AL22" i="9"/>
  <c r="AM22" i="9"/>
  <c r="AO22" i="9"/>
  <c r="AP22" i="9"/>
  <c r="N23" i="9"/>
  <c r="T23" i="9"/>
  <c r="AE23" i="9"/>
  <c r="AF23" i="9"/>
  <c r="AG23" i="9"/>
  <c r="AJ23" i="9"/>
  <c r="AK23" i="9"/>
  <c r="AL23" i="9"/>
  <c r="AM23" i="9"/>
  <c r="AO23" i="9"/>
  <c r="AP23" i="9"/>
  <c r="N24" i="9"/>
  <c r="T24" i="9"/>
  <c r="AE24" i="9"/>
  <c r="AF24" i="9"/>
  <c r="AG24" i="9"/>
  <c r="AJ24" i="9"/>
  <c r="AK24" i="9"/>
  <c r="AL24" i="9"/>
  <c r="AM24" i="9"/>
  <c r="AO24" i="9"/>
  <c r="AP24" i="9"/>
  <c r="N25" i="9"/>
  <c r="T25" i="9"/>
  <c r="AE25" i="9"/>
  <c r="AF25" i="9"/>
  <c r="AG25" i="9"/>
  <c r="AJ25" i="9"/>
  <c r="AK25" i="9"/>
  <c r="AL25" i="9"/>
  <c r="AM25" i="9"/>
  <c r="AO25" i="9"/>
  <c r="AP25" i="9"/>
  <c r="N26" i="9"/>
  <c r="T26" i="9"/>
  <c r="AE26" i="9"/>
  <c r="AF26" i="9"/>
  <c r="AG26" i="9"/>
  <c r="AJ26" i="9"/>
  <c r="AK26" i="9"/>
  <c r="AL26" i="9"/>
  <c r="AM26" i="9"/>
  <c r="AO26" i="9"/>
  <c r="AP26" i="9"/>
  <c r="N27" i="9"/>
  <c r="T27" i="9"/>
  <c r="AE27" i="9"/>
  <c r="AF27" i="9"/>
  <c r="AG27" i="9"/>
  <c r="AJ27" i="9"/>
  <c r="AK27" i="9"/>
  <c r="AL27" i="9"/>
  <c r="AM27" i="9"/>
  <c r="AO27" i="9"/>
  <c r="AP27" i="9"/>
  <c r="N28" i="9"/>
  <c r="T28" i="9"/>
  <c r="AE28" i="9"/>
  <c r="AF28" i="9"/>
  <c r="AG28" i="9"/>
  <c r="AJ28" i="9"/>
  <c r="AK28" i="9"/>
  <c r="AL28" i="9"/>
  <c r="AM28" i="9"/>
  <c r="AO28" i="9"/>
  <c r="AP28" i="9"/>
  <c r="N29" i="9"/>
  <c r="T29" i="9"/>
  <c r="AE29" i="9"/>
  <c r="AF29" i="9"/>
  <c r="AG29" i="9"/>
  <c r="AJ29" i="9"/>
  <c r="AK29" i="9"/>
  <c r="AL29" i="9"/>
  <c r="AM29" i="9"/>
  <c r="AO29" i="9"/>
  <c r="AP29" i="9"/>
  <c r="N30" i="9"/>
  <c r="T30" i="9"/>
  <c r="AE30" i="9"/>
  <c r="AF30" i="9"/>
  <c r="AG30" i="9"/>
  <c r="AJ30" i="9"/>
  <c r="AK30" i="9"/>
  <c r="AL30" i="9"/>
  <c r="AM30" i="9"/>
  <c r="AO30" i="9"/>
  <c r="AP30" i="9"/>
  <c r="N31" i="9"/>
  <c r="T31" i="9"/>
  <c r="AE31" i="9"/>
  <c r="AF31" i="9"/>
  <c r="AG31" i="9"/>
  <c r="AJ31" i="9"/>
  <c r="AK31" i="9"/>
  <c r="AL31" i="9"/>
  <c r="AM31" i="9"/>
  <c r="AO31" i="9"/>
  <c r="AP31" i="9"/>
  <c r="N32" i="9"/>
  <c r="T32" i="9"/>
  <c r="AE32" i="9"/>
  <c r="AF32" i="9"/>
  <c r="AG32" i="9"/>
  <c r="AJ32" i="9"/>
  <c r="AK32" i="9"/>
  <c r="AL32" i="9"/>
  <c r="AM32" i="9"/>
  <c r="AO32" i="9"/>
  <c r="AP32" i="9"/>
  <c r="N33" i="9"/>
  <c r="T33" i="9"/>
  <c r="AE33" i="9"/>
  <c r="AF33" i="9"/>
  <c r="AG33" i="9"/>
  <c r="AJ33" i="9"/>
  <c r="AK33" i="9"/>
  <c r="AL33" i="9"/>
  <c r="AM33" i="9"/>
  <c r="AO33" i="9"/>
  <c r="AP33" i="9"/>
  <c r="N34" i="9"/>
  <c r="T34" i="9"/>
  <c r="AE34" i="9"/>
  <c r="AF34" i="9"/>
  <c r="AG34" i="9"/>
  <c r="AJ34" i="9"/>
  <c r="AK34" i="9"/>
  <c r="AL34" i="9"/>
  <c r="AM34" i="9"/>
  <c r="AO34" i="9"/>
  <c r="AP34" i="9"/>
  <c r="N35" i="9"/>
  <c r="T35" i="9"/>
  <c r="AE35" i="9"/>
  <c r="AF35" i="9"/>
  <c r="AG35" i="9"/>
  <c r="AJ35" i="9"/>
  <c r="AK35" i="9"/>
  <c r="AL35" i="9"/>
  <c r="AM35" i="9"/>
  <c r="AO35" i="9"/>
  <c r="AP35" i="9"/>
  <c r="N36" i="9"/>
  <c r="T36" i="9"/>
  <c r="AE36" i="9"/>
  <c r="AF36" i="9"/>
  <c r="AG36" i="9"/>
  <c r="AJ36" i="9"/>
  <c r="AK36" i="9"/>
  <c r="AL36" i="9"/>
  <c r="AM36" i="9"/>
  <c r="AO36" i="9"/>
  <c r="AP36" i="9"/>
  <c r="N37" i="9"/>
  <c r="T37" i="9"/>
  <c r="AE37" i="9"/>
  <c r="AF37" i="9"/>
  <c r="AG37" i="9"/>
  <c r="AJ37" i="9"/>
  <c r="AK37" i="9"/>
  <c r="AL37" i="9"/>
  <c r="AM37" i="9"/>
  <c r="AO37" i="9"/>
  <c r="AP37" i="9"/>
  <c r="N38" i="9"/>
  <c r="T38" i="9"/>
  <c r="AE38" i="9"/>
  <c r="AF38" i="9"/>
  <c r="AG38" i="9"/>
  <c r="AJ38" i="9"/>
  <c r="AK38" i="9"/>
  <c r="AL38" i="9"/>
  <c r="AM38" i="9"/>
  <c r="AO38" i="9"/>
  <c r="AP38" i="9"/>
  <c r="N39" i="9"/>
  <c r="T39" i="9"/>
  <c r="AE39" i="9"/>
  <c r="AF39" i="9"/>
  <c r="AG39" i="9"/>
  <c r="AJ39" i="9"/>
  <c r="AK39" i="9"/>
  <c r="AL39" i="9"/>
  <c r="AM39" i="9"/>
  <c r="AO39" i="9"/>
  <c r="AP39" i="9"/>
  <c r="N40" i="9"/>
  <c r="T40" i="9"/>
  <c r="AE40" i="9"/>
  <c r="AF40" i="9"/>
  <c r="AG40" i="9"/>
  <c r="AJ40" i="9"/>
  <c r="AK40" i="9"/>
  <c r="AL40" i="9"/>
  <c r="AM40" i="9"/>
  <c r="AO40" i="9"/>
  <c r="AP40" i="9"/>
  <c r="N41" i="9"/>
  <c r="T41" i="9"/>
  <c r="AE41" i="9"/>
  <c r="AF41" i="9"/>
  <c r="AG41" i="9"/>
  <c r="AJ41" i="9"/>
  <c r="AK41" i="9"/>
  <c r="AL41" i="9"/>
  <c r="AM41" i="9"/>
  <c r="AO41" i="9"/>
  <c r="AP41" i="9"/>
  <c r="N42" i="9"/>
  <c r="T42" i="9"/>
  <c r="AE42" i="9"/>
  <c r="AF42" i="9"/>
  <c r="AG42" i="9"/>
  <c r="AJ42" i="9"/>
  <c r="AK42" i="9"/>
  <c r="AL42" i="9"/>
  <c r="AM42" i="9"/>
  <c r="AO42" i="9"/>
  <c r="AP42" i="9"/>
  <c r="N43" i="9"/>
  <c r="T43" i="9"/>
  <c r="AE43" i="9"/>
  <c r="AF43" i="9"/>
  <c r="AG43" i="9"/>
  <c r="AJ43" i="9"/>
  <c r="AK43" i="9"/>
  <c r="AL43" i="9"/>
  <c r="AM43" i="9"/>
  <c r="AO43" i="9"/>
  <c r="AP43" i="9"/>
  <c r="N44" i="9"/>
  <c r="T44" i="9"/>
  <c r="AE44" i="9"/>
  <c r="AF44" i="9"/>
  <c r="AG44" i="9"/>
  <c r="AJ44" i="9"/>
  <c r="AK44" i="9"/>
  <c r="AL44" i="9"/>
  <c r="AM44" i="9"/>
  <c r="AO44" i="9"/>
  <c r="AP44" i="9"/>
  <c r="N45" i="9"/>
  <c r="T45" i="9"/>
  <c r="AE45" i="9"/>
  <c r="AF45" i="9"/>
  <c r="AG45" i="9"/>
  <c r="AJ45" i="9"/>
  <c r="AK45" i="9"/>
  <c r="AL45" i="9"/>
  <c r="AM45" i="9"/>
  <c r="AO45" i="9"/>
  <c r="AP45" i="9"/>
  <c r="N46" i="9"/>
  <c r="T46" i="9"/>
  <c r="AE46" i="9"/>
  <c r="AF46" i="9"/>
  <c r="AG46" i="9"/>
  <c r="AJ46" i="9"/>
  <c r="AK46" i="9"/>
  <c r="AL46" i="9"/>
  <c r="AM46" i="9"/>
  <c r="AO46" i="9"/>
  <c r="AP46" i="9"/>
  <c r="N47" i="9"/>
  <c r="T47" i="9"/>
  <c r="AE47" i="9"/>
  <c r="AF47" i="9"/>
  <c r="AG47" i="9"/>
  <c r="AJ47" i="9"/>
  <c r="AK47" i="9"/>
  <c r="AL47" i="9"/>
  <c r="AM47" i="9"/>
  <c r="AO47" i="9"/>
  <c r="AP47" i="9"/>
  <c r="N48" i="9"/>
  <c r="T48" i="9"/>
  <c r="AE48" i="9"/>
  <c r="AF48" i="9"/>
  <c r="AG48" i="9"/>
  <c r="AJ48" i="9"/>
  <c r="AK48" i="9"/>
  <c r="AL48" i="9"/>
  <c r="AM48" i="9"/>
  <c r="AO48" i="9"/>
  <c r="AP48" i="9"/>
  <c r="N49" i="9"/>
  <c r="T49" i="9"/>
  <c r="AE49" i="9"/>
  <c r="AF49" i="9"/>
  <c r="AG49" i="9"/>
  <c r="AJ49" i="9"/>
  <c r="AK49" i="9"/>
  <c r="AL49" i="9"/>
  <c r="AM49" i="9"/>
  <c r="AO49" i="9"/>
  <c r="AP49" i="9"/>
  <c r="N50" i="9"/>
  <c r="T50" i="9"/>
  <c r="AE50" i="9"/>
  <c r="AF50" i="9"/>
  <c r="AG50" i="9"/>
  <c r="AJ50" i="9"/>
  <c r="AK50" i="9"/>
  <c r="AL50" i="9"/>
  <c r="AM50" i="9"/>
  <c r="AO50" i="9"/>
  <c r="AP50" i="9"/>
  <c r="N51" i="9"/>
  <c r="T51" i="9"/>
  <c r="AE51" i="9"/>
  <c r="AF51" i="9"/>
  <c r="AG51" i="9"/>
  <c r="AJ51" i="9"/>
  <c r="AK51" i="9"/>
  <c r="AL51" i="9"/>
  <c r="AM51" i="9"/>
  <c r="AO51" i="9"/>
  <c r="AP51" i="9"/>
  <c r="N53" i="9"/>
  <c r="T53" i="9"/>
  <c r="AE53" i="9"/>
  <c r="AF53" i="9"/>
  <c r="AG53" i="9"/>
  <c r="AJ53" i="9"/>
  <c r="AK53" i="9"/>
  <c r="AL53" i="9"/>
  <c r="AM53" i="9"/>
  <c r="AO53" i="9"/>
  <c r="AP53" i="9"/>
  <c r="AO55" i="9"/>
  <c r="AP5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C33" authorId="0" shapeId="0" xr:uid="{A4ED9EB2-E10B-4BB9-BD1E-7EC01137AFC0}">
      <text>
        <r>
          <rPr>
            <sz val="9"/>
            <color indexed="81"/>
            <rFont val="Segoe UI"/>
            <family val="2"/>
          </rPr>
          <t>Econômico: CDE Covid TE; Financeiro: CDE Energia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EC7E23-954E-4A00-B0CA-A5BC0D60F65A}" name="Conexão" type="7" refreshedVersion="8" background="1" saveData="1"/>
  <connection id="2" xr16:uid="{1C6C8D53-FE70-4371-B1C1-B9F87B08D222}" name="Conexão1" type="7" refreshedVersion="8" background="1" saveData="1"/>
  <connection id="3" xr16:uid="{585EBD34-483C-4DC3-AD43-B384E6C410B1}" name="Conexão2" type="7" refreshedVersion="8" background="1" saveData="1"/>
</connections>
</file>

<file path=xl/sharedStrings.xml><?xml version="1.0" encoding="utf-8"?>
<sst xmlns="http://schemas.openxmlformats.org/spreadsheetml/2006/main" count="18046" uniqueCount="1186">
  <si>
    <t>TipoMercado</t>
  </si>
  <si>
    <t>Subgrupo</t>
  </si>
  <si>
    <t>Modalidade</t>
  </si>
  <si>
    <t>Classe</t>
  </si>
  <si>
    <t>Subclasse</t>
  </si>
  <si>
    <t>Detalhe</t>
  </si>
  <si>
    <t>Agente</t>
  </si>
  <si>
    <t>Posto</t>
  </si>
  <si>
    <t>AnoMes</t>
  </si>
  <si>
    <t>D</t>
  </si>
  <si>
    <t>Daj</t>
  </si>
  <si>
    <t>TUSD_E</t>
  </si>
  <si>
    <t>TUSD_Eaj</t>
  </si>
  <si>
    <t>TE_E</t>
  </si>
  <si>
    <t>TE_Eaj</t>
  </si>
  <si>
    <t>UC</t>
  </si>
  <si>
    <t>OPÇÃO</t>
  </si>
  <si>
    <t>CóD. AUX.</t>
  </si>
  <si>
    <t>CóD. AUX. TUSD R$/kW</t>
  </si>
  <si>
    <t>CóD. AUX. TUSD R$/MWh</t>
  </si>
  <si>
    <t>CóD. AUX. TE R$/MWh</t>
  </si>
  <si>
    <t>Regular</t>
  </si>
  <si>
    <t>B1</t>
  </si>
  <si>
    <t>Convencional</t>
  </si>
  <si>
    <t>Residencial</t>
  </si>
  <si>
    <t>Não se aplica</t>
  </si>
  <si>
    <t>CATIVO</t>
  </si>
  <si>
    <t>Sistema de Compensação</t>
  </si>
  <si>
    <t>Residencial baixa renda – faixa 01</t>
  </si>
  <si>
    <t>Residencial baixa renda – faixa 02</t>
  </si>
  <si>
    <t>Residencial baixa renda – faixa 03</t>
  </si>
  <si>
    <t>Residencial baixa renda – faixa 04</t>
  </si>
  <si>
    <t>B3</t>
  </si>
  <si>
    <t>Industrial</t>
  </si>
  <si>
    <t>A4</t>
  </si>
  <si>
    <t>Verde</t>
  </si>
  <si>
    <t>Ponta</t>
  </si>
  <si>
    <t>Fora ponta</t>
  </si>
  <si>
    <t>Comercial</t>
  </si>
  <si>
    <t>Branca</t>
  </si>
  <si>
    <t>Intermediário</t>
  </si>
  <si>
    <t>B2</t>
  </si>
  <si>
    <t>Rural</t>
  </si>
  <si>
    <t>Poder público</t>
  </si>
  <si>
    <t>B4</t>
  </si>
  <si>
    <t>Iluminação pública</t>
  </si>
  <si>
    <t>Iluminação pública – B4a</t>
  </si>
  <si>
    <t>Serviço público</t>
  </si>
  <si>
    <t>Água, esgoto e saneamento</t>
  </si>
  <si>
    <t>Consumo próprio</t>
  </si>
  <si>
    <t>Agropecuária rural</t>
  </si>
  <si>
    <t>IRRIG./AQUIC.</t>
  </si>
  <si>
    <t>IRRIG./AQUIC. PR</t>
  </si>
  <si>
    <t>TIPO ALERTA</t>
  </si>
  <si>
    <t>DETALHE ALERTA</t>
  </si>
  <si>
    <t>ABA</t>
  </si>
  <si>
    <t>LINHA</t>
  </si>
  <si>
    <t>COLUNA</t>
  </si>
  <si>
    <t>VARIÁVEL AUXILIAR</t>
  </si>
  <si>
    <t>SUBGRUPO</t>
  </si>
  <si>
    <t>MODALIDADE</t>
  </si>
  <si>
    <t>CLASSE</t>
  </si>
  <si>
    <t>SUBCLASSE</t>
  </si>
  <si>
    <t>DETALHE</t>
  </si>
  <si>
    <t>NOME UC</t>
  </si>
  <si>
    <t>POSTO</t>
  </si>
  <si>
    <t>UNIDADE</t>
  </si>
  <si>
    <t>SOMA MERCADO</t>
  </si>
  <si>
    <t>Energia horária</t>
  </si>
  <si>
    <t>MWh</t>
  </si>
  <si>
    <t>EP</t>
  </si>
  <si>
    <t>EFP</t>
  </si>
  <si>
    <t>Energia convencional</t>
  </si>
  <si>
    <t>E</t>
  </si>
  <si>
    <t>Azul</t>
  </si>
  <si>
    <t>kW</t>
  </si>
  <si>
    <t>DP</t>
  </si>
  <si>
    <t>DFP</t>
  </si>
  <si>
    <t>APE</t>
  </si>
  <si>
    <t>Geração</t>
  </si>
  <si>
    <t>B</t>
  </si>
  <si>
    <t>TIPO 01</t>
  </si>
  <si>
    <t>TIPO 02</t>
  </si>
  <si>
    <t>EINT</t>
  </si>
  <si>
    <t>Energia convencional pré-pagamento</t>
  </si>
  <si>
    <t>Convencional pré-pagamento</t>
  </si>
  <si>
    <t>Cooperativa de eletrificação rural</t>
  </si>
  <si>
    <t>Serviço público de irrigação rural</t>
  </si>
  <si>
    <t>Iluminação pública – B4b</t>
  </si>
  <si>
    <t>CHAVE TUSD</t>
  </si>
  <si>
    <t>44317A4VerdeNão se aplicaNão se aplicaNão se aplicaNão se aplicaFora ponta</t>
  </si>
  <si>
    <t>44348A4VerdeNão se aplicaNão se aplicaNão se aplicaNão se aplicaFora ponta</t>
  </si>
  <si>
    <t>44378A4VerdeNão se aplicaNão se aplicaNão se aplicaNão se aplicaFora ponta</t>
  </si>
  <si>
    <t>44409A4VerdeNão se aplicaNão se aplicaNão se aplicaNão se aplicaFora ponta</t>
  </si>
  <si>
    <t>44440A4VerdeNão se aplicaNão se aplicaNão se aplicaNão se aplicaFora ponta</t>
  </si>
  <si>
    <t>44470A4VerdeNão se aplicaNão se aplicaNão se aplicaNão se aplicaFora ponta</t>
  </si>
  <si>
    <t>44501A4VerdeNão se aplicaNão se aplicaNão se aplicaNão se aplicaFora ponta</t>
  </si>
  <si>
    <t>44531A4VerdeNão se aplicaNão se aplicaNão se aplicaNão se aplicaFora ponta</t>
  </si>
  <si>
    <t>44562A4VerdeNão se aplicaNão se aplicaNão se aplicaNão se aplicaFora ponta</t>
  </si>
  <si>
    <t>44593A4VerdeNão se aplicaNão se aplicaNão se aplicaNão se aplicaFora ponta</t>
  </si>
  <si>
    <t>44621A4VerdeNão se aplicaNão se aplicaNão se aplicaNão se aplicaFora ponta</t>
  </si>
  <si>
    <t>44652A4VerdeNão se aplicaNão se aplicaNão se aplicaNão se aplicaFora ponta</t>
  </si>
  <si>
    <t>44317A4VerdeNão se aplicaNão se aplicaNão se aplicaNão se aplicaNão se aplica</t>
  </si>
  <si>
    <t>44348A4VerdeNão se aplicaNão se aplicaNão se aplicaNão se aplicaNão se aplica</t>
  </si>
  <si>
    <t>44378A4VerdeNão se aplicaNão se aplicaNão se aplicaNão se aplicaNão se aplica</t>
  </si>
  <si>
    <t>44409A4VerdeNão se aplicaNão se aplicaNão se aplicaNão se aplicaNão se aplica</t>
  </si>
  <si>
    <t>44440A4VerdeNão se aplicaNão se aplicaNão se aplicaNão se aplicaNão se aplica</t>
  </si>
  <si>
    <t>44470A4VerdeNão se aplicaNão se aplicaNão se aplicaNão se aplicaNão se aplica</t>
  </si>
  <si>
    <t>44501A4VerdeNão se aplicaNão se aplicaNão se aplicaNão se aplicaNão se aplica</t>
  </si>
  <si>
    <t>44531A4VerdeNão se aplicaNão se aplicaNão se aplicaNão se aplicaNão se aplica</t>
  </si>
  <si>
    <t>44562A4VerdeNão se aplicaNão se aplicaNão se aplicaNão se aplicaNão se aplica</t>
  </si>
  <si>
    <t>44593A4VerdeNão se aplicaNão se aplicaNão se aplicaNão se aplicaNão se aplica</t>
  </si>
  <si>
    <t>44621A4VerdeNão se aplicaNão se aplicaNão se aplicaNão se aplicaNão se aplica</t>
  </si>
  <si>
    <t>44652A4VerdeNão se aplicaNão se aplicaNão se aplicaNão se aplicaNão se aplica</t>
  </si>
  <si>
    <t>44317A4VerdeNão se aplicaNão se aplicaNão se aplicaNão se aplicaPonta</t>
  </si>
  <si>
    <t>44348A4VerdeNão se aplicaNão se aplicaNão se aplicaNão se aplicaPonta</t>
  </si>
  <si>
    <t>44378A4VerdeNão se aplicaNão se aplicaNão se aplicaNão se aplicaPonta</t>
  </si>
  <si>
    <t>44409A4VerdeNão se aplicaNão se aplicaNão se aplicaNão se aplicaPonta</t>
  </si>
  <si>
    <t>44440A4VerdeNão se aplicaNão se aplicaNão se aplicaNão se aplicaPonta</t>
  </si>
  <si>
    <t>44470A4VerdeNão se aplicaNão se aplicaNão se aplicaNão se aplicaPonta</t>
  </si>
  <si>
    <t>44501A4VerdeNão se aplicaNão se aplicaNão se aplicaNão se aplicaPonta</t>
  </si>
  <si>
    <t>44531A4VerdeNão se aplicaNão se aplicaNão se aplicaNão se aplicaPonta</t>
  </si>
  <si>
    <t>44562A4VerdeNão se aplicaNão se aplicaNão se aplicaNão se aplicaPonta</t>
  </si>
  <si>
    <t>44593A4VerdeNão se aplicaNão se aplicaNão se aplicaNão se aplicaPonta</t>
  </si>
  <si>
    <t>44621A4VerdeNão se aplicaNão se aplicaNão se aplicaNão se aplicaPonta</t>
  </si>
  <si>
    <t>44652A4VerdeNão se aplicaNão se aplicaNão se aplicaNão se aplicaPonta</t>
  </si>
  <si>
    <t>44531B1BrancaResidencialResidencialNão se aplicaNão se aplicaFora ponta</t>
  </si>
  <si>
    <t>44562B1BrancaResidencialResidencialNão se aplicaNão se aplicaFora ponta</t>
  </si>
  <si>
    <t>44593B1BrancaResidencialResidencialNão se aplicaNão se aplicaFora ponta</t>
  </si>
  <si>
    <t>44621B1BrancaResidencialResidencialNão se aplicaNão se aplicaFora ponta</t>
  </si>
  <si>
    <t>44652B1BrancaResidencialResidencialNão se aplicaNão se aplicaFora ponta</t>
  </si>
  <si>
    <t>44531B1BrancaResidencialResidencialNão se aplicaNão se aplicaIntermediário</t>
  </si>
  <si>
    <t>44593B1BrancaResidencialResidencialNão se aplicaNão se aplicaIntermediário</t>
  </si>
  <si>
    <t>44621B1BrancaResidencialResidencialNão se aplicaNão se aplicaIntermediário</t>
  </si>
  <si>
    <t>44317B1ConvencionalResidencialResidencialNão se aplicaNão se aplicaNão se aplica</t>
  </si>
  <si>
    <t>44348B1ConvencionalResidencialResidencialNão se aplicaNão se aplicaNão se aplica</t>
  </si>
  <si>
    <t>44378B1ConvencionalResidencialResidencialNão se aplicaNão se aplicaNão se aplica</t>
  </si>
  <si>
    <t>44409B1ConvencionalResidencialResidencialNão se aplicaNão se aplicaNão se aplica</t>
  </si>
  <si>
    <t>44440B1ConvencionalResidencialResidencialNão se aplicaNão se aplicaNão se aplica</t>
  </si>
  <si>
    <t>44470B1ConvencionalResidencialResidencialNão se aplicaNão se aplicaNão se aplica</t>
  </si>
  <si>
    <t>44501B1ConvencionalResidencialResidencialNão se aplicaNão se aplicaNão se aplica</t>
  </si>
  <si>
    <t>44531B1ConvencionalResidencialResidencialNão se aplicaNão se aplicaNão se aplica</t>
  </si>
  <si>
    <t>44562B1ConvencionalResidencialResidencialNão se aplicaNão se aplicaNão se aplica</t>
  </si>
  <si>
    <t>44593B1ConvencionalResidencialResidencialNão se aplicaNão se aplicaNão se aplica</t>
  </si>
  <si>
    <t>44621B1ConvencionalResidencialResidencialNão se aplicaNão se aplicaNão se aplica</t>
  </si>
  <si>
    <t>44652B1ConvencionalResidencialResidencialNão se aplicaNão se aplicaNão se aplica</t>
  </si>
  <si>
    <t>44317B1ConvencionalResidencialResidencial baixa renda – faixa 01Não se aplicaNão se aplicaNão se aplica</t>
  </si>
  <si>
    <t>44348B1ConvencionalResidencialResidencial baixa renda – faixa 01Não se aplicaNão se aplicaNão se aplica</t>
  </si>
  <si>
    <t>44378B1ConvencionalResidencialResidencial baixa renda – faixa 01Não se aplicaNão se aplicaNão se aplica</t>
  </si>
  <si>
    <t>44409B1ConvencionalResidencialResidencial baixa renda – faixa 01Não se aplicaNão se aplicaNão se aplica</t>
  </si>
  <si>
    <t>44440B1ConvencionalResidencialResidencial baixa renda – faixa 01Não se aplicaNão se aplicaNão se aplica</t>
  </si>
  <si>
    <t>44470B1ConvencionalResidencialResidencial baixa renda – faixa 01Não se aplicaNão se aplicaNão se aplica</t>
  </si>
  <si>
    <t>44501B1ConvencionalResidencialResidencial baixa renda – faixa 01Não se aplicaNão se aplicaNão se aplica</t>
  </si>
  <si>
    <t>44531B1ConvencionalResidencialResidencial baixa renda – faixa 01Não se aplicaNão se aplicaNão se aplica</t>
  </si>
  <si>
    <t>44562B1ConvencionalResidencialResidencial baixa renda – faixa 01Não se aplicaNão se aplicaNão se aplica</t>
  </si>
  <si>
    <t>44593B1ConvencionalResidencialResidencial baixa renda – faixa 01Não se aplicaNão se aplicaNão se aplica</t>
  </si>
  <si>
    <t>44621B1ConvencionalResidencialResidencial baixa renda – faixa 01Não se aplicaNão se aplicaNão se aplica</t>
  </si>
  <si>
    <t>44652B1ConvencionalResidencialResidencial baixa renda – faixa 01Não se aplicaNão se aplicaNão se aplica</t>
  </si>
  <si>
    <t>44317B1ConvencionalResidencialResidencial baixa renda – faixa 02Não se aplicaNão se aplicaNão se aplica</t>
  </si>
  <si>
    <t>44348B1ConvencionalResidencialResidencial baixa renda – faixa 02Não se aplicaNão se aplicaNão se aplica</t>
  </si>
  <si>
    <t>44378B1ConvencionalResidencialResidencial baixa renda – faixa 02Não se aplicaNão se aplicaNão se aplica</t>
  </si>
  <si>
    <t>44409B1ConvencionalResidencialResidencial baixa renda – faixa 02Não se aplicaNão se aplicaNão se aplica</t>
  </si>
  <si>
    <t>44440B1ConvencionalResidencialResidencial baixa renda – faixa 02Não se aplicaNão se aplicaNão se aplica</t>
  </si>
  <si>
    <t>44470B1ConvencionalResidencialResidencial baixa renda – faixa 02Não se aplicaNão se aplicaNão se aplica</t>
  </si>
  <si>
    <t>44501B1ConvencionalResidencialResidencial baixa renda – faixa 02Não se aplicaNão se aplicaNão se aplica</t>
  </si>
  <si>
    <t>44531B1ConvencionalResidencialResidencial baixa renda – faixa 02Não se aplicaNão se aplicaNão se aplica</t>
  </si>
  <si>
    <t>44562B1ConvencionalResidencialResidencial baixa renda – faixa 02Não se aplicaNão se aplicaNão se aplica</t>
  </si>
  <si>
    <t>44593B1ConvencionalResidencialResidencial baixa renda – faixa 02Não se aplicaNão se aplicaNão se aplica</t>
  </si>
  <si>
    <t>44621B1ConvencionalResidencialResidencial baixa renda – faixa 02Não se aplicaNão se aplicaNão se aplica</t>
  </si>
  <si>
    <t>44652B1ConvencionalResidencialResidencial baixa renda – faixa 02Não se aplicaNão se aplicaNão se aplica</t>
  </si>
  <si>
    <t>44317B1ConvencionalResidencialResidencial baixa renda – faixa 03Não se aplicaNão se aplicaNão se aplica</t>
  </si>
  <si>
    <t>44348B1ConvencionalResidencialResidencial baixa renda – faixa 03Não se aplicaNão se aplicaNão se aplica</t>
  </si>
  <si>
    <t>44378B1ConvencionalResidencialResidencial baixa renda – faixa 03Não se aplicaNão se aplicaNão se aplica</t>
  </si>
  <si>
    <t>44409B1ConvencionalResidencialResidencial baixa renda – faixa 03Não se aplicaNão se aplicaNão se aplica</t>
  </si>
  <si>
    <t>44440B1ConvencionalResidencialResidencial baixa renda – faixa 03Não se aplicaNão se aplicaNão se aplica</t>
  </si>
  <si>
    <t>44470B1ConvencionalResidencialResidencial baixa renda – faixa 03Não se aplicaNão se aplicaNão se aplica</t>
  </si>
  <si>
    <t>44501B1ConvencionalResidencialResidencial baixa renda – faixa 03Não se aplicaNão se aplicaNão se aplica</t>
  </si>
  <si>
    <t>44531B1ConvencionalResidencialResidencial baixa renda – faixa 03Não se aplicaNão se aplicaNão se aplica</t>
  </si>
  <si>
    <t>44562B1ConvencionalResidencialResidencial baixa renda – faixa 03Não se aplicaNão se aplicaNão se aplica</t>
  </si>
  <si>
    <t>44593B1ConvencionalResidencialResidencial baixa renda – faixa 03Não se aplicaNão se aplicaNão se aplica</t>
  </si>
  <si>
    <t>44621B1ConvencionalResidencialResidencial baixa renda – faixa 03Não se aplicaNão se aplicaNão se aplica</t>
  </si>
  <si>
    <t>44652B1ConvencionalResidencialResidencial baixa renda – faixa 03Não se aplicaNão se aplicaNão se aplica</t>
  </si>
  <si>
    <t>44317B1ConvencionalResidencialResidencial baixa renda – faixa 04Não se aplicaNão se aplicaNão se aplica</t>
  </si>
  <si>
    <t>44348B1ConvencionalResidencialResidencial baixa renda – faixa 04Não se aplicaNão se aplicaNão se aplica</t>
  </si>
  <si>
    <t>44378B1ConvencionalResidencialResidencial baixa renda – faixa 04Não se aplicaNão se aplicaNão se aplica</t>
  </si>
  <si>
    <t>44409B1ConvencionalResidencialResidencial baixa renda – faixa 04Não se aplicaNão se aplicaNão se aplica</t>
  </si>
  <si>
    <t>44440B1ConvencionalResidencialResidencial baixa renda – faixa 04Não se aplicaNão se aplicaNão se aplica</t>
  </si>
  <si>
    <t>44470B1ConvencionalResidencialResidencial baixa renda – faixa 04Não se aplicaNão se aplicaNão se aplica</t>
  </si>
  <si>
    <t>44501B1ConvencionalResidencialResidencial baixa renda – faixa 04Não se aplicaNão se aplicaNão se aplica</t>
  </si>
  <si>
    <t>44531B1ConvencionalResidencialResidencial baixa renda – faixa 04Não se aplicaNão se aplicaNão se aplica</t>
  </si>
  <si>
    <t>44562B1ConvencionalResidencialResidencial baixa renda – faixa 04Não se aplicaNão se aplicaNão se aplica</t>
  </si>
  <si>
    <t>44593B1ConvencionalResidencialResidencial baixa renda – faixa 04Não se aplicaNão se aplicaNão se aplica</t>
  </si>
  <si>
    <t>44621B1ConvencionalResidencialResidencial baixa renda – faixa 04Não se aplicaNão se aplicaNão se aplica</t>
  </si>
  <si>
    <t>44652B1ConvencionalResidencialResidencial baixa renda – faixa 04Não se aplicaNão se aplicaNão se aplica</t>
  </si>
  <si>
    <t>44317B2BrancaRuralNão se aplicaNão se aplicaNão se aplicaFora ponta</t>
  </si>
  <si>
    <t>44348B2BrancaRuralNão se aplicaNão se aplicaNão se aplicaFora ponta</t>
  </si>
  <si>
    <t>44378B2BrancaRuralNão se aplicaNão se aplicaNão se aplicaFora ponta</t>
  </si>
  <si>
    <t>44409B2BrancaRuralNão se aplicaNão se aplicaNão se aplicaFora ponta</t>
  </si>
  <si>
    <t>44440B2BrancaRuralNão se aplicaNão se aplicaNão se aplicaFora ponta</t>
  </si>
  <si>
    <t>44470B2BrancaRuralNão se aplicaNão se aplicaNão se aplicaFora ponta</t>
  </si>
  <si>
    <t>44501B2BrancaRuralNão se aplicaNão se aplicaNão se aplicaFora ponta</t>
  </si>
  <si>
    <t>44531B2BrancaRuralNão se aplicaNão se aplicaNão se aplicaFora ponta</t>
  </si>
  <si>
    <t>44562B2BrancaRuralNão se aplicaNão se aplicaNão se aplicaFora ponta</t>
  </si>
  <si>
    <t>44593B2BrancaRuralNão se aplicaNão se aplicaNão se aplicaFora ponta</t>
  </si>
  <si>
    <t>44621B2BrancaRuralNão se aplicaNão se aplicaNão se aplicaFora ponta</t>
  </si>
  <si>
    <t>44652B2BrancaRuralNão se aplicaNão se aplicaNão se aplicaFora ponta</t>
  </si>
  <si>
    <t>44317B2BrancaRuralNão se aplicaNão se aplicaNão se aplicaIntermediário</t>
  </si>
  <si>
    <t>44348B2BrancaRuralNão se aplicaNão se aplicaNão se aplicaIntermediário</t>
  </si>
  <si>
    <t>44378B2BrancaRuralNão se aplicaNão se aplicaNão se aplicaIntermediário</t>
  </si>
  <si>
    <t>44409B2BrancaRuralNão se aplicaNão se aplicaNão se aplicaIntermediário</t>
  </si>
  <si>
    <t>44440B2BrancaRuralNão se aplicaNão se aplicaNão se aplicaIntermediário</t>
  </si>
  <si>
    <t>44470B2BrancaRuralNão se aplicaNão se aplicaNão se aplicaIntermediário</t>
  </si>
  <si>
    <t>44501B2BrancaRuralNão se aplicaNão se aplicaNão se aplicaIntermediário</t>
  </si>
  <si>
    <t>44531B2BrancaRuralNão se aplicaNão se aplicaNão se aplicaIntermediário</t>
  </si>
  <si>
    <t>44562B2BrancaRuralNão se aplicaNão se aplicaNão se aplicaIntermediário</t>
  </si>
  <si>
    <t>44593B2BrancaRuralNão se aplicaNão se aplicaNão se aplicaIntermediário</t>
  </si>
  <si>
    <t>44621B2BrancaRuralNão se aplicaNão se aplicaNão se aplicaIntermediário</t>
  </si>
  <si>
    <t>44652B2BrancaRuralNão se aplicaNão se aplicaNão se aplicaIntermediário</t>
  </si>
  <si>
    <t>44317B2ConvencionalRuralNão se aplicaNão se aplicaNão se aplicaNão se aplica</t>
  </si>
  <si>
    <t>44348B2ConvencionalRuralNão se aplicaNão se aplicaNão se aplicaNão se aplica</t>
  </si>
  <si>
    <t>44378B2ConvencionalRuralNão se aplicaNão se aplicaNão se aplicaNão se aplica</t>
  </si>
  <si>
    <t>44409B2ConvencionalRuralNão se aplicaNão se aplicaNão se aplicaNão se aplica</t>
  </si>
  <si>
    <t>44440B2ConvencionalRuralNão se aplicaNão se aplicaNão se aplicaNão se aplica</t>
  </si>
  <si>
    <t>44470B2ConvencionalRuralNão se aplicaNão se aplicaNão se aplicaNão se aplica</t>
  </si>
  <si>
    <t>44501B2ConvencionalRuralNão se aplicaNão se aplicaNão se aplicaNão se aplica</t>
  </si>
  <si>
    <t>44531B2ConvencionalRuralNão se aplicaNão se aplicaNão se aplicaNão se aplica</t>
  </si>
  <si>
    <t>44562B2ConvencionalRuralNão se aplicaNão se aplicaNão se aplicaNão se aplica</t>
  </si>
  <si>
    <t>44593B2ConvencionalRuralNão se aplicaNão se aplicaNão se aplicaNão se aplica</t>
  </si>
  <si>
    <t>44621B2ConvencionalRuralNão se aplicaNão se aplicaNão se aplicaNão se aplica</t>
  </si>
  <si>
    <t>44652B2ConvencionalRuralNão se aplicaNão se aplicaNão se aplicaNão se aplica</t>
  </si>
  <si>
    <t>44317B2BrancaRuralNão se aplicaNão se aplicaNão se aplicaPonta</t>
  </si>
  <si>
    <t>44348B2BrancaRuralNão se aplicaNão se aplicaNão se aplicaPonta</t>
  </si>
  <si>
    <t>44378B2BrancaRuralNão se aplicaNão se aplicaNão se aplicaPonta</t>
  </si>
  <si>
    <t>44409B2BrancaRuralNão se aplicaNão se aplicaNão se aplicaPonta</t>
  </si>
  <si>
    <t>44440B2BrancaRuralNão se aplicaNão se aplicaNão se aplicaPonta</t>
  </si>
  <si>
    <t>44470B2BrancaRuralNão se aplicaNão se aplicaNão se aplicaPonta</t>
  </si>
  <si>
    <t>44501B2BrancaRuralNão se aplicaNão se aplicaNão se aplicaPonta</t>
  </si>
  <si>
    <t>44531B2BrancaRuralNão se aplicaNão se aplicaNão se aplicaPonta</t>
  </si>
  <si>
    <t>44562B2BrancaRuralNão se aplicaNão se aplicaNão se aplicaPonta</t>
  </si>
  <si>
    <t>44593B2BrancaRuralNão se aplicaNão se aplicaNão se aplicaPonta</t>
  </si>
  <si>
    <t>44621B2BrancaRuralNão se aplicaNão se aplicaNão se aplicaPonta</t>
  </si>
  <si>
    <t>44652B2BrancaRuralNão se aplicaNão se aplicaNão se aplicaPonta</t>
  </si>
  <si>
    <t>44317B3BrancaNão se aplicaNão se aplicaNão se aplicaNão se aplicaFora ponta</t>
  </si>
  <si>
    <t>44348B3BrancaNão se aplicaNão se aplicaNão se aplicaNão se aplicaFora ponta</t>
  </si>
  <si>
    <t>44378B3BrancaNão se aplicaNão se aplicaNão se aplicaNão se aplicaFora ponta</t>
  </si>
  <si>
    <t>44409B3BrancaNão se aplicaNão se aplicaNão se aplicaNão se aplicaFora ponta</t>
  </si>
  <si>
    <t>44440B3BrancaNão se aplicaNão se aplicaNão se aplicaNão se aplicaFora ponta</t>
  </si>
  <si>
    <t>44470B3BrancaNão se aplicaNão se aplicaNão se aplicaNão se aplicaFora ponta</t>
  </si>
  <si>
    <t>44501B3BrancaNão se aplicaNão se aplicaNão se aplicaNão se aplicaFora ponta</t>
  </si>
  <si>
    <t>44531B3BrancaNão se aplicaNão se aplicaNão se aplicaNão se aplicaFora ponta</t>
  </si>
  <si>
    <t>44562B3BrancaNão se aplicaNão se aplicaNão se aplicaNão se aplicaFora ponta</t>
  </si>
  <si>
    <t>44593B3BrancaNão se aplicaNão se aplicaNão se aplicaNão se aplicaFora ponta</t>
  </si>
  <si>
    <t>44621B3BrancaNão se aplicaNão se aplicaNão se aplicaNão se aplicaFora ponta</t>
  </si>
  <si>
    <t>44652B3BrancaNão se aplicaNão se aplicaNão se aplicaNão se aplicaFora ponta</t>
  </si>
  <si>
    <t>44317B3BrancaNão se aplicaNão se aplicaNão se aplicaNão se aplicaIntermediário</t>
  </si>
  <si>
    <t>44348B3BrancaNão se aplicaNão se aplicaNão se aplicaNão se aplicaIntermediário</t>
  </si>
  <si>
    <t>44378B3BrancaNão se aplicaNão se aplicaNão se aplicaNão se aplicaIntermediário</t>
  </si>
  <si>
    <t>44409B3BrancaNão se aplicaNão se aplicaNão se aplicaNão se aplicaIntermediário</t>
  </si>
  <si>
    <t>44440B3BrancaNão se aplicaNão se aplicaNão se aplicaNão se aplicaIntermediário</t>
  </si>
  <si>
    <t>44470B3BrancaNão se aplicaNão se aplicaNão se aplicaNão se aplicaIntermediário</t>
  </si>
  <si>
    <t>44501B3BrancaNão se aplicaNão se aplicaNão se aplicaNão se aplicaIntermediário</t>
  </si>
  <si>
    <t>44531B3BrancaNão se aplicaNão se aplicaNão se aplicaNão se aplicaIntermediário</t>
  </si>
  <si>
    <t>44562B3BrancaNão se aplicaNão se aplicaNão se aplicaNão se aplicaIntermediário</t>
  </si>
  <si>
    <t>44593B3BrancaNão se aplicaNão se aplicaNão se aplicaNão se aplicaIntermediário</t>
  </si>
  <si>
    <t>44621B3BrancaNão se aplicaNão se aplicaNão se aplicaNão se aplicaIntermediário</t>
  </si>
  <si>
    <t>44652B3BrancaNão se aplicaNão se aplicaNão se aplicaNão se aplicaIntermediário</t>
  </si>
  <si>
    <t>44317B3BrancaNão se aplicaNão se aplicaNão se aplicaNão se aplicaPonta</t>
  </si>
  <si>
    <t>44348B3BrancaNão se aplicaNão se aplicaNão se aplicaNão se aplicaPonta</t>
  </si>
  <si>
    <t>44378B3BrancaNão se aplicaNão se aplicaNão se aplicaNão se aplicaPonta</t>
  </si>
  <si>
    <t>44409B3BrancaNão se aplicaNão se aplicaNão se aplicaNão se aplicaPonta</t>
  </si>
  <si>
    <t>44440B3BrancaNão se aplicaNão se aplicaNão se aplicaNão se aplicaPonta</t>
  </si>
  <si>
    <t>44470B3BrancaNão se aplicaNão se aplicaNão se aplicaNão se aplicaPonta</t>
  </si>
  <si>
    <t>44501B3BrancaNão se aplicaNão se aplicaNão se aplicaNão se aplicaPonta</t>
  </si>
  <si>
    <t>44531B3BrancaNão se aplicaNão se aplicaNão se aplicaNão se aplicaPonta</t>
  </si>
  <si>
    <t>44562B3BrancaNão se aplicaNão se aplicaNão se aplicaNão se aplicaPonta</t>
  </si>
  <si>
    <t>44593B3BrancaNão se aplicaNão se aplicaNão se aplicaNão se aplicaPonta</t>
  </si>
  <si>
    <t>44621B3BrancaNão se aplicaNão se aplicaNão se aplicaNão se aplicaPonta</t>
  </si>
  <si>
    <t>44652B3BrancaNão se aplicaNão se aplicaNão se aplicaNão se aplicaPonta</t>
  </si>
  <si>
    <t>44317B3ConvencionalNão se aplicaNão se aplicaNão se aplicaNão se aplicaNão se aplica</t>
  </si>
  <si>
    <t>44348B3ConvencionalNão se aplicaNão se aplicaNão se aplicaNão se aplicaNão se aplica</t>
  </si>
  <si>
    <t>44378B3ConvencionalNão se aplicaNão se aplicaNão se aplicaNão se aplicaNão se aplica</t>
  </si>
  <si>
    <t>44409B3ConvencionalNão se aplicaNão se aplicaNão se aplicaNão se aplicaNão se aplica</t>
  </si>
  <si>
    <t>44440B3ConvencionalNão se aplicaNão se aplicaNão se aplicaNão se aplicaNão se aplica</t>
  </si>
  <si>
    <t>44470B3ConvencionalNão se aplicaNão se aplicaNão se aplicaNão se aplicaNão se aplica</t>
  </si>
  <si>
    <t>44501B3ConvencionalNão se aplicaNão se aplicaNão se aplicaNão se aplicaNão se aplica</t>
  </si>
  <si>
    <t>44531B3ConvencionalNão se aplicaNão se aplicaNão se aplicaNão se aplicaNão se aplica</t>
  </si>
  <si>
    <t>44562B3ConvencionalNão se aplicaNão se aplicaNão se aplicaNão se aplicaNão se aplica</t>
  </si>
  <si>
    <t>44593B3ConvencionalNão se aplicaNão se aplicaNão se aplicaNão se aplicaNão se aplica</t>
  </si>
  <si>
    <t>44621B3ConvencionalNão se aplicaNão se aplicaNão se aplicaNão se aplicaNão se aplica</t>
  </si>
  <si>
    <t>44652B3ConvencionalNão se aplicaNão se aplicaNão se aplicaNão se aplicaNão se aplica</t>
  </si>
  <si>
    <t>44317B4ConvencionalIluminação públicaIluminação pública – B4aNão se aplicaNão se aplicaNão se aplica</t>
  </si>
  <si>
    <t>44348B4ConvencionalIluminação públicaIluminação pública – B4aNão se aplicaNão se aplicaNão se aplica</t>
  </si>
  <si>
    <t>44378B4ConvencionalIluminação públicaIluminação pública – B4aNão se aplicaNão se aplicaNão se aplica</t>
  </si>
  <si>
    <t>44409B4ConvencionalIluminação públicaIluminação pública – B4aNão se aplicaNão se aplicaNão se aplica</t>
  </si>
  <si>
    <t>44440B4ConvencionalIluminação públicaIluminação pública – B4aNão se aplicaNão se aplicaNão se aplica</t>
  </si>
  <si>
    <t>44470B4ConvencionalIluminação públicaIluminação pública – B4aNão se aplicaNão se aplicaNão se aplica</t>
  </si>
  <si>
    <t>44501B4ConvencionalIluminação públicaIluminação pública – B4aNão se aplicaNão se aplicaNão se aplica</t>
  </si>
  <si>
    <t>44531B4ConvencionalIluminação públicaIluminação pública – B4aNão se aplicaNão se aplicaNão se aplica</t>
  </si>
  <si>
    <t>44562B4ConvencionalIluminação públicaIluminação pública – B4aNão se aplicaNão se aplicaNão se aplica</t>
  </si>
  <si>
    <t>44593B4ConvencionalIluminação públicaIluminação pública – B4aNão se aplicaNão se aplicaNão se aplica</t>
  </si>
  <si>
    <t>44621B4ConvencionalIluminação públicaIluminação pública – B4aNão se aplicaNão se aplicaNão se aplica</t>
  </si>
  <si>
    <t>44652B4ConvencionalIluminação públicaIluminação pública – B4aNão se aplicaNão se aplicaNão se aplica</t>
  </si>
  <si>
    <t>CHAVE TE</t>
  </si>
  <si>
    <t>44317A4Energia horáriaNão se aplicaNão se aplicaNão se aplicaNão se aplicaFora ponta</t>
  </si>
  <si>
    <t>44348A4Energia horáriaNão se aplicaNão se aplicaNão se aplicaNão se aplicaFora ponta</t>
  </si>
  <si>
    <t>44378A4Energia horáriaNão se aplicaNão se aplicaNão se aplicaNão se aplicaFora ponta</t>
  </si>
  <si>
    <t>44409A4Energia horáriaNão se aplicaNão se aplicaNão se aplicaNão se aplicaFora ponta</t>
  </si>
  <si>
    <t>44440A4Energia horáriaNão se aplicaNão se aplicaNão se aplicaNão se aplicaFora ponta</t>
  </si>
  <si>
    <t>44470A4Energia horáriaNão se aplicaNão se aplicaNão se aplicaNão se aplicaFora ponta</t>
  </si>
  <si>
    <t>44501A4Energia horáriaNão se aplicaNão se aplicaNão se aplicaNão se aplicaFora ponta</t>
  </si>
  <si>
    <t>44531A4Energia horáriaNão se aplicaNão se aplicaNão se aplicaNão se aplicaFora ponta</t>
  </si>
  <si>
    <t>44562A4Energia horáriaNão se aplicaNão se aplicaNão se aplicaNão se aplicaFora ponta</t>
  </si>
  <si>
    <t>44593A4Energia horáriaNão se aplicaNão se aplicaNão se aplicaNão se aplicaFora ponta</t>
  </si>
  <si>
    <t>44621A4Energia horáriaNão se aplicaNão se aplicaNão se aplicaNão se aplicaFora ponta</t>
  </si>
  <si>
    <t>44652A4Energia horáriaNão se aplicaNão se aplicaNão se aplicaNão se aplicaFora ponta</t>
  </si>
  <si>
    <t>CUIDADO</t>
  </si>
  <si>
    <t>Desculpe, mas não foi encontrado posto Não se aplica, modalidade Energia horária, subgrupo A4 no banco de regras.</t>
  </si>
  <si>
    <t>Mercado_Receita</t>
  </si>
  <si>
    <t>S</t>
  </si>
  <si>
    <t>44317A4Energia horáriaNão se aplicaNão se aplicaNão se aplicaNão se aplicaPonta</t>
  </si>
  <si>
    <t>44348A4Energia horáriaNão se aplicaNão se aplicaNão se aplicaNão se aplicaPonta</t>
  </si>
  <si>
    <t>44378A4Energia horáriaNão se aplicaNão se aplicaNão se aplicaNão se aplicaPonta</t>
  </si>
  <si>
    <t>44409A4Energia horáriaNão se aplicaNão se aplicaNão se aplicaNão se aplicaPonta</t>
  </si>
  <si>
    <t>44440A4Energia horáriaNão se aplicaNão se aplicaNão se aplicaNão se aplicaPonta</t>
  </si>
  <si>
    <t>44470A4Energia horáriaNão se aplicaNão se aplicaNão se aplicaNão se aplicaPonta</t>
  </si>
  <si>
    <t>44501A4Energia horáriaNão se aplicaNão se aplicaNão se aplicaNão se aplicaPonta</t>
  </si>
  <si>
    <t>44531A4Energia horáriaNão se aplicaNão se aplicaNão se aplicaNão se aplicaPonta</t>
  </si>
  <si>
    <t>44562A4Energia horáriaNão se aplicaNão se aplicaNão se aplicaNão se aplicaPonta</t>
  </si>
  <si>
    <t>44593A4Energia horáriaNão se aplicaNão se aplicaNão se aplicaNão se aplicaPonta</t>
  </si>
  <si>
    <t>44621A4Energia horáriaNão se aplicaNão se aplicaNão se aplicaNão se aplicaPonta</t>
  </si>
  <si>
    <t>44652A4Energia horáriaNão se aplicaNão se aplicaNão se aplicaNão se aplicaPonta</t>
  </si>
  <si>
    <t>44531B1Energia horáriaResidencialResidencialNão se aplicaNão se aplicaFora ponta</t>
  </si>
  <si>
    <t>44562B1Energia horáriaResidencialResidencialNão se aplicaNão se aplicaFora ponta</t>
  </si>
  <si>
    <t>44593B1Energia horáriaResidencialResidencialNão se aplicaNão se aplicaFora ponta</t>
  </si>
  <si>
    <t>44621B1Energia horáriaResidencialResidencialNão se aplicaNão se aplicaFora ponta</t>
  </si>
  <si>
    <t>44652B1Energia horáriaResidencialResidencialNão se aplicaNão se aplicaFora ponta</t>
  </si>
  <si>
    <t>44531B1Energia horáriaResidencialResidencialNão se aplicaNão se aplicaIntermediário</t>
  </si>
  <si>
    <t>44593B1Energia horáriaResidencialResidencialNão se aplicaNão se aplicaIntermediário</t>
  </si>
  <si>
    <t>44621B1Energia horáriaResidencialResidencialNão se aplicaNão se aplicaIntermediário</t>
  </si>
  <si>
    <t>44317B1Energia convencionalResidencialResidencialNão se aplicaNão se aplicaNão se aplica</t>
  </si>
  <si>
    <t>44348B1Energia convencionalResidencialResidencialNão se aplicaNão se aplicaNão se aplica</t>
  </si>
  <si>
    <t>44378B1Energia convencionalResidencialResidencialNão se aplicaNão se aplicaNão se aplica</t>
  </si>
  <si>
    <t>44409B1Energia convencionalResidencialResidencialNão se aplicaNão se aplicaNão se aplica</t>
  </si>
  <si>
    <t>44440B1Energia convencionalResidencialResidencialNão se aplicaNão se aplicaNão se aplica</t>
  </si>
  <si>
    <t>44470B1Energia convencionalResidencialResidencialNão se aplicaNão se aplicaNão se aplica</t>
  </si>
  <si>
    <t>44501B1Energia convencionalResidencialResidencialNão se aplicaNão se aplicaNão se aplica</t>
  </si>
  <si>
    <t>44531B1Energia convencionalResidencialResidencialNão se aplicaNão se aplicaNão se aplica</t>
  </si>
  <si>
    <t>44562B1Energia convencionalResidencialResidencialNão se aplicaNão se aplicaNão se aplica</t>
  </si>
  <si>
    <t>44593B1Energia convencionalResidencialResidencialNão se aplicaNão se aplicaNão se aplica</t>
  </si>
  <si>
    <t>44621B1Energia convencionalResidencialResidencialNão se aplicaNão se aplicaNão se aplica</t>
  </si>
  <si>
    <t>44652B1Energia convencionalResidencialResidencialNão se aplicaNão se aplicaNão se aplica</t>
  </si>
  <si>
    <t>44317B1Energia convencionalResidencialResidencial baixa renda – faixa 01Não se aplicaNão se aplicaNão se aplica</t>
  </si>
  <si>
    <t>44348B1Energia convencionalResidencialResidencial baixa renda – faixa 01Não se aplicaNão se aplicaNão se aplica</t>
  </si>
  <si>
    <t>44378B1Energia convencionalResidencialResidencial baixa renda – faixa 01Não se aplicaNão se aplicaNão se aplica</t>
  </si>
  <si>
    <t>44409B1Energia convencionalResidencialResidencial baixa renda – faixa 01Não se aplicaNão se aplicaNão se aplica</t>
  </si>
  <si>
    <t>44440B1Energia convencionalResidencialResidencial baixa renda – faixa 01Não se aplicaNão se aplicaNão se aplica</t>
  </si>
  <si>
    <t>44470B1Energia convencionalResidencialResidencial baixa renda – faixa 01Não se aplicaNão se aplicaNão se aplica</t>
  </si>
  <si>
    <t>44501B1Energia convencionalResidencialResidencial baixa renda – faixa 01Não se aplicaNão se aplicaNão se aplica</t>
  </si>
  <si>
    <t>44531B1Energia convencionalResidencialResidencial baixa renda – faixa 01Não se aplicaNão se aplicaNão se aplica</t>
  </si>
  <si>
    <t>44562B1Energia convencionalResidencialResidencial baixa renda – faixa 01Não se aplicaNão se aplicaNão se aplica</t>
  </si>
  <si>
    <t>44593B1Energia convencionalResidencialResidencial baixa renda – faixa 01Não se aplicaNão se aplicaNão se aplica</t>
  </si>
  <si>
    <t>44621B1Energia convencionalResidencialResidencial baixa renda – faixa 01Não se aplicaNão se aplicaNão se aplica</t>
  </si>
  <si>
    <t>44652B1Energia convencionalResidencialResidencial baixa renda – faixa 01Não se aplicaNão se aplicaNão se aplica</t>
  </si>
  <si>
    <t>44317B1Energia convencionalResidencialResidencial baixa renda – faixa 02Não se aplicaNão se aplicaNão se aplica</t>
  </si>
  <si>
    <t>44348B1Energia convencionalResidencialResidencial baixa renda – faixa 02Não se aplicaNão se aplicaNão se aplica</t>
  </si>
  <si>
    <t>44378B1Energia convencionalResidencialResidencial baixa renda – faixa 02Não se aplicaNão se aplicaNão se aplica</t>
  </si>
  <si>
    <t>44409B1Energia convencionalResidencialResidencial baixa renda – faixa 02Não se aplicaNão se aplicaNão se aplica</t>
  </si>
  <si>
    <t>44440B1Energia convencionalResidencialResidencial baixa renda – faixa 02Não se aplicaNão se aplicaNão se aplica</t>
  </si>
  <si>
    <t>44470B1Energia convencionalResidencialResidencial baixa renda – faixa 02Não se aplicaNão se aplicaNão se aplica</t>
  </si>
  <si>
    <t>44501B1Energia convencionalResidencialResidencial baixa renda – faixa 02Não se aplicaNão se aplicaNão se aplica</t>
  </si>
  <si>
    <t>44531B1Energia convencionalResidencialResidencial baixa renda – faixa 02Não se aplicaNão se aplicaNão se aplica</t>
  </si>
  <si>
    <t>44562B1Energia convencionalResidencialResidencial baixa renda – faixa 02Não se aplicaNão se aplicaNão se aplica</t>
  </si>
  <si>
    <t>44593B1Energia convencionalResidencialResidencial baixa renda – faixa 02Não se aplicaNão se aplicaNão se aplica</t>
  </si>
  <si>
    <t>44621B1Energia convencionalResidencialResidencial baixa renda – faixa 02Não se aplicaNão se aplicaNão se aplica</t>
  </si>
  <si>
    <t>44652B1Energia convencionalResidencialResidencial baixa renda – faixa 02Não se aplicaNão se aplicaNão se aplica</t>
  </si>
  <si>
    <t>44317B1Energia convencionalResidencialResidencial baixa renda – faixa 03Não se aplicaNão se aplicaNão se aplica</t>
  </si>
  <si>
    <t>44348B1Energia convencionalResidencialResidencial baixa renda – faixa 03Não se aplicaNão se aplicaNão se aplica</t>
  </si>
  <si>
    <t>44378B1Energia convencionalResidencialResidencial baixa renda – faixa 03Não se aplicaNão se aplicaNão se aplica</t>
  </si>
  <si>
    <t>44409B1Energia convencionalResidencialResidencial baixa renda – faixa 03Não se aplicaNão se aplicaNão se aplica</t>
  </si>
  <si>
    <t>44440B1Energia convencionalResidencialResidencial baixa renda – faixa 03Não se aplicaNão se aplicaNão se aplica</t>
  </si>
  <si>
    <t>44470B1Energia convencionalResidencialResidencial baixa renda – faixa 03Não se aplicaNão se aplicaNão se aplica</t>
  </si>
  <si>
    <t>44501B1Energia convencionalResidencialResidencial baixa renda – faixa 03Não se aplicaNão se aplicaNão se aplica</t>
  </si>
  <si>
    <t>44531B1Energia convencionalResidencialResidencial baixa renda – faixa 03Não se aplicaNão se aplicaNão se aplica</t>
  </si>
  <si>
    <t>44562B1Energia convencionalResidencialResidencial baixa renda – faixa 03Não se aplicaNão se aplicaNão se aplica</t>
  </si>
  <si>
    <t>44593B1Energia convencionalResidencialResidencial baixa renda – faixa 03Não se aplicaNão se aplicaNão se aplica</t>
  </si>
  <si>
    <t>44621B1Energia convencionalResidencialResidencial baixa renda – faixa 03Não se aplicaNão se aplicaNão se aplica</t>
  </si>
  <si>
    <t>44652B1Energia convencionalResidencialResidencial baixa renda – faixa 03Não se aplicaNão se aplicaNão se aplica</t>
  </si>
  <si>
    <t>44317B1Energia convencionalResidencialResidencial baixa renda – faixa 04Não se aplicaNão se aplicaNão se aplica</t>
  </si>
  <si>
    <t>44348B1Energia convencionalResidencialResidencial baixa renda – faixa 04Não se aplicaNão se aplicaNão se aplica</t>
  </si>
  <si>
    <t>44378B1Energia convencionalResidencialResidencial baixa renda – faixa 04Não se aplicaNão se aplicaNão se aplica</t>
  </si>
  <si>
    <t>44409B1Energia convencionalResidencialResidencial baixa renda – faixa 04Não se aplicaNão se aplicaNão se aplica</t>
  </si>
  <si>
    <t>44440B1Energia convencionalResidencialResidencial baixa renda – faixa 04Não se aplicaNão se aplicaNão se aplica</t>
  </si>
  <si>
    <t>44470B1Energia convencionalResidencialResidencial baixa renda – faixa 04Não se aplicaNão se aplicaNão se aplica</t>
  </si>
  <si>
    <t>44501B1Energia convencionalResidencialResidencial baixa renda – faixa 04Não se aplicaNão se aplicaNão se aplica</t>
  </si>
  <si>
    <t>44531B1Energia convencionalResidencialResidencial baixa renda – faixa 04Não se aplicaNão se aplicaNão se aplica</t>
  </si>
  <si>
    <t>44562B1Energia convencionalResidencialResidencial baixa renda – faixa 04Não se aplicaNão se aplicaNão se aplica</t>
  </si>
  <si>
    <t>44593B1Energia convencionalResidencialResidencial baixa renda – faixa 04Não se aplicaNão se aplicaNão se aplica</t>
  </si>
  <si>
    <t>44621B1Energia convencionalResidencialResidencial baixa renda – faixa 04Não se aplicaNão se aplicaNão se aplica</t>
  </si>
  <si>
    <t>44652B1Energia convencionalResidencialResidencial baixa renda – faixa 04Não se aplicaNão se aplicaNão se aplica</t>
  </si>
  <si>
    <t>44317B2Energia horáriaRuralNão se aplicaNão se aplicaNão se aplicaFora ponta</t>
  </si>
  <si>
    <t>44348B2Energia horáriaRuralNão se aplicaNão se aplicaNão se aplicaFora ponta</t>
  </si>
  <si>
    <t>44378B2Energia horáriaRuralNão se aplicaNão se aplicaNão se aplicaFora ponta</t>
  </si>
  <si>
    <t>44409B2Energia horáriaRuralNão se aplicaNão se aplicaNão se aplicaFora ponta</t>
  </si>
  <si>
    <t>44440B2Energia horáriaRuralNão se aplicaNão se aplicaNão se aplicaFora ponta</t>
  </si>
  <si>
    <t>44470B2Energia horáriaRuralNão se aplicaNão se aplicaNão se aplicaFora ponta</t>
  </si>
  <si>
    <t>44501B2Energia horáriaRuralNão se aplicaNão se aplicaNão se aplicaFora ponta</t>
  </si>
  <si>
    <t>44531B2Energia horáriaRuralNão se aplicaNão se aplicaNão se aplicaFora ponta</t>
  </si>
  <si>
    <t>44562B2Energia horáriaRuralNão se aplicaNão se aplicaNão se aplicaFora ponta</t>
  </si>
  <si>
    <t>44593B2Energia horáriaRuralNão se aplicaNão se aplicaNão se aplicaFora ponta</t>
  </si>
  <si>
    <t>44621B2Energia horáriaRuralNão se aplicaNão se aplicaNão se aplicaFora ponta</t>
  </si>
  <si>
    <t>44652B2Energia horáriaRuralNão se aplicaNão se aplicaNão se aplicaFora ponta</t>
  </si>
  <si>
    <t>44317B2Energia horáriaRuralNão se aplicaNão se aplicaNão se aplicaIntermediário</t>
  </si>
  <si>
    <t>44348B2Energia horáriaRuralNão se aplicaNão se aplicaNão se aplicaIntermediário</t>
  </si>
  <si>
    <t>44378B2Energia horáriaRuralNão se aplicaNão se aplicaNão se aplicaIntermediário</t>
  </si>
  <si>
    <t>44409B2Energia horáriaRuralNão se aplicaNão se aplicaNão se aplicaIntermediário</t>
  </si>
  <si>
    <t>44440B2Energia horáriaRuralNão se aplicaNão se aplicaNão se aplicaIntermediário</t>
  </si>
  <si>
    <t>44470B2Energia horáriaRuralNão se aplicaNão se aplicaNão se aplicaIntermediário</t>
  </si>
  <si>
    <t>44501B2Energia horáriaRuralNão se aplicaNão se aplicaNão se aplicaIntermediário</t>
  </si>
  <si>
    <t>44531B2Energia horáriaRuralNão se aplicaNão se aplicaNão se aplicaIntermediário</t>
  </si>
  <si>
    <t>44562B2Energia horáriaRuralNão se aplicaNão se aplicaNão se aplicaIntermediário</t>
  </si>
  <si>
    <t>44593B2Energia horáriaRuralNão se aplicaNão se aplicaNão se aplicaIntermediário</t>
  </si>
  <si>
    <t>44621B2Energia horáriaRuralNão se aplicaNão se aplicaNão se aplicaIntermediário</t>
  </si>
  <si>
    <t>44652B2Energia horáriaRuralNão se aplicaNão se aplicaNão se aplicaIntermediário</t>
  </si>
  <si>
    <t>44317B2Energia convencionalRuralNão se aplicaNão se aplicaNão se aplicaNão se aplica</t>
  </si>
  <si>
    <t>44348B2Energia convencionalRuralNão se aplicaNão se aplicaNão se aplicaNão se aplica</t>
  </si>
  <si>
    <t>44378B2Energia convencionalRuralNão se aplicaNão se aplicaNão se aplicaNão se aplica</t>
  </si>
  <si>
    <t>44409B2Energia convencionalRuralNão se aplicaNão se aplicaNão se aplicaNão se aplica</t>
  </si>
  <si>
    <t>44440B2Energia convencionalRuralNão se aplicaNão se aplicaNão se aplicaNão se aplica</t>
  </si>
  <si>
    <t>44470B2Energia convencionalRuralNão se aplicaNão se aplicaNão se aplicaNão se aplica</t>
  </si>
  <si>
    <t>44501B2Energia convencionalRuralNão se aplicaNão se aplicaNão se aplicaNão se aplica</t>
  </si>
  <si>
    <t>44531B2Energia convencionalRuralNão se aplicaNão se aplicaNão se aplicaNão se aplica</t>
  </si>
  <si>
    <t>44562B2Energia convencionalRuralNão se aplicaNão se aplicaNão se aplicaNão se aplica</t>
  </si>
  <si>
    <t>44593B2Energia convencionalRuralNão se aplicaNão se aplicaNão se aplicaNão se aplica</t>
  </si>
  <si>
    <t>44621B2Energia convencionalRuralNão se aplicaNão se aplicaNão se aplicaNão se aplica</t>
  </si>
  <si>
    <t>44652B2Energia convencionalRuralNão se aplicaNão se aplicaNão se aplicaNão se aplica</t>
  </si>
  <si>
    <t>44317B2Energia horáriaRuralNão se aplicaNão se aplicaNão se aplicaPonta</t>
  </si>
  <si>
    <t>44348B2Energia horáriaRuralNão se aplicaNão se aplicaNão se aplicaPonta</t>
  </si>
  <si>
    <t>44378B2Energia horáriaRuralNão se aplicaNão se aplicaNão se aplicaPonta</t>
  </si>
  <si>
    <t>44409B2Energia horáriaRuralNão se aplicaNão se aplicaNão se aplicaPonta</t>
  </si>
  <si>
    <t>44440B2Energia horáriaRuralNão se aplicaNão se aplicaNão se aplicaPonta</t>
  </si>
  <si>
    <t>44470B2Energia horáriaRuralNão se aplicaNão se aplicaNão se aplicaPonta</t>
  </si>
  <si>
    <t>44501B2Energia horáriaRuralNão se aplicaNão se aplicaNão se aplicaPonta</t>
  </si>
  <si>
    <t>44531B2Energia horáriaRuralNão se aplicaNão se aplicaNão se aplicaPonta</t>
  </si>
  <si>
    <t>44562B2Energia horáriaRuralNão se aplicaNão se aplicaNão se aplicaPonta</t>
  </si>
  <si>
    <t>44593B2Energia horáriaRuralNão se aplicaNão se aplicaNão se aplicaPonta</t>
  </si>
  <si>
    <t>44621B2Energia horáriaRuralNão se aplicaNão se aplicaNão se aplicaPonta</t>
  </si>
  <si>
    <t>44652B2Energia horáriaRuralNão se aplicaNão se aplicaNão se aplicaPonta</t>
  </si>
  <si>
    <t>44317B3Energia horáriaNão se aplicaNão se aplicaNão se aplicaNão se aplicaFora ponta</t>
  </si>
  <si>
    <t>44348B3Energia horáriaNão se aplicaNão se aplicaNão se aplicaNão se aplicaFora ponta</t>
  </si>
  <si>
    <t>44378B3Energia horáriaNão se aplicaNão se aplicaNão se aplicaNão se aplicaFora ponta</t>
  </si>
  <si>
    <t>44409B3Energia horáriaNão se aplicaNão se aplicaNão se aplicaNão se aplicaFora ponta</t>
  </si>
  <si>
    <t>44440B3Energia horáriaNão se aplicaNão se aplicaNão se aplicaNão se aplicaFora ponta</t>
  </si>
  <si>
    <t>44470B3Energia horáriaNão se aplicaNão se aplicaNão se aplicaNão se aplicaFora ponta</t>
  </si>
  <si>
    <t>44501B3Energia horáriaNão se aplicaNão se aplicaNão se aplicaNão se aplicaFora ponta</t>
  </si>
  <si>
    <t>44531B3Energia horáriaNão se aplicaNão se aplicaNão se aplicaNão se aplicaFora ponta</t>
  </si>
  <si>
    <t>44562B3Energia horáriaNão se aplicaNão se aplicaNão se aplicaNão se aplicaFora ponta</t>
  </si>
  <si>
    <t>44593B3Energia horáriaNão se aplicaNão se aplicaNão se aplicaNão se aplicaFora ponta</t>
  </si>
  <si>
    <t>44621B3Energia horáriaNão se aplicaNão se aplicaNão se aplicaNão se aplicaFora ponta</t>
  </si>
  <si>
    <t>44652B3Energia horáriaNão se aplicaNão se aplicaNão se aplicaNão se aplicaFora ponta</t>
  </si>
  <si>
    <t>44317B3Energia horáriaNão se aplicaNão se aplicaNão se aplicaNão se aplicaIntermediário</t>
  </si>
  <si>
    <t>44348B3Energia horáriaNão se aplicaNão se aplicaNão se aplicaNão se aplicaIntermediário</t>
  </si>
  <si>
    <t>44378B3Energia horáriaNão se aplicaNão se aplicaNão se aplicaNão se aplicaIntermediário</t>
  </si>
  <si>
    <t>44409B3Energia horáriaNão se aplicaNão se aplicaNão se aplicaNão se aplicaIntermediário</t>
  </si>
  <si>
    <t>44440B3Energia horáriaNão se aplicaNão se aplicaNão se aplicaNão se aplicaIntermediário</t>
  </si>
  <si>
    <t>44470B3Energia horáriaNão se aplicaNão se aplicaNão se aplicaNão se aplicaIntermediário</t>
  </si>
  <si>
    <t>44501B3Energia horáriaNão se aplicaNão se aplicaNão se aplicaNão se aplicaIntermediário</t>
  </si>
  <si>
    <t>44531B3Energia horáriaNão se aplicaNão se aplicaNão se aplicaNão se aplicaIntermediário</t>
  </si>
  <si>
    <t>44562B3Energia horáriaNão se aplicaNão se aplicaNão se aplicaNão se aplicaIntermediário</t>
  </si>
  <si>
    <t>44593B3Energia horáriaNão se aplicaNão se aplicaNão se aplicaNão se aplicaIntermediário</t>
  </si>
  <si>
    <t>44621B3Energia horáriaNão se aplicaNão se aplicaNão se aplicaNão se aplicaIntermediário</t>
  </si>
  <si>
    <t>44652B3Energia horáriaNão se aplicaNão se aplicaNão se aplicaNão se aplicaIntermediário</t>
  </si>
  <si>
    <t>44317B3Energia horáriaNão se aplicaNão se aplicaNão se aplicaNão se aplicaPonta</t>
  </si>
  <si>
    <t>44348B3Energia horáriaNão se aplicaNão se aplicaNão se aplicaNão se aplicaPonta</t>
  </si>
  <si>
    <t>44378B3Energia horáriaNão se aplicaNão se aplicaNão se aplicaNão se aplicaPonta</t>
  </si>
  <si>
    <t>44409B3Energia horáriaNão se aplicaNão se aplicaNão se aplicaNão se aplicaPonta</t>
  </si>
  <si>
    <t>44440B3Energia horáriaNão se aplicaNão se aplicaNão se aplicaNão se aplicaPonta</t>
  </si>
  <si>
    <t>44470B3Energia horáriaNão se aplicaNão se aplicaNão se aplicaNão se aplicaPonta</t>
  </si>
  <si>
    <t>44501B3Energia horáriaNão se aplicaNão se aplicaNão se aplicaNão se aplicaPonta</t>
  </si>
  <si>
    <t>44531B3Energia horáriaNão se aplicaNão se aplicaNão se aplicaNão se aplicaPonta</t>
  </si>
  <si>
    <t>44562B3Energia horáriaNão se aplicaNão se aplicaNão se aplicaNão se aplicaPonta</t>
  </si>
  <si>
    <t>44593B3Energia horáriaNão se aplicaNão se aplicaNão se aplicaNão se aplicaPonta</t>
  </si>
  <si>
    <t>44621B3Energia horáriaNão se aplicaNão se aplicaNão se aplicaNão se aplicaPonta</t>
  </si>
  <si>
    <t>44652B3Energia horáriaNão se aplicaNão se aplicaNão se aplicaNão se aplicaPonta</t>
  </si>
  <si>
    <t>44317B3Energia convencionalNão se aplicaNão se aplicaNão se aplicaNão se aplicaNão se aplica</t>
  </si>
  <si>
    <t>44348B3Energia convencionalNão se aplicaNão se aplicaNão se aplicaNão se aplicaNão se aplica</t>
  </si>
  <si>
    <t>44378B3Energia convencionalNão se aplicaNão se aplicaNão se aplicaNão se aplicaNão se aplica</t>
  </si>
  <si>
    <t>44409B3Energia convencionalNão se aplicaNão se aplicaNão se aplicaNão se aplicaNão se aplica</t>
  </si>
  <si>
    <t>44440B3Energia convencionalNão se aplicaNão se aplicaNão se aplicaNão se aplicaNão se aplica</t>
  </si>
  <si>
    <t>44470B3Energia convencionalNão se aplicaNão se aplicaNão se aplicaNão se aplicaNão se aplica</t>
  </si>
  <si>
    <t>44501B3Energia convencionalNão se aplicaNão se aplicaNão se aplicaNão se aplicaNão se aplica</t>
  </si>
  <si>
    <t>44531B3Energia convencionalNão se aplicaNão se aplicaNão se aplicaNão se aplicaNão se aplica</t>
  </si>
  <si>
    <t>44562B3Energia convencionalNão se aplicaNão se aplicaNão se aplicaNão se aplicaNão se aplica</t>
  </si>
  <si>
    <t>44593B3Energia convencionalNão se aplicaNão se aplicaNão se aplicaNão se aplicaNão se aplica</t>
  </si>
  <si>
    <t>44621B3Energia convencionalNão se aplicaNão se aplicaNão se aplicaNão se aplicaNão se aplica</t>
  </si>
  <si>
    <t>44652B3Energia convencionalNão se aplicaNão se aplicaNão se aplicaNão se aplicaNão se aplica</t>
  </si>
  <si>
    <t>44317B4Energia convencionalIluminação públicaIluminação pública – B4aNão se aplicaNão se aplicaNão se aplica</t>
  </si>
  <si>
    <t>44348B4Energia convencionalIluminação públicaIluminação pública – B4aNão se aplicaNão se aplicaNão se aplica</t>
  </si>
  <si>
    <t>44378B4Energia convencionalIluminação públicaIluminação pública – B4aNão se aplicaNão se aplicaNão se aplica</t>
  </si>
  <si>
    <t>44409B4Energia convencionalIluminação públicaIluminação pública – B4aNão se aplicaNão se aplicaNão se aplica</t>
  </si>
  <si>
    <t>44440B4Energia convencionalIluminação públicaIluminação pública – B4aNão se aplicaNão se aplicaNão se aplica</t>
  </si>
  <si>
    <t>44470B4Energia convencionalIluminação públicaIluminação pública – B4aNão se aplicaNão se aplicaNão se aplica</t>
  </si>
  <si>
    <t>44501B4Energia convencionalIluminação públicaIluminação pública – B4aNão se aplicaNão se aplicaNão se aplica</t>
  </si>
  <si>
    <t>44531B4Energia convencionalIluminação públicaIluminação pública – B4aNão se aplicaNão se aplicaNão se aplica</t>
  </si>
  <si>
    <t>44562B4Energia convencionalIluminação públicaIluminação pública – B4aNão se aplicaNão se aplicaNão se aplica</t>
  </si>
  <si>
    <t>44593B4Energia convencionalIluminação públicaIluminação pública – B4aNão se aplicaNão se aplicaNão se aplica</t>
  </si>
  <si>
    <t>44621B4Energia convencionalIluminação públicaIluminação pública – B4aNão se aplicaNão se aplicaNão se aplica</t>
  </si>
  <si>
    <t>44652B4Energia convencionalIluminação públicaIluminação pública – B4aNão se aplicaNão se aplicaNão se aplica</t>
  </si>
  <si>
    <t>RECEITA VERIFICADA</t>
  </si>
  <si>
    <t>TUSD</t>
  </si>
  <si>
    <t>ENCARGO</t>
  </si>
  <si>
    <t>TFSEE</t>
  </si>
  <si>
    <t>P&amp;D</t>
  </si>
  <si>
    <t>ONS</t>
  </si>
  <si>
    <t>CCC</t>
  </si>
  <si>
    <t>CDE</t>
  </si>
  <si>
    <t>PROINFA</t>
  </si>
  <si>
    <t>LIMINAR 1</t>
  </si>
  <si>
    <t>SUBTOTAL</t>
  </si>
  <si>
    <t>FIO A</t>
  </si>
  <si>
    <t>TUSD RB</t>
  </si>
  <si>
    <t>TUSD FR</t>
  </si>
  <si>
    <t>CONEXAO T</t>
  </si>
  <si>
    <t>CONEXAO D</t>
  </si>
  <si>
    <t>CUSD</t>
  </si>
  <si>
    <t>TUSDG-T</t>
  </si>
  <si>
    <t>TUSDG-ONS</t>
  </si>
  <si>
    <t>FIO B</t>
  </si>
  <si>
    <t>DISTRIBUICAO</t>
  </si>
  <si>
    <t>Nao se aplica</t>
  </si>
  <si>
    <t>SUBSIDIO</t>
  </si>
  <si>
    <t>OUTROS</t>
  </si>
  <si>
    <t>PERDAS</t>
  </si>
  <si>
    <t>PERDAS TECNICAS</t>
  </si>
  <si>
    <t>PERDAS RB/ PERDAS D</t>
  </si>
  <si>
    <t>PERDAS NAO TECNICAS</t>
  </si>
  <si>
    <t>RI</t>
  </si>
  <si>
    <t>TE</t>
  </si>
  <si>
    <t>ESS/ERR</t>
  </si>
  <si>
    <t>CFURH</t>
  </si>
  <si>
    <t>ENERGIA</t>
  </si>
  <si>
    <t>ENERGIA REVENDA</t>
  </si>
  <si>
    <t>ITAIPU</t>
  </si>
  <si>
    <t>TUST ITAIPU</t>
  </si>
  <si>
    <t>TUST CI</t>
  </si>
  <si>
    <t>PERDAS RB/C</t>
  </si>
  <si>
    <t>TOTAL</t>
  </si>
  <si>
    <t>TIPO TARIFA</t>
  </si>
  <si>
    <t>GRUPO DE CUSTO</t>
  </si>
  <si>
    <t>CUSTO</t>
  </si>
  <si>
    <t>BASE ECONÔMICA</t>
  </si>
  <si>
    <t>BASE FINANCEIRA</t>
  </si>
  <si>
    <t>CVA</t>
  </si>
  <si>
    <t>Parâmetros de cálculo</t>
  </si>
  <si>
    <t>IRP ECONÔMICO (%)</t>
  </si>
  <si>
    <t>IRP FINANCEIRO (%)</t>
  </si>
  <si>
    <t>IGP-M (%)</t>
  </si>
  <si>
    <t>ALÍQUOTA P&amp;D (%)</t>
  </si>
  <si>
    <t>PROJEÇÃO MERC. (%)</t>
  </si>
  <si>
    <t>Perdas TOTAIS (MWh)</t>
  </si>
  <si>
    <t>Perdas Técnicas (MWh)</t>
  </si>
  <si>
    <t>Perdas Não Técnicas (MWh)</t>
  </si>
  <si>
    <t>Perdas na RB (sobre perdas na D) (MWh)</t>
  </si>
  <si>
    <t>Perdas na RB (sobre mercado cativo) (MWh)</t>
  </si>
  <si>
    <t>ENERGIA REQUERIDA (MWh)</t>
  </si>
  <si>
    <t>PROINFA (MWh)</t>
  </si>
  <si>
    <t>MIX COMPRA (R$/MWh)</t>
  </si>
  <si>
    <t>ENERGIA ECON. (R$)</t>
  </si>
  <si>
    <t>ENERGIA FIN. (R$)</t>
  </si>
  <si>
    <t>ENERGIA CVA (R$)</t>
  </si>
  <si>
    <t>RB FIN. (R$)</t>
  </si>
  <si>
    <t>RB CVA (R$)</t>
  </si>
  <si>
    <t>P&amp;D FIN. (R$)</t>
  </si>
  <si>
    <t>P&amp;D CVA (R$)</t>
  </si>
  <si>
    <t>VERSÃO</t>
  </si>
  <si>
    <t>Constante FAIXA 1 BR</t>
  </si>
  <si>
    <t>Constante FAIXA 2 BR</t>
  </si>
  <si>
    <t>Constante FAIXA 3 BR</t>
  </si>
  <si>
    <t>Constante FAIXA 4 BR</t>
  </si>
  <si>
    <t>Constante B2 Rural</t>
  </si>
  <si>
    <t>Constante B2 Cooperativas</t>
  </si>
  <si>
    <t>Constante B2 SPI</t>
  </si>
  <si>
    <t>Constante B3</t>
  </si>
  <si>
    <t>Constante B4a</t>
  </si>
  <si>
    <t>Constante B4b</t>
  </si>
  <si>
    <t>Constante PUB. FAIXA 1 BR</t>
  </si>
  <si>
    <t>Constante PUB. FAIXA 2 BR</t>
  </si>
  <si>
    <t>Constante PUB. FAIXA 3 BR</t>
  </si>
  <si>
    <t>Constante PUB. FAIXA 4 BR</t>
  </si>
  <si>
    <t>Constante PUB. B2 Rural</t>
  </si>
  <si>
    <t>Constante PUB. B2 Cooperativas</t>
  </si>
  <si>
    <t>Constante PUB. B2 SPI</t>
  </si>
  <si>
    <t>Conexão CONS. A1</t>
  </si>
  <si>
    <t>CDE ENERGIA ACR</t>
  </si>
  <si>
    <t>CDE Covid TUSD</t>
  </si>
  <si>
    <t>P&amp;D ECON. (R$)</t>
  </si>
  <si>
    <t>CUSTOS</t>
  </si>
  <si>
    <t>CDE Covid TE</t>
  </si>
  <si>
    <t>ABA Merc. Rec. TUSD (kW)</t>
  </si>
  <si>
    <t>ABA Merc. Rec. TUSD (MWh)</t>
  </si>
  <si>
    <t>ABA Merc. Rec. TE (MWh)</t>
  </si>
  <si>
    <t>ABA Merc. TUSD TUSD (kW)</t>
  </si>
  <si>
    <t>ABA Merc. TUSD TUSD (MWh)</t>
  </si>
  <si>
    <t>ABA Merc. TE TE (MWh)</t>
  </si>
  <si>
    <t>TESTE TUSD (kW)</t>
  </si>
  <si>
    <t>TESTE TUSD (MWh)</t>
  </si>
  <si>
    <t>TESTE TE (MWh)</t>
  </si>
  <si>
    <t>Resolução</t>
  </si>
  <si>
    <t>RESOLUÇÃO HOMOLOGATÓRIA Nº 2.872, DE 25 DE MAIO DE 2021</t>
  </si>
  <si>
    <t>MERC.</t>
  </si>
  <si>
    <t>TR TUSD</t>
  </si>
  <si>
    <t>VAR AUX</t>
  </si>
  <si>
    <t>CUSTO REC. CAR.</t>
  </si>
  <si>
    <t>CUSTO REC. GER.</t>
  </si>
  <si>
    <t>CUSTO REC. DEM.</t>
  </si>
  <si>
    <t>CON. D/T</t>
  </si>
  <si>
    <t>COEF. AJ. BE</t>
  </si>
  <si>
    <t>TUSD BE</t>
  </si>
  <si>
    <t>CUSTO TEÓRICO</t>
  </si>
  <si>
    <t>COEF. AJ. BF</t>
  </si>
  <si>
    <t>(SUB)GRUPO</t>
  </si>
  <si>
    <t>TUSD (R$)</t>
  </si>
  <si>
    <t>TUSD (MWh)</t>
  </si>
  <si>
    <t>PNT (R$/MWh)</t>
  </si>
  <si>
    <t>VAR. AX01</t>
  </si>
  <si>
    <t>VAR. AX02</t>
  </si>
  <si>
    <t>TUSD BF</t>
  </si>
  <si>
    <t>COEF. AJ. CVA</t>
  </si>
  <si>
    <t>AUX. SUBS.</t>
  </si>
  <si>
    <t>TUSD CVA</t>
  </si>
  <si>
    <t>TR TE</t>
  </si>
  <si>
    <t>BASE TEÓRICA</t>
  </si>
  <si>
    <t>TE SUP.</t>
  </si>
  <si>
    <t>COEF. AJ. BE CDE S/ ACR</t>
  </si>
  <si>
    <t>COEF. AJ. BE CDE SÓ ACR</t>
  </si>
  <si>
    <t>TE BE</t>
  </si>
  <si>
    <t>TE BF</t>
  </si>
  <si>
    <t>TE CVA</t>
  </si>
  <si>
    <t>TOTAL ABAS</t>
  </si>
  <si>
    <t>AVALIAÇÃO</t>
  </si>
  <si>
    <t>Coeficientes de transição</t>
  </si>
  <si>
    <t>A2</t>
  </si>
  <si>
    <t>A3</t>
  </si>
  <si>
    <t>A3a</t>
  </si>
  <si>
    <t>AS</t>
  </si>
  <si>
    <t>Carga</t>
  </si>
  <si>
    <t>Ajustado para o passo 4 da transição. Não altere.</t>
  </si>
  <si>
    <t>TipoTarifa</t>
  </si>
  <si>
    <t>UP</t>
  </si>
  <si>
    <t>US</t>
  </si>
  <si>
    <t>UT</t>
  </si>
  <si>
    <t>AnoRef</t>
  </si>
  <si>
    <t>Evento</t>
  </si>
  <si>
    <t>Potência</t>
  </si>
  <si>
    <t>Ativa</t>
  </si>
  <si>
    <t>Energia</t>
  </si>
  <si>
    <t>CÓD.</t>
  </si>
  <si>
    <t>TUSD (R$/kW)</t>
  </si>
  <si>
    <t>TUSD (R$/MWh)</t>
  </si>
  <si>
    <t>TE (R$/MWh)</t>
  </si>
  <si>
    <t>TUSD (R$/kW) NOVA</t>
  </si>
  <si>
    <t>TUSD (R$/MWh) NOVA</t>
  </si>
  <si>
    <t>TE (R$/MWh) NOVA</t>
  </si>
  <si>
    <t>Empresa</t>
  </si>
  <si>
    <t>Ramo</t>
  </si>
  <si>
    <t>Tipo</t>
  </si>
  <si>
    <t>Unidade</t>
  </si>
  <si>
    <t>Percentual Desconto</t>
  </si>
  <si>
    <t>modalidade</t>
  </si>
  <si>
    <t>subgrupo</t>
  </si>
  <si>
    <t>classe</t>
  </si>
  <si>
    <t>subclasse</t>
  </si>
  <si>
    <t>detalhe</t>
  </si>
  <si>
    <t>Passo atual</t>
  </si>
  <si>
    <t>desconto 0 - 8</t>
  </si>
  <si>
    <t>RA0 ou RV - TUSD (kW)</t>
  </si>
  <si>
    <t>RA0 ou RV - TUSD (MWh)</t>
  </si>
  <si>
    <t>RA0 ou RV - TE (MWh)</t>
  </si>
  <si>
    <t>RA1 ou RRD - TUSD (kW)</t>
  </si>
  <si>
    <t>RA1 ou RRD - TUSD (MWh)</t>
  </si>
  <si>
    <t>RA1 ou RRD - TE (MWh)</t>
  </si>
  <si>
    <t>RA0 ou RV - TUSD</t>
  </si>
  <si>
    <t>RA1 ou RRD - TUSD</t>
  </si>
  <si>
    <t>VARIAÇÃO</t>
  </si>
  <si>
    <t>RA0 ou RV - TE</t>
  </si>
  <si>
    <t>RA1 ou RRD - TE</t>
  </si>
  <si>
    <t>RA0 ou RV</t>
  </si>
  <si>
    <t>RA1 ou RRD</t>
  </si>
  <si>
    <t>A</t>
  </si>
  <si>
    <t>A+B</t>
  </si>
  <si>
    <t>Rótulos de Linha</t>
  </si>
  <si>
    <t>Soma de RA0 ou RV - TUSD (kW)</t>
  </si>
  <si>
    <t>Soma de RA1 ou RRD - TUSD (kW)</t>
  </si>
  <si>
    <t>Soma de RA0 ou RV - TUSD (MWh)</t>
  </si>
  <si>
    <t>Soma de RA1 ou RRD - TUSD (MWh)</t>
  </si>
  <si>
    <t>Soma de RA0 ou RV - TE (MWh)</t>
  </si>
  <si>
    <t>Soma de RA1 ou RRD - TE (MWh)</t>
  </si>
  <si>
    <t>Soma de Variação TUSD</t>
  </si>
  <si>
    <t>Soma de Variação TE</t>
  </si>
  <si>
    <t>Soma de Variação</t>
  </si>
  <si>
    <t>SUBSIDIO kW - TV</t>
  </si>
  <si>
    <t>SUBSIDIO MWh - TV</t>
  </si>
  <si>
    <t>SUBSIDIO kW - TN</t>
  </si>
  <si>
    <t>SUBSIDIO MWh - TN</t>
  </si>
  <si>
    <t>TIPO</t>
  </si>
  <si>
    <t>SUBSIDIO BAIXA RENDA</t>
  </si>
  <si>
    <t>SUBSIDIO RURAL</t>
  </si>
  <si>
    <t>SUBSIDIO IRRIGANTE/AQUICULTOR</t>
  </si>
  <si>
    <t>SUBSIDIO ÁGUA, ESGOTO E SANEAMENTO</t>
  </si>
  <si>
    <t>R$ (TV)</t>
  </si>
  <si>
    <t>R$ (TN)</t>
  </si>
  <si>
    <t>SUBSIDIO CARGA FONTE INCENTIVADA</t>
  </si>
  <si>
    <t>SUBSIDIO GERAÇÃO FONTE INCENTIVADA</t>
  </si>
  <si>
    <t>SUBSIDIO DISTRIBUIÇÃO</t>
  </si>
  <si>
    <t>AJUSTE ABRACE</t>
  </si>
  <si>
    <t>(vazio)</t>
  </si>
  <si>
    <t>Soma de SUBSIDIO kW - TV</t>
  </si>
  <si>
    <t>Soma de SUBSIDIO MWh - TV</t>
  </si>
  <si>
    <t>Soma de SUBSIDIO kW - TN</t>
  </si>
  <si>
    <t>Soma de SUBSIDIO MWh - TN</t>
  </si>
  <si>
    <t>Soma de TOTAL TV</t>
  </si>
  <si>
    <t>Soma de TOTAL TN</t>
  </si>
  <si>
    <t>Convencional1RuralNão se aplicaRuralB2</t>
  </si>
  <si>
    <t>2021</t>
  </si>
  <si>
    <t>Azul1Serviço públicoÁgua, esgoto e saneamentoPlanilha CUSTOA4</t>
  </si>
  <si>
    <t>Planilha CUSTO</t>
  </si>
  <si>
    <t>Verde1Serviço públicoÁgua, esgoto e saneamentoPlanilha CUSTOA4</t>
  </si>
  <si>
    <t>Convencional1Serviço públicoÁgua, esgoto e saneamentoPlanilha CUSTOA4</t>
  </si>
  <si>
    <t>Convencional1Serviço públicoÁgua, esgoto e saneamentoPlanilha CUSTOB3</t>
  </si>
  <si>
    <t>Branca1Serviço públicoÁgua, esgoto e saneamentoPlanilha CUSTOB3</t>
  </si>
  <si>
    <t>Convencional1RuralCooperativa de eletrificação ruralPlanilha CUSTOB2</t>
  </si>
  <si>
    <t>Branca1RuralCooperativa de eletrificação ruralPlanilha CUSTOB2</t>
  </si>
  <si>
    <t>Azul1RuralNão se aplicaPlanilha CustoA4</t>
  </si>
  <si>
    <t>Planilha Custo</t>
  </si>
  <si>
    <t>Verde1RuralNão se aplicaPlanilha CustoA4</t>
  </si>
  <si>
    <t>Convencional1RuralNão se aplicaPlanilha CustoA4</t>
  </si>
  <si>
    <t>Branca1RuralNão se aplicaRuralB2</t>
  </si>
  <si>
    <t>Convencional1RuralServiço público de irrigação ruralPlanilha CUSTOB2</t>
  </si>
  <si>
    <t>Branca1RuralServiço público de irrigação ruralPlanilha CUSTOB2</t>
  </si>
  <si>
    <t>Chave</t>
  </si>
  <si>
    <t>Cod</t>
  </si>
  <si>
    <t>idagente</t>
  </si>
  <si>
    <t>IdUC</t>
  </si>
  <si>
    <t>SubClasse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</si>
  <si>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</si>
  <si>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</si>
  <si>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</si>
  <si>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</si>
  <si>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</si>
  <si>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</si>
  <si>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</si>
  <si>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</si>
  <si>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</si>
  <si>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Passo_Atual</t>
  </si>
  <si>
    <t>TUSD kW R$</t>
  </si>
  <si>
    <t>TUSD MW R$</t>
  </si>
  <si>
    <t>TE MWh R$</t>
  </si>
  <si>
    <t>SUB TUSD kW R$</t>
  </si>
  <si>
    <t>SUB TUSD MW R$</t>
  </si>
  <si>
    <t>SUB TE MWh R$</t>
  </si>
  <si>
    <t>TABELA CONSISTÊNCIA</t>
  </si>
  <si>
    <t>A1</t>
  </si>
  <si>
    <t>TUSD kW COMP. PR. R$</t>
  </si>
  <si>
    <t>TUSD MWh COMP. PR. R$</t>
  </si>
  <si>
    <t>TE MWh COMP. PR. R$</t>
  </si>
  <si>
    <t>TUSD kW SUB. PR. R$</t>
  </si>
  <si>
    <t>TUSD MWh SUB. PR. R$</t>
  </si>
  <si>
    <t>TE MWh SUB. PR. R$</t>
  </si>
  <si>
    <t>TUSD kW EFT. PR. R$</t>
  </si>
  <si>
    <t>TUSD MWh EFT. PR. R$</t>
  </si>
  <si>
    <t>TE MWh EFT. PR. R$</t>
  </si>
  <si>
    <t>TUSD kW EFT. VR. R$</t>
  </si>
  <si>
    <t>TUSD MWh EFT. VR. R$</t>
  </si>
  <si>
    <t>TE MWh EFT. VR. R$</t>
  </si>
  <si>
    <t>TUSD kW SUB. VR. R$</t>
  </si>
  <si>
    <t>TUSD+TE MWh SUB. VR. R$</t>
  </si>
  <si>
    <t>EFT. TUSD kW</t>
  </si>
  <si>
    <t>EFT. TUSD MWh</t>
  </si>
  <si>
    <t>EFT. TE MWh</t>
  </si>
  <si>
    <t>SUB. TUSD kW</t>
  </si>
  <si>
    <t>SUB. TUSD+TE MWh</t>
  </si>
  <si>
    <t>PLANILHA</t>
  </si>
  <si>
    <t>ERRO DETECTADO</t>
  </si>
  <si>
    <t>TABELA 1 - TARIFAS DE APLICAÇÃO E BASE ECONÔMICA PARA O GRUPO A</t>
  </si>
  <si>
    <t>ACESSANTE</t>
  </si>
  <si>
    <t>TARIFAS DE APLICAÇÃO</t>
  </si>
  <si>
    <t>R$/kW</t>
  </si>
  <si>
    <t>R$/MWh</t>
  </si>
  <si>
    <t>P</t>
  </si>
  <si>
    <t>FP</t>
  </si>
  <si>
    <t>Azul APE</t>
  </si>
  <si>
    <t>NA</t>
  </si>
  <si>
    <t>Verde APE</t>
  </si>
  <si>
    <t>TABELA 2 - TARIFAS DE APLICAÇÃO E BASE ECONÔMICA PARA O GRUPO B</t>
  </si>
  <si>
    <t>BRANCA</t>
  </si>
  <si>
    <t>RESIDENCIAL</t>
  </si>
  <si>
    <t>INT</t>
  </si>
  <si>
    <t>PRÉ-PAGAMENTO</t>
  </si>
  <si>
    <t>BAIXA RENDA</t>
  </si>
  <si>
    <t>CONVENCIONAL</t>
  </si>
  <si>
    <t>RURAL</t>
  </si>
  <si>
    <t>NÃO SE APLICA</t>
  </si>
  <si>
    <t>COOPERATIVA DE ELETRIFICAÇÃO RURAL</t>
  </si>
  <si>
    <t>SERVIÇO PÚBLICO DE IRRIGAÇÃO RURAL</t>
  </si>
  <si>
    <t>ILUMINAÇÃO PÚBLICA</t>
  </si>
  <si>
    <t>ILUMINAÇÃO PÚBLICA – B4A</t>
  </si>
  <si>
    <t>ILUMINAÇÃO PÚBLICA – B4B</t>
  </si>
  <si>
    <t>GERAÇÃO</t>
  </si>
  <si>
    <t>TUSD BASE FINANCEIRA NOVA</t>
  </si>
  <si>
    <t>TUSD BASE FINANCEIRA VIGENTE</t>
  </si>
  <si>
    <t>A4Azul</t>
  </si>
  <si>
    <t>A4AzulNão se aplica</t>
  </si>
  <si>
    <t>A4AzulNão se aplicaNão se aplica</t>
  </si>
  <si>
    <t>A4AzulNão se aplicaNão se aplicaNão se aplica</t>
  </si>
  <si>
    <t>A4AzulNão se aplicaNão se aplicaNão se aplicaNão se aplica</t>
  </si>
  <si>
    <t>A4AzulNão se aplicaNão se aplicaNão se aplicaNão se aplicaDP</t>
  </si>
  <si>
    <t>A4AzulNão se aplicaNão se aplicaNão se aplicaNão se aplicaDFP</t>
  </si>
  <si>
    <t>A4AzulNão se aplicaNão se aplicaNão se aplicaNão se aplicaE</t>
  </si>
  <si>
    <t>A4AzulNão se aplicaNão se aplicaAPE</t>
  </si>
  <si>
    <t>A4AzulNão se aplicaNão se aplicaAPENão se aplica</t>
  </si>
  <si>
    <t>A4AzulNão se aplicaNão se aplicaAPENão se aplicaE</t>
  </si>
  <si>
    <t>A4Geração</t>
  </si>
  <si>
    <t>A4GeraçãoNão se aplica</t>
  </si>
  <si>
    <t>A4GeraçãoNão se aplicaNão se aplica</t>
  </si>
  <si>
    <t>A4GeraçãoNão se aplicaNão se aplicaNão se aplica</t>
  </si>
  <si>
    <t>A4GeraçãoNão se aplicaNão se aplicaNão se aplicaNão se aplica</t>
  </si>
  <si>
    <t>A4GeraçãoNão se aplicaNão se aplicaNão se aplicaNão se aplicaD</t>
  </si>
  <si>
    <t>A4Verde</t>
  </si>
  <si>
    <t>A4VerdeNão se aplica</t>
  </si>
  <si>
    <t>A4VerdeNão se aplicaNão se aplica</t>
  </si>
  <si>
    <t>A4VerdeNão se aplicaNão se aplicaNão se aplica</t>
  </si>
  <si>
    <t>A4VerdeNão se aplicaNão se aplicaNão se aplicaNão se aplica</t>
  </si>
  <si>
    <t>A4VerdeNão se aplicaNão se aplicaNão se aplicaNão se aplicaD</t>
  </si>
  <si>
    <t>A4VerdeNão se aplicaNão se aplicaNão se aplicaNão se aplicaEP</t>
  </si>
  <si>
    <t>A4VerdeNão se aplicaNão se aplicaNão se aplicaNão se aplicaEFP</t>
  </si>
  <si>
    <t>A4VerdeNão se aplicaNão se aplicaAPE</t>
  </si>
  <si>
    <t>A4VerdeNão se aplicaNão se aplicaAPENão se aplica</t>
  </si>
  <si>
    <t>A4VerdeNão se aplicaNão se aplicaAPENão se aplicaEP</t>
  </si>
  <si>
    <t>A4VerdeNão se aplicaNão se aplicaAPENão se aplicaEFP</t>
  </si>
  <si>
    <t>BGeração</t>
  </si>
  <si>
    <t>BGeraçãoNão se aplica</t>
  </si>
  <si>
    <t>BGeraçãoNão se aplicaNão se aplica</t>
  </si>
  <si>
    <t>BGeraçãoNão se aplicaNão se aplicaTIPO 01</t>
  </si>
  <si>
    <t>BGeraçãoNão se aplicaNão se aplicaTIPO 01Não se aplica</t>
  </si>
  <si>
    <t>BGeraçãoNão se aplicaNão se aplicaTIPO 01Não se aplicaD</t>
  </si>
  <si>
    <t>BGeraçãoNão se aplicaNão se aplicaTIPO 02</t>
  </si>
  <si>
    <t>BGeraçãoNão se aplicaNão se aplicaTIPO 02Não se aplica</t>
  </si>
  <si>
    <t>BGeraçãoNão se aplicaNão se aplicaTIPO 02Não se aplicaD</t>
  </si>
  <si>
    <t>B1Branca</t>
  </si>
  <si>
    <t>B1BrancaResidencial</t>
  </si>
  <si>
    <t>B1BrancaResidencialResidencial</t>
  </si>
  <si>
    <t>B1BrancaResidencialResidencialNão se aplica</t>
  </si>
  <si>
    <t>B1BrancaResidencialResidencialNão se aplicaNão se aplica</t>
  </si>
  <si>
    <t>B1BrancaResidencialResidencialNão se aplicaNão se aplicaEP</t>
  </si>
  <si>
    <t>B1BrancaResidencialResidencialNão se aplicaNão se aplicaEINT</t>
  </si>
  <si>
    <t>B1BrancaResidencialResidencialNão se aplicaNão se aplicaEFP</t>
  </si>
  <si>
    <t>B1Convencional</t>
  </si>
  <si>
    <t>B1ConvencionalResidencial</t>
  </si>
  <si>
    <t>B1ConvencionalResidencialResidencial</t>
  </si>
  <si>
    <t>B1ConvencionalResidencialResidencialNão se aplica</t>
  </si>
  <si>
    <t>B1ConvencionalResidencialResidencialNão se aplicaNão se aplica</t>
  </si>
  <si>
    <t>B1ConvencionalResidencialResidencialNão se aplicaNão se aplicaE</t>
  </si>
  <si>
    <t>B1ConvencionalResidencialResidencial baixa renda – faixa 01</t>
  </si>
  <si>
    <t>B1ConvencionalResidencialResidencial baixa renda – faixa 01Não se aplica</t>
  </si>
  <si>
    <t>B1ConvencionalResidencialResidencial baixa renda – faixa 01Não se aplicaNão se aplica</t>
  </si>
  <si>
    <t>B1ConvencionalResidencialResidencial baixa renda – faixa 01Não se aplicaNão se aplicaE</t>
  </si>
  <si>
    <t>B1ConvencionalResidencialResidencial baixa renda – faixa 02</t>
  </si>
  <si>
    <t>B1ConvencionalResidencialResidencial baixa renda – faixa 02Não se aplica</t>
  </si>
  <si>
    <t>B1ConvencionalResidencialResidencial baixa renda – faixa 02Não se aplicaNão se aplica</t>
  </si>
  <si>
    <t>B1ConvencionalResidencialResidencial baixa renda – faixa 02Não se aplicaNão se aplicaE</t>
  </si>
  <si>
    <t>B1ConvencionalResidencialResidencial baixa renda – faixa 03</t>
  </si>
  <si>
    <t>B1ConvencionalResidencialResidencial baixa renda – faixa 03Não se aplica</t>
  </si>
  <si>
    <t>B1ConvencionalResidencialResidencial baixa renda – faixa 03Não se aplicaNão se aplica</t>
  </si>
  <si>
    <t>B1ConvencionalResidencialResidencial baixa renda – faixa 03Não se aplicaNão se aplicaE</t>
  </si>
  <si>
    <t>B1ConvencionalResidencialResidencial baixa renda – faixa 04</t>
  </si>
  <si>
    <t>B1ConvencionalResidencialResidencial baixa renda – faixa 04Não se aplica</t>
  </si>
  <si>
    <t>B1ConvencionalResidencialResidencial baixa renda – faixa 04Não se aplicaNão se aplica</t>
  </si>
  <si>
    <t>B1ConvencionalResidencialResidencial baixa renda – faixa 04Não se aplicaNão se aplicaE</t>
  </si>
  <si>
    <t>B1Convencional pré-pagamento</t>
  </si>
  <si>
    <t>B1Convencional pré-pagamentoResidencial</t>
  </si>
  <si>
    <t>B1Convencional pré-pagamentoResidencialResidencial</t>
  </si>
  <si>
    <t>B1Convencional pré-pagamentoResidencialResidencialNão se aplica</t>
  </si>
  <si>
    <t>B1Convencional pré-pagamentoResidencialResidencialNão se aplicaNão se aplica</t>
  </si>
  <si>
    <t>B1Convencional pré-pagamentoResidencialResidencialNão se aplicaNão se aplicaE</t>
  </si>
  <si>
    <t>B1Convencional pré-pagamentoResidencialResidencial baixa renda – faixa 01</t>
  </si>
  <si>
    <t>B1Convencional pré-pagamentoResidencialResidencial baixa renda – faixa 01Não se aplica</t>
  </si>
  <si>
    <t>B1Convencional pré-pagamentoResidencialResidencial baixa renda – faixa 01Não se aplicaNão se aplica</t>
  </si>
  <si>
    <t>B1Convencional pré-pagamentoResidencialResidencial baixa renda – faixa 01Não se aplicaNão se aplicaE</t>
  </si>
  <si>
    <t>B1Convencional pré-pagamentoResidencialResidencial baixa renda – faixa 02</t>
  </si>
  <si>
    <t>B1Convencional pré-pagamentoResidencialResidencial baixa renda – faixa 02Não se aplica</t>
  </si>
  <si>
    <t>B1Convencional pré-pagamentoResidencialResidencial baixa renda – faixa 02Não se aplicaNão se aplica</t>
  </si>
  <si>
    <t>B1Convencional pré-pagamentoResidencialResidencial baixa renda – faixa 02Não se aplicaNão se aplicaE</t>
  </si>
  <si>
    <t>B1Convencional pré-pagamentoResidencialResidencial baixa renda – faixa 03</t>
  </si>
  <si>
    <t>B1Convencional pré-pagamentoResidencialResidencial baixa renda – faixa 03Não se aplica</t>
  </si>
  <si>
    <t>B1Convencional pré-pagamentoResidencialResidencial baixa renda – faixa 03Não se aplicaNão se aplica</t>
  </si>
  <si>
    <t>B1Convencional pré-pagamentoResidencialResidencial baixa renda – faixa 03Não se aplicaNão se aplicaE</t>
  </si>
  <si>
    <t>B1Convencional pré-pagamentoResidencialResidencial baixa renda – faixa 04</t>
  </si>
  <si>
    <t>B1Convencional pré-pagamentoResidencialResidencial baixa renda – faixa 04Não se aplica</t>
  </si>
  <si>
    <t>B1Convencional pré-pagamentoResidencialResidencial baixa renda – faixa 04Não se aplicaNão se aplica</t>
  </si>
  <si>
    <t>B1Convencional pré-pagamentoResidencialResidencial baixa renda – faixa 04Não se aplicaNão se aplicaE</t>
  </si>
  <si>
    <t>B2Branca</t>
  </si>
  <si>
    <t>B2BrancaRural</t>
  </si>
  <si>
    <t>B2BrancaRuralNão se aplica</t>
  </si>
  <si>
    <t>B2BrancaRuralNão se aplicaNão se aplica</t>
  </si>
  <si>
    <t>B2BrancaRuralNão se aplicaNão se aplicaNão se aplica</t>
  </si>
  <si>
    <t>B2BrancaRuralNão se aplicaNão se aplicaNão se aplicaEP</t>
  </si>
  <si>
    <t>B2BrancaRuralNão se aplicaNão se aplicaNão se aplicaEINT</t>
  </si>
  <si>
    <t>B2BrancaRuralNão se aplicaNão se aplicaNão se aplicaEFP</t>
  </si>
  <si>
    <t>B2Convencional</t>
  </si>
  <si>
    <t>B2ConvencionalRural</t>
  </si>
  <si>
    <t>B2ConvencionalRuralNão se aplica</t>
  </si>
  <si>
    <t>B2ConvencionalRuralNão se aplicaNão se aplica</t>
  </si>
  <si>
    <t>B2ConvencionalRuralNão se aplicaNão se aplicaNão se aplica</t>
  </si>
  <si>
    <t>B2ConvencionalRuralNão se aplicaNão se aplicaNão se aplicaE</t>
  </si>
  <si>
    <t>B2BrancaRuralCooperativa de eletrificação rural</t>
  </si>
  <si>
    <t>B2BrancaRuralCooperativa de eletrificação ruralNão se aplica</t>
  </si>
  <si>
    <t>B2BrancaRuralCooperativa de eletrificação ruralNão se aplicaNão se aplica</t>
  </si>
  <si>
    <t>B2BrancaRuralCooperativa de eletrificação ruralNão se aplicaNão se aplicaEP</t>
  </si>
  <si>
    <t>B2BrancaRuralCooperativa de eletrificação ruralNão se aplicaNão se aplicaEINT</t>
  </si>
  <si>
    <t>B2BrancaRuralCooperativa de eletrificação ruralNão se aplicaNão se aplicaEFP</t>
  </si>
  <si>
    <t>B2ConvencionalRuralCooperativa de eletrificação rural</t>
  </si>
  <si>
    <t>B2ConvencionalRuralCooperativa de eletrificação ruralNão se aplica</t>
  </si>
  <si>
    <t>B2ConvencionalRuralCooperativa de eletrificação ruralNão se aplicaNão se aplica</t>
  </si>
  <si>
    <t>B2ConvencionalRuralCooperativa de eletrificação ruralNão se aplicaNão se aplicaE</t>
  </si>
  <si>
    <t>B2BrancaRuralServiço público de irrigação rural</t>
  </si>
  <si>
    <t>B2BrancaRuralServiço público de irrigação ruralNão se aplica</t>
  </si>
  <si>
    <t>B2BrancaRuralServiço público de irrigação ruralNão se aplicaNão se aplica</t>
  </si>
  <si>
    <t>B2BrancaRuralServiço público de irrigação ruralNão se aplicaNão se aplicaEP</t>
  </si>
  <si>
    <t>B2BrancaRuralServiço público de irrigação ruralNão se aplicaNão se aplicaEINT</t>
  </si>
  <si>
    <t>B2BrancaRuralServiço público de irrigação ruralNão se aplicaNão se aplicaEFP</t>
  </si>
  <si>
    <t>B2ConvencionalRuralServiço público de irrigação rural</t>
  </si>
  <si>
    <t>B2ConvencionalRuralServiço público de irrigação ruralNão se aplica</t>
  </si>
  <si>
    <t>B2ConvencionalRuralServiço público de irrigação ruralNão se aplicaNão se aplica</t>
  </si>
  <si>
    <t>B2ConvencionalRuralServiço público de irrigação ruralNão se aplicaNão se aplicaE</t>
  </si>
  <si>
    <t>B2Convencional pré-pagamento</t>
  </si>
  <si>
    <t>B2Convencional pré-pagamentoRural</t>
  </si>
  <si>
    <t>B2Convencional pré-pagamentoRuralNão se aplica</t>
  </si>
  <si>
    <t>B2Convencional pré-pagamentoRuralNão se aplicaNão se aplica</t>
  </si>
  <si>
    <t>B2Convencional pré-pagamentoRuralNão se aplicaNão se aplicaNão se aplica</t>
  </si>
  <si>
    <t>B2Convencional pré-pagamentoRuralNão se aplicaNão se aplicaNão se aplicaE</t>
  </si>
  <si>
    <t>B2Convencional pré-pagamentoRuralCooperativa de eletrificação rural</t>
  </si>
  <si>
    <t>B2Convencional pré-pagamentoRuralCooperativa de eletrificação ruralNão se aplica</t>
  </si>
  <si>
    <t>B2Convencional pré-pagamentoRuralCooperativa de eletrificação ruralNão se aplicaNão se aplica</t>
  </si>
  <si>
    <t>B2Convencional pré-pagamentoRuralCooperativa de eletrificação ruralNão se aplicaNão se aplicaE</t>
  </si>
  <si>
    <t>B2Convencional pré-pagamentoRuralServiço público de irrigação rural</t>
  </si>
  <si>
    <t>B2Convencional pré-pagamentoRuralServiço público de irrigação ruralNão se aplica</t>
  </si>
  <si>
    <t>B2Convencional pré-pagamentoRuralServiço público de irrigação ruralNão se aplicaNão se aplica</t>
  </si>
  <si>
    <t>B2Convencional pré-pagamentoRuralServiço público de irrigação ruralNão se aplicaNão se aplicaE</t>
  </si>
  <si>
    <t>B3Branca</t>
  </si>
  <si>
    <t>B3BrancaNão se aplica</t>
  </si>
  <si>
    <t>B3BrancaNão se aplicaNão se aplica</t>
  </si>
  <si>
    <t>B3BrancaNão se aplicaNão se aplicaNão se aplica</t>
  </si>
  <si>
    <t>B3BrancaNão se aplicaNão se aplicaNão se aplicaNão se aplica</t>
  </si>
  <si>
    <t>B3BrancaNão se aplicaNão se aplicaNão se aplicaNão se aplicaEP</t>
  </si>
  <si>
    <t>B3BrancaNão se aplicaNão se aplicaNão se aplicaNão se aplicaEINT</t>
  </si>
  <si>
    <t>B3BrancaNão se aplicaNão se aplicaNão se aplicaNão se aplicaEFP</t>
  </si>
  <si>
    <t>B3Convencional</t>
  </si>
  <si>
    <t>B3ConvencionalNão se aplica</t>
  </si>
  <si>
    <t>B3ConvencionalNão se aplicaNão se aplica</t>
  </si>
  <si>
    <t>B3ConvencionalNão se aplicaNão se aplicaNão se aplica</t>
  </si>
  <si>
    <t>B3ConvencionalNão se aplicaNão se aplicaNão se aplicaNão se aplica</t>
  </si>
  <si>
    <t>B3ConvencionalNão se aplicaNão se aplicaNão se aplicaNão se aplicaE</t>
  </si>
  <si>
    <t>B3Convencional pré-pagamento</t>
  </si>
  <si>
    <t>B3Convencional pré-pagamentoNão se aplica</t>
  </si>
  <si>
    <t>B3Convencional pré-pagamentoNão se aplicaNão se aplica</t>
  </si>
  <si>
    <t>B3Convencional pré-pagamentoNão se aplicaNão se aplicaNão se aplica</t>
  </si>
  <si>
    <t>B3Convencional pré-pagamentoNão se aplicaNão se aplicaNão se aplicaNão se aplica</t>
  </si>
  <si>
    <t>B3Convencional pré-pagamentoNão se aplicaNão se aplicaNão se aplicaNão se aplicaE</t>
  </si>
  <si>
    <t>B4Convencional</t>
  </si>
  <si>
    <t>B4ConvencionalIluminação pública</t>
  </si>
  <si>
    <t>B4ConvencionalIluminação públicaIluminação pública – B4a</t>
  </si>
  <si>
    <t>B4ConvencionalIluminação públicaIluminação pública – B4aNão se aplica</t>
  </si>
  <si>
    <t>B4ConvencionalIluminação públicaIluminação pública – B4aNão se aplicaNão se aplica</t>
  </si>
  <si>
    <t>B4ConvencionalIluminação públicaIluminação pública – B4aNão se aplicaNão se aplicaE</t>
  </si>
  <si>
    <t>B4ConvencionalIluminação públicaIluminação pública – B4b</t>
  </si>
  <si>
    <t>B4ConvencionalIluminação públicaIluminação pública – B4bNão se aplica</t>
  </si>
  <si>
    <t>B4ConvencionalIluminação públicaIluminação pública – B4bNão se aplicaNão se aplica</t>
  </si>
  <si>
    <t>B4ConvencionalIluminação públicaIluminação pública – B4bNão se aplicaNão se aplicaE</t>
  </si>
  <si>
    <t>TE BASE FINANCEIRA NOVA</t>
  </si>
  <si>
    <t>TE BASE FINANCEIRA VIGENTE</t>
  </si>
  <si>
    <t>A4Energia horária</t>
  </si>
  <si>
    <t>A4Energia horáriaNão se aplica</t>
  </si>
  <si>
    <t>A4Energia horáriaNão se aplicaNão se aplica</t>
  </si>
  <si>
    <t>A4Energia horáriaNão se aplicaNão se aplicaNão se aplica</t>
  </si>
  <si>
    <t>A4Energia horáriaNão se aplicaNão se aplicaNão se aplicaNão se aplica</t>
  </si>
  <si>
    <t>A4Energia horáriaNão se aplicaNão se aplicaNão se aplicaNão se aplicaEP</t>
  </si>
  <si>
    <t>A4Energia horáriaNão se aplicaNão se aplicaNão se aplicaNão se aplicaEFP</t>
  </si>
  <si>
    <t>A4Energia convencional</t>
  </si>
  <si>
    <t>A4Energia convencionalNão se aplica</t>
  </si>
  <si>
    <t>A4Energia convencionalNão se aplicaNão se aplica</t>
  </si>
  <si>
    <t>A4Energia convencionalNão se aplicaNão se aplicaNão se aplica</t>
  </si>
  <si>
    <t>A4Energia convencionalNão se aplicaNão se aplicaNão se aplicaNão se aplica</t>
  </si>
  <si>
    <t>A4Energia convencionalNão se aplicaNão se aplicaNão se aplicaNão se aplicaE</t>
  </si>
  <si>
    <t>B1Energia horária</t>
  </si>
  <si>
    <t>B1Energia horáriaResidencial</t>
  </si>
  <si>
    <t>B1Energia horáriaResidencialResidencial</t>
  </si>
  <si>
    <t>B1Energia horáriaResidencialResidencialNão se aplica</t>
  </si>
  <si>
    <t>B1Energia horáriaResidencialResidencialNão se aplicaNão se aplica</t>
  </si>
  <si>
    <t>B1Energia horáriaResidencialResidencialNão se aplicaNão se aplicaEP</t>
  </si>
  <si>
    <t>B1Energia horáriaResidencialResidencialNão se aplicaNão se aplicaEINT</t>
  </si>
  <si>
    <t>B1Energia horáriaResidencialResidencialNão se aplicaNão se aplicaEFP</t>
  </si>
  <si>
    <t>B1Energia convencional</t>
  </si>
  <si>
    <t>B1Energia convencionalResidencial</t>
  </si>
  <si>
    <t>B1Energia convencionalResidencialResidencial</t>
  </si>
  <si>
    <t>B1Energia convencionalResidencialResidencialNão se aplica</t>
  </si>
  <si>
    <t>B1Energia convencionalResidencialResidencialNão se aplicaNão se aplica</t>
  </si>
  <si>
    <t>B1Energia convencionalResidencialResidencialNão se aplicaNão se aplicaE</t>
  </si>
  <si>
    <t>B1Energia convencionalResidencialResidencial baixa renda – faixa 01</t>
  </si>
  <si>
    <t>B1Energia convencionalResidencialResidencial baixa renda – faixa 01Não se aplica</t>
  </si>
  <si>
    <t>B1Energia convencionalResidencialResidencial baixa renda – faixa 01Não se aplicaNão se aplica</t>
  </si>
  <si>
    <t>B1Energia convencionalResidencialResidencial baixa renda – faixa 01Não se aplicaNão se aplicaE</t>
  </si>
  <si>
    <t>B1Energia convencionalResidencialResidencial baixa renda – faixa 02</t>
  </si>
  <si>
    <t>B1Energia convencionalResidencialResidencial baixa renda – faixa 02Não se aplica</t>
  </si>
  <si>
    <t>B1Energia convencionalResidencialResidencial baixa renda – faixa 02Não se aplicaNão se aplica</t>
  </si>
  <si>
    <t>B1Energia convencionalResidencialResidencial baixa renda – faixa 02Não se aplicaNão se aplicaE</t>
  </si>
  <si>
    <t>B1Energia convencionalResidencialResidencial baixa renda – faixa 03</t>
  </si>
  <si>
    <t>B1Energia convencionalResidencialResidencial baixa renda – faixa 03Não se aplica</t>
  </si>
  <si>
    <t>B1Energia convencionalResidencialResidencial baixa renda – faixa 03Não se aplicaNão se aplica</t>
  </si>
  <si>
    <t>B1Energia convencionalResidencialResidencial baixa renda – faixa 03Não se aplicaNão se aplicaE</t>
  </si>
  <si>
    <t>B1Energia convencionalResidencialResidencial baixa renda – faixa 04</t>
  </si>
  <si>
    <t>B1Energia convencionalResidencialResidencial baixa renda – faixa 04Não se aplica</t>
  </si>
  <si>
    <t>B1Energia convencionalResidencialResidencial baixa renda – faixa 04Não se aplicaNão se aplica</t>
  </si>
  <si>
    <t>B1Energia convencionalResidencialResidencial baixa renda – faixa 04Não se aplicaNão se aplicaE</t>
  </si>
  <si>
    <t>B1Energia convencional pré-pagamento</t>
  </si>
  <si>
    <t>B1Energia convencional pré-pagamentoResidencial</t>
  </si>
  <si>
    <t>B1Energia convencional pré-pagamentoResidencialResidencial</t>
  </si>
  <si>
    <t>B1Energia convencional pré-pagamentoResidencialResidencialNão se aplica</t>
  </si>
  <si>
    <t>B1Energia convencional pré-pagamentoResidencialResidencialNão se aplicaNão se aplica</t>
  </si>
  <si>
    <t>B1Energia convencional pré-pagamentoResidencialResidencialNão se aplicaNão se aplicaE</t>
  </si>
  <si>
    <t>B1Energia convencional pré-pagamentoResidencialResidencial baixa renda – faixa 01</t>
  </si>
  <si>
    <t>B1Energia convencional pré-pagamentoResidencialResidencial baixa renda – faixa 01Não se aplica</t>
  </si>
  <si>
    <t>B1Energia convencional pré-pagamentoResidencialResidencial baixa renda – faixa 01Não se aplicaNão se aplica</t>
  </si>
  <si>
    <t>B1Energia convencional pré-pagamentoResidencialResidencial baixa renda – faixa 01Não se aplicaNão se aplicaE</t>
  </si>
  <si>
    <t>B1Energia convencional pré-pagamentoResidencialResidencial baixa renda – faixa 02</t>
  </si>
  <si>
    <t>B1Energia convencional pré-pagamentoResidencialResidencial baixa renda – faixa 02Não se aplica</t>
  </si>
  <si>
    <t>B1Energia convencional pré-pagamentoResidencialResidencial baixa renda – faixa 02Não se aplicaNão se aplica</t>
  </si>
  <si>
    <t>B1Energia convencional pré-pagamentoResidencialResidencial baixa renda – faixa 02Não se aplicaNão se aplicaE</t>
  </si>
  <si>
    <t>B1Energia convencional pré-pagamentoResidencialResidencial baixa renda – faixa 03</t>
  </si>
  <si>
    <t>B1Energia convencional pré-pagamentoResidencialResidencial baixa renda – faixa 03Não se aplica</t>
  </si>
  <si>
    <t>B1Energia convencional pré-pagamentoResidencialResidencial baixa renda – faixa 03Não se aplicaNão se aplica</t>
  </si>
  <si>
    <t>B1Energia convencional pré-pagamentoResidencialResidencial baixa renda – faixa 03Não se aplicaNão se aplicaE</t>
  </si>
  <si>
    <t>B1Energia convencional pré-pagamentoResidencialResidencial baixa renda – faixa 04</t>
  </si>
  <si>
    <t>B1Energia convencional pré-pagamentoResidencialResidencial baixa renda – faixa 04Não se aplica</t>
  </si>
  <si>
    <t>B1Energia convencional pré-pagamentoResidencialResidencial baixa renda – faixa 04Não se aplicaNão se aplica</t>
  </si>
  <si>
    <t>B1Energia convencional pré-pagamentoResidencialResidencial baixa renda – faixa 04Não se aplicaNão se aplicaE</t>
  </si>
  <si>
    <t>B2Energia horária</t>
  </si>
  <si>
    <t>B2Energia horáriaRural</t>
  </si>
  <si>
    <t>B2Energia horáriaRuralNão se aplica</t>
  </si>
  <si>
    <t>B2Energia horáriaRuralNão se aplicaNão se aplica</t>
  </si>
  <si>
    <t>B2Energia horáriaRuralNão se aplicaNão se aplicaNão se aplica</t>
  </si>
  <si>
    <t>B2Energia horáriaRuralNão se aplicaNão se aplicaNão se aplicaEP</t>
  </si>
  <si>
    <t>B2Energia horáriaRuralNão se aplicaNão se aplicaNão se aplicaEINT</t>
  </si>
  <si>
    <t>B2Energia horáriaRuralNão se aplicaNão se aplicaNão se aplicaEFP</t>
  </si>
  <si>
    <t>B2Energia convencional</t>
  </si>
  <si>
    <t>B2Energia convencionalRural</t>
  </si>
  <si>
    <t>B2Energia convencionalRuralNão se aplica</t>
  </si>
  <si>
    <t>B2Energia convencionalRuralNão se aplicaNão se aplica</t>
  </si>
  <si>
    <t>B2Energia convencionalRuralNão se aplicaNão se aplicaNão se aplica</t>
  </si>
  <si>
    <t>B2Energia convencionalRuralNão se aplicaNão se aplicaNão se aplicaE</t>
  </si>
  <si>
    <t>B2Energia horáriaRuralCooperativa de eletrificação rural</t>
  </si>
  <si>
    <t>B2Energia horáriaRuralCooperativa de eletrificação ruralNão se aplica</t>
  </si>
  <si>
    <t>B2Energia horáriaRuralCooperativa de eletrificação ruralNão se aplicaNão se aplica</t>
  </si>
  <si>
    <t>B2Energia horáriaRuralCooperativa de eletrificação ruralNão se aplicaNão se aplicaEP</t>
  </si>
  <si>
    <t>B2Energia horáriaRuralCooperativa de eletrificação ruralNão se aplicaNão se aplicaEINT</t>
  </si>
  <si>
    <t>B2Energia horáriaRuralCooperativa de eletrificação ruralNão se aplicaNão se aplicaEFP</t>
  </si>
  <si>
    <t>B2Energia convencionalRuralCooperativa de eletrificação rural</t>
  </si>
  <si>
    <t>B2Energia convencionalRuralCooperativa de eletrificação ruralNão se aplica</t>
  </si>
  <si>
    <t>B2Energia convencionalRuralCooperativa de eletrificação ruralNão se aplicaNão se aplica</t>
  </si>
  <si>
    <t>B2Energia convencionalRuralCooperativa de eletrificação ruralNão se aplicaNão se aplicaE</t>
  </si>
  <si>
    <t>B2Energia horáriaRuralServiço público de irrigação rural</t>
  </si>
  <si>
    <t>B2Energia horáriaRuralServiço público de irrigação ruralNão se aplica</t>
  </si>
  <si>
    <t>B2Energia horáriaRuralServiço público de irrigação ruralNão se aplicaNão se aplica</t>
  </si>
  <si>
    <t>B2Energia horáriaRuralServiço público de irrigação ruralNão se aplicaNão se aplicaEP</t>
  </si>
  <si>
    <t>B2Energia horáriaRuralServiço público de irrigação ruralNão se aplicaNão se aplicaEINT</t>
  </si>
  <si>
    <t>B2Energia horáriaRuralServiço público de irrigação ruralNão se aplicaNão se aplicaEFP</t>
  </si>
  <si>
    <t>B2Energia convencionalRuralServiço público de irrigação rural</t>
  </si>
  <si>
    <t>B2Energia convencionalRuralServiço público de irrigação ruralNão se aplica</t>
  </si>
  <si>
    <t>B2Energia convencionalRuralServiço público de irrigação ruralNão se aplicaNão se aplica</t>
  </si>
  <si>
    <t>B2Energia convencionalRuralServiço público de irrigação ruralNão se aplicaNão se aplicaE</t>
  </si>
  <si>
    <t>B2Energia convencional pré-pagamento</t>
  </si>
  <si>
    <t>B2Energia convencional pré-pagamentoRural</t>
  </si>
  <si>
    <t>B2Energia convencional pré-pagamentoRuralNão se aplica</t>
  </si>
  <si>
    <t>B2Energia convencional pré-pagamentoRuralNão se aplicaNão se aplica</t>
  </si>
  <si>
    <t>B2Energia convencional pré-pagamentoRuralNão se aplicaNão se aplicaNão se aplica</t>
  </si>
  <si>
    <t>B2Energia convencional pré-pagamentoRuralNão se aplicaNão se aplicaNão se aplicaE</t>
  </si>
  <si>
    <t>B2Energia convencional pré-pagamentoRuralCooperativa de eletrificação rural</t>
  </si>
  <si>
    <t>B2Energia convencional pré-pagamentoRuralCooperativa de eletrificação ruralNão se aplica</t>
  </si>
  <si>
    <t>B2Energia convencional pré-pagamentoRuralCooperativa de eletrificação ruralNão se aplicaNão se aplica</t>
  </si>
  <si>
    <t>B2Energia convencional pré-pagamentoRuralCooperativa de eletrificação ruralNão se aplicaNão se aplicaE</t>
  </si>
  <si>
    <t>B2Energia convencional pré-pagamentoRuralServiço público de irrigação rural</t>
  </si>
  <si>
    <t>B2Energia convencional pré-pagamentoRuralServiço público de irrigação ruralNão se aplica</t>
  </si>
  <si>
    <t>B2Energia convencional pré-pagamentoRuralServiço público de irrigação ruralNão se aplicaNão se aplica</t>
  </si>
  <si>
    <t>B2Energia convencional pré-pagamentoRuralServiço público de irrigação ruralNão se aplicaNão se aplicaE</t>
  </si>
  <si>
    <t>B3Energia horária</t>
  </si>
  <si>
    <t>B3Energia horáriaNão se aplica</t>
  </si>
  <si>
    <t>B3Energia horáriaNão se aplicaNão se aplica</t>
  </si>
  <si>
    <t>B3Energia horáriaNão se aplicaNão se aplicaNão se aplica</t>
  </si>
  <si>
    <t>B3Energia horáriaNão se aplicaNão se aplicaNão se aplicaNão se aplica</t>
  </si>
  <si>
    <t>B3Energia horáriaNão se aplicaNão se aplicaNão se aplicaNão se aplicaEP</t>
  </si>
  <si>
    <t>B3Energia horáriaNão se aplicaNão se aplicaNão se aplicaNão se aplicaEINT</t>
  </si>
  <si>
    <t>B3Energia horáriaNão se aplicaNão se aplicaNão se aplicaNão se aplicaEFP</t>
  </si>
  <si>
    <t>B3Energia convencional</t>
  </si>
  <si>
    <t>B3Energia convencionalNão se aplica</t>
  </si>
  <si>
    <t>B3Energia convencionalNão se aplicaNão se aplica</t>
  </si>
  <si>
    <t>B3Energia convencionalNão se aplicaNão se aplicaNão se aplica</t>
  </si>
  <si>
    <t>B3Energia convencionalNão se aplicaNão se aplicaNão se aplicaNão se aplica</t>
  </si>
  <si>
    <t>B3Energia convencionalNão se aplicaNão se aplicaNão se aplicaNão se aplicaE</t>
  </si>
  <si>
    <t>B3Energia convencional pré-pagamento</t>
  </si>
  <si>
    <t>B3Energia convencional pré-pagamentoNão se aplica</t>
  </si>
  <si>
    <t>B3Energia convencional pré-pagamentoNão se aplicaNão se aplica</t>
  </si>
  <si>
    <t>B3Energia convencional pré-pagamentoNão se aplicaNão se aplicaNão se aplica</t>
  </si>
  <si>
    <t>B3Energia convencional pré-pagamentoNão se aplicaNão se aplicaNão se aplicaNão se aplica</t>
  </si>
  <si>
    <t>B3Energia convencional pré-pagamentoNão se aplicaNão se aplicaNão se aplicaNão se aplicaE</t>
  </si>
  <si>
    <t>B4Energia convencional</t>
  </si>
  <si>
    <t>B4Energia convencionalIluminação pública</t>
  </si>
  <si>
    <t>B4Energia convencionalIluminação públicaIluminação pública – B4a</t>
  </si>
  <si>
    <t>B4Energia convencionalIluminação públicaIluminação pública – B4aNão se aplica</t>
  </si>
  <si>
    <t>B4Energia convencionalIluminação públicaIluminação pública – B4aNão se aplicaNão se aplica</t>
  </si>
  <si>
    <t>B4Energia convencionalIluminação públicaIluminação pública – B4aNão se aplicaNão se aplicaE</t>
  </si>
  <si>
    <t>B4Energia convencionalIluminação públicaIluminação pública – B4b</t>
  </si>
  <si>
    <t>B4Energia convencionalIluminação públicaIluminação pública – B4bNão se aplica</t>
  </si>
  <si>
    <t>B4Energia convencionalIluminação públicaIluminação pública – B4bNão se aplicaNão se aplica</t>
  </si>
  <si>
    <t>B4Energia convencionalIluminação públicaIluminação pública – B4bNão se aplicaNão se aplicaE</t>
  </si>
  <si>
    <t>CUSTOS REGULATÓRIOS</t>
  </si>
  <si>
    <t>TOTAL RA0/RV</t>
  </si>
  <si>
    <t>TOTAL RA1/RRD</t>
  </si>
  <si>
    <t>TOTAL SUBGRUPO A0</t>
  </si>
  <si>
    <t>TOTAL SUBGRUPO A1</t>
  </si>
  <si>
    <t>TOTAL ANÁLISE A0</t>
  </si>
  <si>
    <t>TOTAL ANÁLISE A1</t>
  </si>
  <si>
    <t>CHAVE</t>
  </si>
  <si>
    <t>VAR. GLOBAL</t>
  </si>
  <si>
    <t>VAR. SELEÇÃO SUBG.</t>
  </si>
  <si>
    <t>VAR. SELEÇÃO MDT</t>
  </si>
  <si>
    <t>FRC</t>
  </si>
  <si>
    <t>OPERAÇÃO E MANUTENÇÃO - O&amp;M (R$)</t>
  </si>
  <si>
    <t>TAXA DE DEPRECIAÇÃO - D (%)</t>
  </si>
  <si>
    <t>PARCELA B REVISÃO (R$)</t>
  </si>
  <si>
    <t>CARGA TRIBUTÁRIA (%)</t>
  </si>
  <si>
    <t>WACC ANTES DOS TRIBUTOS (%)</t>
  </si>
  <si>
    <t>VALOR</t>
  </si>
  <si>
    <t>DESCRIÇÃO PARÂMETROS</t>
  </si>
  <si>
    <t>TUSD FIO B - FORA PONTA (R$/kW)</t>
  </si>
  <si>
    <t>K</t>
  </si>
  <si>
    <t>B4b</t>
  </si>
  <si>
    <t>B4a</t>
  </si>
  <si>
    <t>B2-IRRIGANTE</t>
  </si>
  <si>
    <t>B2-RURAL</t>
  </si>
  <si>
    <t>SUBGRUPO TARIFÁRIO</t>
  </si>
  <si>
    <t>Total TUSD</t>
  </si>
  <si>
    <t>Total TE</t>
  </si>
  <si>
    <t>TUSD_CDE_COVID</t>
  </si>
  <si>
    <t>TUSD_TFSEE</t>
  </si>
  <si>
    <t>TUSD_PeD</t>
  </si>
  <si>
    <t>TUSD_ONS</t>
  </si>
  <si>
    <t>TUSD_CCC</t>
  </si>
  <si>
    <t>TUSD_CDE</t>
  </si>
  <si>
    <t>TUSD_PROINFA</t>
  </si>
  <si>
    <t>Liminar1</t>
  </si>
  <si>
    <t>TUSD_RB</t>
  </si>
  <si>
    <t>TUSD_FR</t>
  </si>
  <si>
    <t>TUSD_CCT</t>
  </si>
  <si>
    <t>TUSD_CCD</t>
  </si>
  <si>
    <t>TUSD_CUSD</t>
  </si>
  <si>
    <t>TUSDG_T</t>
  </si>
  <si>
    <t>TUSDG_ONS</t>
  </si>
  <si>
    <t>TUSD_FioB</t>
  </si>
  <si>
    <t>TUSD Subsidio</t>
  </si>
  <si>
    <t>TUSD Outros</t>
  </si>
  <si>
    <t>TUSD_PT</t>
  </si>
  <si>
    <t>TUSD_Per_RB_D</t>
  </si>
  <si>
    <t>TUSD_PNT</t>
  </si>
  <si>
    <t>TUSD_RI</t>
  </si>
  <si>
    <t>TE_CDE_COVID</t>
  </si>
  <si>
    <t>TE_PeD</t>
  </si>
  <si>
    <t>TE_ESSERR</t>
  </si>
  <si>
    <t>TE_CFURH</t>
  </si>
  <si>
    <t>TE_ENERGIA</t>
  </si>
  <si>
    <t>TE_TRANSPORTE_ITAIPU</t>
  </si>
  <si>
    <t>TE_TUST_ITAIPU</t>
  </si>
  <si>
    <t>TE_TUST_CI</t>
  </si>
  <si>
    <t>TE Subsidio</t>
  </si>
  <si>
    <t>TE_Per_RB</t>
  </si>
  <si>
    <t>Baixa Renda</t>
  </si>
  <si>
    <t>Perdas</t>
  </si>
  <si>
    <t xml:space="preserve">TUSD </t>
  </si>
  <si>
    <t xml:space="preserve">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</si>
</sst>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_);[Red]\(#,##0.00%\)"/>
    <numFmt numFmtId="165" formatCode="#0.00%;[Red]#0.00%"/>
    <numFmt numFmtId="166" formatCode="0.00%_);[Red]\(0.00%\)"/>
    <numFmt numFmtId="167" formatCode="#,##0.00_ ;[Red]\-#,##0.00\ "/>
    <numFmt numFmtId="168" formatCode="#,##0.00;[Red]#,##0.00"/>
  </numFmts>
  <fonts count="1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sz val="8"/>
      <color theme="3" tint="-0.249977111117893"/>
      <name val="Arial"/>
      <family val="2"/>
    </font>
    <font>
      <b/>
      <sz val="8"/>
      <color theme="0"/>
      <name val="Arial"/>
      <family val="2"/>
    </font>
    <font>
      <sz val="8"/>
      <name val="Calibri"/>
      <family val="2"/>
      <scheme val="minor"/>
    </font>
    <font>
      <sz val="8"/>
      <color theme="1" tint="4.9989318521683403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6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theme="3" tint="-0.4999847407452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40" fontId="3" fillId="0" borderId="1" xfId="0" applyNumberFormat="1" applyFont="1" applyBorder="1" applyAlignment="1">
      <alignment vertical="center"/>
    </xf>
    <xf numFmtId="40" fontId="3" fillId="0" borderId="1" xfId="0" applyNumberFormat="1" applyFon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40" fontId="3" fillId="0" borderId="1" xfId="0" applyNumberFormat="1" applyFont="1" applyBorder="1" applyAlignment="1">
      <alignment vertical="center"/>
    </xf>
    <xf numFmtId="0" fontId="3" fillId="0" borderId="0" xfId="0" applyFont="1"/>
    <xf numFmtId="40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40" fontId="3" fillId="0" borderId="1" xfId="0" applyNumberFormat="1" applyFont="1" applyBorder="1" applyAlignment="1">
      <alignment vertical="center"/>
    </xf>
    <xf numFmtId="40" fontId="3" fillId="0" borderId="1" xfId="0" applyNumberFormat="1" applyFont="1" applyBorder="1" applyAlignment="1">
      <alignment vertical="center"/>
    </xf>
    <xf numFmtId="40" fontId="3" fillId="0" borderId="8" xfId="0" applyNumberFormat="1" applyFont="1" applyBorder="1" applyAlignment="1">
      <alignment vertical="center"/>
    </xf>
    <xf numFmtId="40" fontId="3" fillId="0" borderId="8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0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0" fontId="3" fillId="0" borderId="8" xfId="0" applyNumberFormat="1" applyFont="1" applyBorder="1" applyAlignment="1">
      <alignment horizontal="left" vertical="center"/>
    </xf>
    <xf numFmtId="40" fontId="4" fillId="0" borderId="8" xfId="0" applyNumberFormat="1" applyFont="1" applyBorder="1" applyAlignment="1">
      <alignment horizontal="center" vertical="center"/>
    </xf>
    <xf numFmtId="40" fontId="3" fillId="0" borderId="9" xfId="0" applyNumberFormat="1" applyFont="1" applyBorder="1" applyAlignment="1">
      <alignment vertical="center"/>
    </xf>
    <xf numFmtId="40" fontId="4" fillId="0" borderId="9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vertical="center"/>
    </xf>
    <xf numFmtId="40" fontId="3" fillId="0" borderId="13" xfId="0" applyNumberFormat="1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40" fontId="3" fillId="0" borderId="13" xfId="0" applyNumberFormat="1" applyFon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40" fontId="3" fillId="0" borderId="8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40" fontId="4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0" xfId="0" applyBorder="1"/>
    <xf numFmtId="0" fontId="0" fillId="0" borderId="13" xfId="0" applyBorder="1"/>
    <xf numFmtId="0" fontId="2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40" fontId="1" fillId="0" borderId="13" xfId="0" applyNumberFormat="1" applyFont="1" applyBorder="1" applyAlignment="1">
      <alignment horizontal="center" vertical="center"/>
    </xf>
    <xf numFmtId="165" fontId="1" fillId="0" borderId="13" xfId="0" applyNumberFormat="1" applyFont="1" applyBorder="1" applyAlignment="1">
      <alignment horizontal="center" vertical="center"/>
    </xf>
    <xf numFmtId="0" fontId="3" fillId="0" borderId="0" xfId="0" pivotButton="1" applyFont="1"/>
    <xf numFmtId="40" fontId="3" fillId="0" borderId="0" xfId="0" applyNumberFormat="1" applyFont="1"/>
    <xf numFmtId="166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0" fontId="3" fillId="0" borderId="0" xfId="0" applyFont="1" applyAlignment="1">
      <alignment horizontal="left" indent="6"/>
    </xf>
    <xf numFmtId="0" fontId="3" fillId="0" borderId="0" xfId="0" applyFont="1" applyAlignment="1">
      <alignment horizontal="left" indent="7"/>
    </xf>
    <xf numFmtId="14" fontId="3" fillId="0" borderId="0" xfId="0" applyNumberFormat="1" applyFont="1" applyAlignment="1">
      <alignment horizontal="left" indent="8"/>
    </xf>
    <xf numFmtId="0" fontId="3" fillId="0" borderId="13" xfId="0" applyFont="1" applyBorder="1"/>
    <xf numFmtId="0" fontId="4" fillId="0" borderId="13" xfId="0" applyFont="1" applyBorder="1"/>
    <xf numFmtId="40" fontId="1" fillId="2" borderId="0" xfId="0" applyNumberFormat="1" applyFont="1" applyFill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/>
    <xf numFmtId="40" fontId="2" fillId="0" borderId="13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/>
    <xf numFmtId="0" fontId="3" fillId="0" borderId="13" xfId="0" applyFont="1" applyBorder="1" applyAlignment="1">
      <alignment vertical="center"/>
    </xf>
    <xf numFmtId="167" fontId="3" fillId="0" borderId="0" xfId="0" applyNumberFormat="1" applyFont="1"/>
    <xf numFmtId="164" fontId="3" fillId="0" borderId="13" xfId="0" applyNumberFormat="1" applyFont="1" applyBorder="1" applyAlignment="1">
      <alignment vertical="center"/>
    </xf>
    <xf numFmtId="40" fontId="3" fillId="0" borderId="13" xfId="0" applyNumberFormat="1" applyFont="1" applyBorder="1" applyAlignment="1">
      <alignment horizontal="left" vertical="center" indent="1"/>
    </xf>
    <xf numFmtId="40" fontId="3" fillId="0" borderId="13" xfId="0" quotePrefix="1" applyNumberFormat="1" applyFont="1" applyBorder="1" applyAlignment="1">
      <alignment horizontal="left" vertical="center" indent="1"/>
    </xf>
    <xf numFmtId="0" fontId="4" fillId="0" borderId="0" xfId="0" applyFont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40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40" fontId="3" fillId="0" borderId="8" xfId="0" applyNumberFormat="1" applyFont="1" applyBorder="1" applyAlignment="1">
      <alignment horizontal="left" vertical="center"/>
    </xf>
    <xf numFmtId="40" fontId="3" fillId="0" borderId="13" xfId="0" applyNumberFormat="1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10" fontId="3" fillId="0" borderId="0" xfId="0" applyNumberFormat="1" applyFont="1"/>
    <xf numFmtId="2" fontId="7" fillId="3" borderId="15" xfId="0" applyNumberFormat="1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left" vertical="center" indent="1"/>
    </xf>
    <xf numFmtId="4" fontId="7" fillId="4" borderId="0" xfId="0" applyNumberFormat="1" applyFont="1" applyFill="1" applyAlignment="1">
      <alignment vertical="center"/>
    </xf>
    <xf numFmtId="0" fontId="7" fillId="4" borderId="0" xfId="0" applyFont="1" applyFill="1" applyAlignment="1">
      <alignment horizontal="left" vertical="center" indent="1"/>
    </xf>
    <xf numFmtId="10" fontId="7" fillId="3" borderId="0" xfId="0" applyNumberFormat="1" applyFont="1" applyFill="1" applyAlignment="1">
      <alignment vertical="center"/>
    </xf>
    <xf numFmtId="0" fontId="7" fillId="3" borderId="0" xfId="0" applyFont="1" applyFill="1" applyAlignment="1">
      <alignment horizontal="left" vertical="center" indent="1"/>
    </xf>
    <xf numFmtId="10" fontId="7" fillId="4" borderId="0" xfId="0" applyNumberFormat="1" applyFont="1" applyFill="1" applyAlignment="1">
      <alignment vertical="center"/>
    </xf>
    <xf numFmtId="0" fontId="8" fillId="5" borderId="16" xfId="0" applyFont="1" applyFill="1" applyBorder="1" applyAlignment="1">
      <alignment horizontal="center" vertical="center"/>
    </xf>
    <xf numFmtId="40" fontId="7" fillId="3" borderId="15" xfId="0" applyNumberFormat="1" applyFont="1" applyFill="1" applyBorder="1" applyAlignment="1">
      <alignment horizontal="center" vertical="center"/>
    </xf>
    <xf numFmtId="168" fontId="7" fillId="4" borderId="0" xfId="0" applyNumberFormat="1" applyFont="1" applyFill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4" fontId="10" fillId="6" borderId="18" xfId="0" applyNumberFormat="1" applyFont="1" applyFill="1" applyBorder="1"/>
    <xf numFmtId="4" fontId="10" fillId="6" borderId="12" xfId="0" applyNumberFormat="1" applyFont="1" applyFill="1" applyBorder="1"/>
    <xf numFmtId="4" fontId="10" fillId="6" borderId="19" xfId="0" applyNumberFormat="1" applyFont="1" applyFill="1" applyBorder="1"/>
    <xf numFmtId="4" fontId="10" fillId="6" borderId="6" xfId="0" applyNumberFormat="1" applyFont="1" applyFill="1" applyBorder="1"/>
    <xf numFmtId="4" fontId="10" fillId="6" borderId="13" xfId="0" applyNumberFormat="1" applyFont="1" applyFill="1" applyBorder="1"/>
    <xf numFmtId="4" fontId="10" fillId="6" borderId="5" xfId="0" applyNumberFormat="1" applyFont="1" applyFill="1" applyBorder="1"/>
    <xf numFmtId="4" fontId="10" fillId="6" borderId="20" xfId="0" applyNumberFormat="1" applyFont="1" applyFill="1" applyBorder="1"/>
    <xf numFmtId="4" fontId="10" fillId="6" borderId="10" xfId="0" applyNumberFormat="1" applyFont="1" applyFill="1" applyBorder="1"/>
    <xf numFmtId="4" fontId="10" fillId="6" borderId="17" xfId="0" applyNumberFormat="1" applyFont="1" applyFill="1" applyBorder="1"/>
    <xf numFmtId="4" fontId="10" fillId="6" borderId="19" xfId="0" applyNumberFormat="1" applyFont="1" applyFill="1" applyBorder="1" applyAlignment="1">
      <alignment horizontal="center"/>
    </xf>
    <xf numFmtId="4" fontId="10" fillId="6" borderId="12" xfId="0" applyNumberFormat="1" applyFont="1" applyFill="1" applyBorder="1" applyAlignment="1">
      <alignment horizontal="center"/>
    </xf>
    <xf numFmtId="40" fontId="3" fillId="0" borderId="1" xfId="0" applyNumberFormat="1" applyFont="1" applyBorder="1" applyAlignment="1">
      <alignment horizontal="left" vertical="center"/>
    </xf>
    <xf numFmtId="40" fontId="0" fillId="0" borderId="1" xfId="0" applyNumberForma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40" fontId="0" fillId="0" borderId="1" xfId="0" applyNumberForma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0" fontId="3" fillId="0" borderId="8" xfId="0" applyNumberFormat="1" applyFont="1" applyBorder="1" applyAlignment="1">
      <alignment horizontal="left" vertical="center"/>
    </xf>
    <xf numFmtId="40" fontId="4" fillId="0" borderId="10" xfId="0" applyNumberFormat="1" applyFont="1" applyBorder="1" applyAlignment="1">
      <alignment horizontal="center" vertical="center"/>
    </xf>
    <xf numFmtId="40" fontId="6" fillId="0" borderId="11" xfId="0" applyNumberFormat="1" applyFont="1" applyBorder="1" applyAlignment="1">
      <alignment horizontal="center" vertical="center"/>
    </xf>
    <xf numFmtId="40" fontId="6" fillId="0" borderId="12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" fontId="10" fillId="6" borderId="13" xfId="0" applyNumberFormat="1" applyFont="1" applyFill="1" applyBorder="1" applyAlignment="1">
      <alignment horizontal="center"/>
    </xf>
    <xf numFmtId="4" fontId="10" fillId="6" borderId="5" xfId="0" applyNumberFormat="1" applyFont="1" applyFill="1" applyBorder="1" applyAlignment="1">
      <alignment horizontal="center"/>
    </xf>
    <xf numFmtId="4" fontId="10" fillId="6" borderId="12" xfId="0" applyNumberFormat="1" applyFont="1" applyFill="1" applyBorder="1" applyAlignment="1">
      <alignment horizontal="center"/>
    </xf>
    <xf numFmtId="4" fontId="10" fillId="6" borderId="19" xfId="0" applyNumberFormat="1" applyFont="1" applyFill="1" applyBorder="1" applyAlignment="1">
      <alignment horizontal="center"/>
    </xf>
  </cellXfs>
  <cellStyles count="1">
    <cellStyle name="Normal" xfId="0" builtinId="0"/>
  </cellStyles>
  <dxfs count="840"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9" formatCode="#,##0.00_);[Red]\(#,##0.00\)"/>
    </dxf>
    <dxf>
      <numFmt numFmtId="169" formatCode="#,##0.00_);[Red]\(#,##0.00\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6" formatCode="0.00%_);[Red]\(0.00%\)"/>
    </dxf>
    <dxf>
      <numFmt numFmtId="166" formatCode="0.00%_);[Red]\(0.00%\)"/>
    </dxf>
    <dxf>
      <numFmt numFmtId="169" formatCode="#,##0.00_);[Red]\(#,##0.00\)"/>
    </dxf>
    <dxf>
      <numFmt numFmtId="169" formatCode="#,##0.00_);[Red]\(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TUSD'!$A$13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TUSD'!$B$13:$W$13</c:f>
              <c:numCache>
                <c:formatCode>#,##0.00%_);[Red]\(#,##0.00%\)</c:formatCode>
                <c:ptCount val="22"/>
                <c:pt idx="0">
                  <c:v>0</c:v>
                </c:pt>
                <c:pt idx="1">
                  <c:v>9.6483843630890771E-4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2.808596684849559E-2</c:v>
                </c:pt>
                <c:pt idx="6">
                  <c:v>9.1328355171912106E-3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4.7122424741409909E-2</c:v>
                </c:pt>
                <c:pt idx="13">
                  <c:v>0</c:v>
                </c:pt>
                <c:pt idx="14">
                  <c:v>0</c:v>
                </c:pt>
                <c:pt idx="15">
                  <c:v>0.22098052032320523</c:v>
                </c:pt>
                <c:pt idx="16">
                  <c:v>-3.4610647336984616E-3</c:v>
                </c:pt>
                <c:pt idx="17">
                  <c:v>0</c:v>
                </c:pt>
                <c:pt idx="18">
                  <c:v>7.0639502721495983E-3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D3-4DF9-B693-62ACC1AC6156}"/>
            </c:ext>
          </c:extLst>
        </c:ser>
        <c:ser>
          <c:idx val="1"/>
          <c:order val="1"/>
          <c:tx>
            <c:strRef>
              <c:f>'RESUMO TUSD'!$A$14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TUSD'!$B$14:$W$14</c:f>
              <c:numCache>
                <c:formatCode>#,##0.00%_);[Red]\(#,##0.00%\)</c:formatCode>
                <c:ptCount val="22"/>
                <c:pt idx="0">
                  <c:v>0</c:v>
                </c:pt>
                <c:pt idx="1">
                  <c:v>1.331948963811417E-4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4.6031356834002564E-2</c:v>
                </c:pt>
                <c:pt idx="6">
                  <c:v>1.8564455761678873E-2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7.5854995312633455E-2</c:v>
                </c:pt>
                <c:pt idx="13">
                  <c:v>0</c:v>
                </c:pt>
                <c:pt idx="14">
                  <c:v>0</c:v>
                </c:pt>
                <c:pt idx="15">
                  <c:v>0.12729696087640702</c:v>
                </c:pt>
                <c:pt idx="16">
                  <c:v>-3.1992927725976996E-3</c:v>
                </c:pt>
                <c:pt idx="17">
                  <c:v>0</c:v>
                </c:pt>
                <c:pt idx="18">
                  <c:v>4.906532024379566E-3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D3-4DF9-B693-62ACC1AC6156}"/>
            </c:ext>
          </c:extLst>
        </c:ser>
        <c:ser>
          <c:idx val="2"/>
          <c:order val="2"/>
          <c:tx>
            <c:strRef>
              <c:f>'RESUMO TUSD'!$A$15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TUSD'!$B$15:$W$15</c:f>
              <c:numCache>
                <c:formatCode>#,##0.00%_);[Red]\(#,##0.00%\)</c:formatCode>
                <c:ptCount val="22"/>
                <c:pt idx="0">
                  <c:v>0</c:v>
                </c:pt>
                <c:pt idx="1">
                  <c:v>1.331948963811417E-4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4.6031356834002564E-2</c:v>
                </c:pt>
                <c:pt idx="6">
                  <c:v>1.8564455761678873E-2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7.5854995312633455E-2</c:v>
                </c:pt>
                <c:pt idx="13">
                  <c:v>0</c:v>
                </c:pt>
                <c:pt idx="14">
                  <c:v>0</c:v>
                </c:pt>
                <c:pt idx="15">
                  <c:v>0.12729696087640702</c:v>
                </c:pt>
                <c:pt idx="16">
                  <c:v>-3.1992927725976996E-3</c:v>
                </c:pt>
                <c:pt idx="17">
                  <c:v>0</c:v>
                </c:pt>
                <c:pt idx="18">
                  <c:v>4.906532024379566E-3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D3-4DF9-B693-62ACC1AC6156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13D3-4DF9-B693-62ACC1AC6156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13D3-4DF9-B693-62ACC1AC6156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13D3-4DF9-B693-62ACC1AC6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1796544"/>
        <c:axId val="1034965384"/>
      </c:radarChart>
      <c:catAx>
        <c:axId val="83179654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034965384"/>
        <c:crosses val="autoZero"/>
        <c:auto val="1"/>
        <c:lblAlgn val="ctr"/>
        <c:lblOffset val="100"/>
        <c:noMultiLvlLbl val="0"/>
      </c:catAx>
      <c:valAx>
        <c:axId val="1034965384"/>
        <c:scaling>
          <c:orientation val="minMax"/>
        </c:scaling>
        <c:delete val="0"/>
        <c:axPos val="l"/>
        <c:majorGridlines/>
        <c:numFmt formatCode="#,##0.00%_);[Red]\(#,##0.00%\)" sourceLinked="1"/>
        <c:majorTickMark val="out"/>
        <c:minorTickMark val="none"/>
        <c:tickLblPos val="nextTo"/>
        <c:crossAx val="831796544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TE'!$A$13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TE'!$B$5:$K$5</c:f>
              <c:strCache>
                <c:ptCount val="10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ENERGIA REVENDA</c:v>
                </c:pt>
                <c:pt idx="5">
                  <c:v>ITAIPU</c:v>
                </c:pt>
                <c:pt idx="6">
                  <c:v>TUST ITAIPU</c:v>
                </c:pt>
                <c:pt idx="7">
                  <c:v>TUST CI</c:v>
                </c:pt>
                <c:pt idx="8">
                  <c:v>SUBSIDIO</c:v>
                </c:pt>
                <c:pt idx="9">
                  <c:v>PERDAS RB/C</c:v>
                </c:pt>
              </c:strCache>
            </c:strRef>
          </c:cat>
          <c:val>
            <c:numRef>
              <c:f>'RESUMO TE'!$B$13:$K$13</c:f>
              <c:numCache>
                <c:formatCode>#,##0.00%_);[Red]\(#,##0.00%\)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1.4089345925064761E-2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2.2202930720747163E-2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C1-46E6-829F-F122B6A88CD8}"/>
            </c:ext>
          </c:extLst>
        </c:ser>
        <c:ser>
          <c:idx val="1"/>
          <c:order val="1"/>
          <c:tx>
            <c:strRef>
              <c:f>'RESUMO TE'!$A$14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TE'!$B$5:$K$5</c:f>
              <c:strCache>
                <c:ptCount val="10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ENERGIA REVENDA</c:v>
                </c:pt>
                <c:pt idx="5">
                  <c:v>ITAIPU</c:v>
                </c:pt>
                <c:pt idx="6">
                  <c:v>TUST ITAIPU</c:v>
                </c:pt>
                <c:pt idx="7">
                  <c:v>TUST CI</c:v>
                </c:pt>
                <c:pt idx="8">
                  <c:v>SUBSIDIO</c:v>
                </c:pt>
                <c:pt idx="9">
                  <c:v>PERDAS RB/C</c:v>
                </c:pt>
              </c:strCache>
            </c:strRef>
          </c:cat>
          <c:val>
            <c:numRef>
              <c:f>'RESUMO TE'!$B$14:$K$14</c:f>
              <c:numCache>
                <c:formatCode>#,##0.00%_);[Red]\(#,##0.00%\)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-2.7933842345679934E-3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2.2012782689654432E-2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C1-46E6-829F-F122B6A88CD8}"/>
            </c:ext>
          </c:extLst>
        </c:ser>
        <c:ser>
          <c:idx val="2"/>
          <c:order val="2"/>
          <c:tx>
            <c:strRef>
              <c:f>'RESUMO TE'!$A$15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TE'!$B$5:$K$5</c:f>
              <c:strCache>
                <c:ptCount val="10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ENERGIA REVENDA</c:v>
                </c:pt>
                <c:pt idx="5">
                  <c:v>ITAIPU</c:v>
                </c:pt>
                <c:pt idx="6">
                  <c:v>TUST ITAIPU</c:v>
                </c:pt>
                <c:pt idx="7">
                  <c:v>TUST CI</c:v>
                </c:pt>
                <c:pt idx="8">
                  <c:v>SUBSIDIO</c:v>
                </c:pt>
                <c:pt idx="9">
                  <c:v>PERDAS RB/C</c:v>
                </c:pt>
              </c:strCache>
            </c:strRef>
          </c:cat>
          <c:val>
            <c:numRef>
              <c:f>'RESUMO TE'!$B$15:$K$15</c:f>
              <c:numCache>
                <c:formatCode>#,##0.00%_);[Red]\(#,##0.00%\)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-2.7933842345679934E-3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2.2012782689654432E-2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C1-46E6-829F-F122B6A88CD8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91C1-46E6-829F-F122B6A88CD8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91C1-46E6-829F-F122B6A88CD8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91C1-46E6-829F-F122B6A88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726224"/>
        <c:axId val="828727536"/>
      </c:radarChart>
      <c:catAx>
        <c:axId val="82872622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828727536"/>
        <c:crosses val="autoZero"/>
        <c:auto val="1"/>
        <c:lblAlgn val="ctr"/>
        <c:lblOffset val="100"/>
        <c:noMultiLvlLbl val="0"/>
      </c:catAx>
      <c:valAx>
        <c:axId val="828727536"/>
        <c:scaling>
          <c:orientation val="minMax"/>
        </c:scaling>
        <c:delete val="0"/>
        <c:axPos val="l"/>
        <c:majorGridlines/>
        <c:numFmt formatCode="#,##0.00%_);[Red]\(#,##0.00%\)" sourceLinked="1"/>
        <c:majorTickMark val="out"/>
        <c:minorTickMark val="none"/>
        <c:tickLblPos val="nextTo"/>
        <c:crossAx val="828726224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476251</xdr:colOff>
      <xdr:row>16</xdr:row>
      <xdr:rowOff>0</xdr:rowOff>
    </xdr:from>
    <xdr:to>
      <xdr:col>12</xdr:col>
      <xdr:colOff>314326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1895B1E-988C-EC9E-4D19-B05B0EE9D6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476251</xdr:colOff>
      <xdr:row>16</xdr:row>
      <xdr:rowOff>0</xdr:rowOff>
    </xdr:from>
    <xdr:to>
      <xdr:col>11</xdr:col>
      <xdr:colOff>542926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13D6F44-A81C-EA15-54A4-469FBBEC6D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693.665388310183" createdVersion="5" refreshedVersion="7" minRefreshableVersion="3" recordCount="331" xr:uid="{52902D38-7C44-4987-902B-2C0CA91DD415}">
  <cacheSource type="worksheet">
    <worksheetSource name="Efeito"/>
  </cacheSource>
  <cacheFields count="36">
    <cacheField name="TipoMercado" numFmtId="0">
      <sharedItems/>
    </cacheField>
    <cacheField name="Subgrupo" numFmtId="0">
      <sharedItems count="5">
        <s v="A4"/>
        <s v="B1"/>
        <s v="B2"/>
        <s v="B3"/>
        <s v="B4"/>
      </sharedItems>
    </cacheField>
    <cacheField name="Modalidade" numFmtId="0">
      <sharedItems count="3">
        <s v="Verde"/>
        <s v="Branca"/>
        <s v="Convencional"/>
      </sharedItems>
    </cacheField>
    <cacheField name="Classe" numFmtId="0">
      <sharedItems count="8">
        <s v="Industrial"/>
        <s v="Residencial"/>
        <s v="Rural"/>
        <s v="Comercial"/>
        <s v="Consumo próprio"/>
        <s v="Poder público"/>
        <s v="Serviço público"/>
        <s v="Iluminação pública"/>
      </sharedItems>
    </cacheField>
    <cacheField name="Subclasse" numFmtId="0">
      <sharedItems count="9">
        <s v="Não se aplica"/>
        <s v="Residencial"/>
        <s v="Residencial baixa renda – faixa 01"/>
        <s v="Residencial baixa renda – faixa 02"/>
        <s v="Residencial baixa renda – faixa 03"/>
        <s v="Residencial baixa renda – faixa 04"/>
        <s v="Agropecuária rural"/>
        <s v="Água, esgoto e saneamento"/>
        <s v="Iluminação pública – B4a"/>
      </sharedItems>
    </cacheField>
    <cacheField name="Detalhe" numFmtId="0">
      <sharedItems count="3">
        <s v="Não se aplica"/>
        <s v="IRRIG./AQUIC."/>
        <s v="IRRIG./AQUIC. PR"/>
      </sharedItems>
    </cacheField>
    <cacheField name="Agente" numFmtId="0">
      <sharedItems count="1">
        <s v="Não se aplica"/>
      </sharedItems>
    </cacheField>
    <cacheField name="Posto" numFmtId="0">
      <sharedItems count="4">
        <s v="Fora ponta"/>
        <s v="Não se aplica"/>
        <s v="Ponta"/>
        <s v="Intermediário"/>
      </sharedItems>
    </cacheField>
    <cacheField name="AnoMes" numFmtId="14">
      <sharedItems containsSemiMixedTypes="0" containsNonDate="0" containsDate="1" containsString="0" minDate="2021-05-01T00:00:00" maxDate="2022-04-02T00:00:00" count="12"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</sharedItems>
    </cacheField>
    <cacheField name="D" numFmtId="40">
      <sharedItems containsSemiMixedTypes="0" containsString="0" containsNumber="1" containsInteger="1" minValue="0" maxValue="123"/>
    </cacheField>
    <cacheField name="Daj" numFmtId="40">
      <sharedItems containsSemiMixedTypes="0" containsString="0" containsNumber="1" containsInteger="1" minValue="0" maxValue="123"/>
    </cacheField>
    <cacheField name="TUSD_E" numFmtId="40">
      <sharedItems containsSemiMixedTypes="0" containsString="0" containsNumber="1" minValue="0" maxValue="233.98599999999999"/>
    </cacheField>
    <cacheField name="TUSD_Eaj" numFmtId="40">
      <sharedItems containsSemiMixedTypes="0" containsString="0" containsNumber="1" minValue="0" maxValue="233.98599999999999"/>
    </cacheField>
    <cacheField name="TE_E" numFmtId="40">
      <sharedItems containsSemiMixedTypes="0" containsString="0" containsNumber="1" minValue="0" maxValue="233.98599999999999"/>
    </cacheField>
    <cacheField name="TE_Eaj" numFmtId="40">
      <sharedItems containsSemiMixedTypes="0" containsString="0" containsNumber="1" minValue="0" maxValue="233.98599999999999"/>
    </cacheField>
    <cacheField name="UC" numFmtId="40">
      <sharedItems containsSemiMixedTypes="0" containsString="0" containsNumber="1" containsInteger="1" minValue="0" maxValue="2018"/>
    </cacheField>
    <cacheField name="OPÇÃO" numFmtId="0">
      <sharedItems count="1">
        <s v="CATIVO"/>
      </sharedItems>
    </cacheField>
    <cacheField name="CóD. AUX." numFmtId="0">
      <sharedItems containsSemiMixedTypes="0" containsString="0" containsNumber="1" containsInteger="1" minValue="0" maxValue="0"/>
    </cacheField>
    <cacheField name="CóD. AUX. TUSD R$/kW" numFmtId="40">
      <sharedItems containsSemiMixedTypes="0" containsString="0" containsNumber="1" containsInteger="1" minValue="0" maxValue="6"/>
    </cacheField>
    <cacheField name="CóD. AUX. TUSD R$/MWh" numFmtId="40">
      <sharedItems containsSemiMixedTypes="0" containsString="0" containsNumber="1" containsInteger="1" minValue="0" maxValue="46"/>
    </cacheField>
    <cacheField name="CóD. AUX. TE R$/MWh" numFmtId="40">
      <sharedItems containsSemiMixedTypes="0" containsString="0" containsNumber="1" containsInteger="1" minValue="0" maxValue="83"/>
    </cacheField>
    <cacheField name="TUSD (R$/kW)" numFmtId="40">
      <sharedItems containsSemiMixedTypes="0" containsString="0" containsNumber="1" minValue="0" maxValue="45.2"/>
    </cacheField>
    <cacheField name="TUSD (R$/MWh)" numFmtId="40">
      <sharedItems containsSemiMixedTypes="0" containsString="0" containsNumber="1" minValue="0" maxValue="2345.52"/>
    </cacheField>
    <cacheField name="TE (R$/MWh)" numFmtId="40">
      <sharedItems containsSemiMixedTypes="0" containsString="0" containsNumber="1" minValue="0" maxValue="251.85"/>
    </cacheField>
    <cacheField name="TUSD (R$/kW) NOVA" numFmtId="40">
      <sharedItems containsString="0" containsBlank="1" containsNumber="1" minValue="56.157088999226197" maxValue="56.157088999226197"/>
    </cacheField>
    <cacheField name="TUSD (R$/MWh) NOVA" numFmtId="40">
      <sharedItems containsString="0" containsBlank="1" containsNumber="1" minValue="67.110266993174264" maxValue="3002.9371363543614"/>
    </cacheField>
    <cacheField name="TE (R$/MWh) NOVA" numFmtId="40">
      <sharedItems containsString="0" containsBlank="1" containsNumber="1" minValue="89.552225247916539" maxValue="255.86350070833299"/>
    </cacheField>
    <cacheField name="RA0 ou RV - TUSD (kW)" numFmtId="40">
      <sharedItems containsSemiMixedTypes="0" containsString="0" containsNumber="1" minValue="0" maxValue="5559.6"/>
    </cacheField>
    <cacheField name="RA0 ou RV - TUSD (MWh)" numFmtId="40">
      <sharedItems containsSemiMixedTypes="0" containsString="0" containsNumber="1" minValue="0" maxValue="118711.96347"/>
    </cacheField>
    <cacheField name="RA0 ou RV - TE (MWh)" numFmtId="40">
      <sharedItems containsSemiMixedTypes="0" containsString="0" containsNumber="1" minValue="0" maxValue="58688.353649999997"/>
    </cacheField>
    <cacheField name="RA1 ou RRD - TUSD (kW)" numFmtId="40">
      <sharedItems containsSemiMixedTypes="0" containsString="0" containsNumber="1" minValue="0" maxValue="6907.3219469048227"/>
    </cacheField>
    <cacheField name="RA1 ou RRD - TUSD (MWh)" numFmtId="40">
      <sharedItems containsSemiMixedTypes="0" containsString="0" containsNumber="1" minValue="0" maxValue="153504.05204741698"/>
    </cacheField>
    <cacheField name="RA1 ou RRD - TE (MWh)" numFmtId="40">
      <sharedItems containsSemiMixedTypes="0" containsString="0" containsNumber="1" minValue="0" maxValue="59623.61570656213"/>
    </cacheField>
    <cacheField name="Variação TUSD" numFmtId="0" formula="IF(('RA0 ou RV - TUSD (MWh)'+'RA0 ou RV - TUSD (kW)') &lt;&gt;0,('RA1 ou RRD - TUSD (MWh)'+'RA1 ou RRD - TUSD (kW)') /('RA0 ou RV - TUSD (MWh)'+'RA0 ou RV - TUSD (kW)') -1,0)" databaseField="0"/>
    <cacheField name="Variação TE" numFmtId="0" formula="IF('RA0 ou RV - TE (MWh)'&lt;&gt;0,'RA1 ou RRD - TE (MWh)'/'RA0 ou RV - TE (MWh)'-1,0)" databaseField="0"/>
    <cacheField name="Variação" numFmtId="0" formula="IF(('RA0 ou RV - TUSD (MWh)'+'RA0 ou RV - TUSD (kW)'+'RA0 ou RV - TE (MWh)') &lt;&gt;0,('RA1 ou RRD - TUSD (MWh)'+'RA1 ou RRD - TUSD (kW)'+'RA1 ou RRD - TE (MWh)') /('RA0 ou RV - TUSD (MWh)'+'RA0 ou RV - TUSD (kW)'+'RA0 ou RV - TE (MWh)') -1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693.665443055557" createdVersion="5" refreshedVersion="7" minRefreshableVersion="3" recordCount="156" xr:uid="{91672B33-0DBE-4E01-AADC-6DCA4B068668}">
  <cacheSource type="worksheet">
    <worksheetSource name="Subsidio"/>
  </cacheSource>
  <cacheFields count="34">
    <cacheField name="TipoMercado" numFmtId="0">
      <sharedItems/>
    </cacheField>
    <cacheField name="Subgrupo" numFmtId="0">
      <sharedItems count="3">
        <s v="B1"/>
        <s v="B2"/>
        <s v="B3"/>
      </sharedItems>
    </cacheField>
    <cacheField name="Modalidade" numFmtId="0">
      <sharedItems count="2">
        <s v="Convencional"/>
        <s v="Branca"/>
      </sharedItems>
    </cacheField>
    <cacheField name="Classe" numFmtId="0">
      <sharedItems count="3">
        <s v="Residencial"/>
        <s v="Rural"/>
        <s v="Serviço público"/>
      </sharedItems>
    </cacheField>
    <cacheField name="Subclasse" numFmtId="0">
      <sharedItems count="8">
        <s v="Residencial"/>
        <s v="Residencial baixa renda – faixa 01"/>
        <s v="Residencial baixa renda – faixa 02"/>
        <s v="Residencial baixa renda – faixa 03"/>
        <s v="Residencial baixa renda – faixa 04"/>
        <s v="Não se aplica"/>
        <s v="Agropecuária rural"/>
        <s v="Água, esgoto e saneamento"/>
      </sharedItems>
    </cacheField>
    <cacheField name="Detalhe" numFmtId="0">
      <sharedItems count="3">
        <s v="Não se aplica"/>
        <s v="IRRIG./AQUIC."/>
        <s v="IRRIG./AQUIC. PR"/>
      </sharedItems>
    </cacheField>
    <cacheField name="Agente" numFmtId="0">
      <sharedItems count="1">
        <s v="Não se aplica"/>
      </sharedItems>
    </cacheField>
    <cacheField name="Posto" numFmtId="0">
      <sharedItems count="4">
        <s v="Não se aplica"/>
        <s v="Fora ponta"/>
        <s v="Intermediário"/>
        <s v="Ponta"/>
      </sharedItems>
    </cacheField>
    <cacheField name="AnoMes" numFmtId="14">
      <sharedItems containsSemiMixedTypes="0" containsNonDate="0" containsDate="1" containsString="0" minDate="2021-05-01T00:00:00" maxDate="2022-04-02T00:00:00" count="12"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</sharedItems>
    </cacheField>
    <cacheField name="D" numFmtId="40">
      <sharedItems containsSemiMixedTypes="0" containsString="0" containsNumber="1" containsInteger="1" minValue="0" maxValue="0"/>
    </cacheField>
    <cacheField name="Daj" numFmtId="40">
      <sharedItems containsSemiMixedTypes="0" containsString="0" containsNumber="1" containsInteger="1" minValue="0" maxValue="0"/>
    </cacheField>
    <cacheField name="TUSD_E" numFmtId="40">
      <sharedItems containsSemiMixedTypes="0" containsString="0" containsNumber="1" minValue="0.01" maxValue="233.98599999999999"/>
    </cacheField>
    <cacheField name="TUSD_Eaj" numFmtId="40">
      <sharedItems containsSemiMixedTypes="0" containsString="0" containsNumber="1" minValue="0.01" maxValue="233.98599999999999"/>
    </cacheField>
    <cacheField name="TE_E" numFmtId="40">
      <sharedItems containsSemiMixedTypes="0" containsString="0" containsNumber="1" minValue="0.01" maxValue="233.98599999999999"/>
    </cacheField>
    <cacheField name="TE_Eaj" numFmtId="40">
      <sharedItems containsSemiMixedTypes="0" containsString="0" containsNumber="1" minValue="0.01" maxValue="233.98599999999999"/>
    </cacheField>
    <cacheField name="UC" numFmtId="40">
      <sharedItems containsSemiMixedTypes="0" containsString="0" containsNumber="1" containsInteger="1" minValue="0" maxValue="1979"/>
    </cacheField>
    <cacheField name="OPÇÃO" numFmtId="0">
      <sharedItems/>
    </cacheField>
    <cacheField name="CóD. AUX." numFmtId="0">
      <sharedItems containsSemiMixedTypes="0" containsString="0" containsNumber="1" containsInteger="1" minValue="0" maxValue="0"/>
    </cacheField>
    <cacheField name="CóD. AUX. TUSD R$/kW" numFmtId="0">
      <sharedItems containsSemiMixedTypes="0" containsString="0" containsNumber="1" containsInteger="1" minValue="0" maxValue="0"/>
    </cacheField>
    <cacheField name="CóD. AUX. TUSD R$/MWh" numFmtId="0">
      <sharedItems containsSemiMixedTypes="0" containsString="0" containsNumber="1" containsInteger="1" minValue="16" maxValue="44"/>
    </cacheField>
    <cacheField name="CóD. AUX. TE R$/MWh" numFmtId="0">
      <sharedItems containsSemiMixedTypes="0" containsString="0" containsNumber="1" containsInteger="1" minValue="53" maxValue="81"/>
    </cacheField>
    <cacheField name="TUSD (R$/kW)" numFmtId="40">
      <sharedItems containsSemiMixedTypes="0" containsString="0" containsNumber="1" containsInteger="1" minValue="0" maxValue="0"/>
    </cacheField>
    <cacheField name="TUSD (R$/MWh)" numFmtId="40">
      <sharedItems containsSemiMixedTypes="0" containsString="0" containsNumber="1" minValue="166.1" maxValue="1091.18"/>
    </cacheField>
    <cacheField name="TE (R$/MWh)" numFmtId="40">
      <sharedItems containsSemiMixedTypes="0" containsString="0" containsNumber="1" minValue="88.15" maxValue="251.85"/>
    </cacheField>
    <cacheField name="TUSD (R$/kW) NOVA" numFmtId="40">
      <sharedItems containsNonDate="0" containsString="0" containsBlank="1"/>
    </cacheField>
    <cacheField name="TUSD (R$/MWh) NOVA" numFmtId="40">
      <sharedItems containsSemiMixedTypes="0" containsString="0" containsNumber="1" minValue="211.03577911604813" maxValue="1502.0208840343589"/>
    </cacheField>
    <cacheField name="TE (R$/MWh) NOVA" numFmtId="40">
      <sharedItems containsSemiMixedTypes="0" containsString="0" containsNumber="1" minValue="89.552225247916539" maxValue="255.86350070833299"/>
    </cacheField>
    <cacheField name="SUBSIDIO kW - TV" numFmtId="40">
      <sharedItems containsSemiMixedTypes="0" containsString="0" containsNumber="1" containsInteger="1" minValue="0" maxValue="0"/>
    </cacheField>
    <cacheField name="SUBSIDIO MWh - TV" numFmtId="40">
      <sharedItems containsSemiMixedTypes="0" containsString="0" containsNumber="1" minValue="-4.6387071961362385E-13" maxValue="36375.976799999997"/>
    </cacheField>
    <cacheField name="SUBSIDIO kW - TN" numFmtId="40">
      <sharedItems containsSemiMixedTypes="0" containsString="0" containsNumber="1" containsInteger="1" minValue="0" maxValue="0"/>
    </cacheField>
    <cacheField name="SUBSIDIO MWh - TN" numFmtId="40">
      <sharedItems containsSemiMixedTypes="0" containsString="0" containsNumber="1" minValue="-9.277414392272477E-13" maxValue="43006.41401865684"/>
    </cacheField>
    <cacheField name="TIPO" numFmtId="0">
      <sharedItems containsBlank="1" count="5">
        <m/>
        <s v="SUBSIDIO BAIXA RENDA"/>
        <s v="SUBSIDIO RURAL"/>
        <s v="SUBSIDIO IRRIGANTE/AQUICULTOR"/>
        <s v="SUBSIDIO ÁGUA, ESGOTO E SANEAMENTO"/>
      </sharedItems>
    </cacheField>
    <cacheField name="TOTAL TV" numFmtId="0" formula="'SUBSIDIO kW - TV'+'SUBSIDIO MWh - TV'" databaseField="0"/>
    <cacheField name="TOTAL TN" numFmtId="0" formula="'SUBSIDIO kW - TN'+'SUBSIDIO MWh - TN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1">
  <r>
    <s v="Regular"/>
    <x v="0"/>
    <x v="0"/>
    <x v="0"/>
    <x v="0"/>
    <x v="0"/>
    <x v="0"/>
    <x v="0"/>
    <x v="0"/>
    <n v="0"/>
    <n v="0"/>
    <n v="20.687999999999999"/>
    <n v="20.687999999999999"/>
    <n v="20.687999999999999"/>
    <n v="20.687999999999999"/>
    <n v="0"/>
    <x v="0"/>
    <n v="0"/>
    <n v="0"/>
    <n v="8"/>
    <n v="49"/>
    <n v="0"/>
    <n v="48.17"/>
    <n v="251.85"/>
    <m/>
    <n v="67.110266993174264"/>
    <n v="255.86350070833299"/>
    <n v="0"/>
    <n v="996.54095999999993"/>
    <n v="5210.2727999999997"/>
    <n v="0"/>
    <n v="1388.377203554789"/>
    <n v="5293.3041026539922"/>
  </r>
  <r>
    <s v="Regular"/>
    <x v="0"/>
    <x v="0"/>
    <x v="0"/>
    <x v="0"/>
    <x v="0"/>
    <x v="0"/>
    <x v="0"/>
    <x v="1"/>
    <n v="0"/>
    <n v="0"/>
    <n v="22.076000000000001"/>
    <n v="22.076000000000001"/>
    <n v="22.076000000000001"/>
    <n v="22.076000000000001"/>
    <n v="0"/>
    <x v="0"/>
    <n v="0"/>
    <n v="0"/>
    <n v="8"/>
    <n v="49"/>
    <n v="0"/>
    <n v="48.17"/>
    <n v="251.85"/>
    <m/>
    <n v="67.110266993174264"/>
    <n v="255.86350070833299"/>
    <n v="0"/>
    <n v="1063.40092"/>
    <n v="5559.8406000000004"/>
    <n v="0"/>
    <n v="1481.5262541413151"/>
    <n v="5648.4426416371589"/>
  </r>
  <r>
    <s v="Regular"/>
    <x v="0"/>
    <x v="0"/>
    <x v="0"/>
    <x v="0"/>
    <x v="0"/>
    <x v="0"/>
    <x v="0"/>
    <x v="2"/>
    <n v="0"/>
    <n v="0"/>
    <n v="22.064"/>
    <n v="22.064"/>
    <n v="22.064"/>
    <n v="22.064"/>
    <n v="0"/>
    <x v="0"/>
    <n v="0"/>
    <n v="0"/>
    <n v="8"/>
    <n v="49"/>
    <n v="0"/>
    <n v="48.17"/>
    <n v="251.85"/>
    <m/>
    <n v="67.110266993174264"/>
    <n v="255.86350070833299"/>
    <n v="0"/>
    <n v="1062.8228799999999"/>
    <n v="5556.8184000000001"/>
    <n v="0"/>
    <n v="1480.720930937397"/>
    <n v="5645.3722796286593"/>
  </r>
  <r>
    <s v="Regular"/>
    <x v="0"/>
    <x v="0"/>
    <x v="0"/>
    <x v="0"/>
    <x v="0"/>
    <x v="0"/>
    <x v="0"/>
    <x v="3"/>
    <n v="0"/>
    <n v="0"/>
    <n v="24.585999999999999"/>
    <n v="24.585999999999999"/>
    <n v="24.585999999999999"/>
    <n v="24.585999999999999"/>
    <n v="0"/>
    <x v="0"/>
    <n v="0"/>
    <n v="0"/>
    <n v="8"/>
    <n v="49"/>
    <n v="0"/>
    <n v="48.17"/>
    <n v="251.85"/>
    <m/>
    <n v="67.110266993174264"/>
    <n v="255.86350070833299"/>
    <n v="0"/>
    <n v="1184.30762"/>
    <n v="6191.9840999999997"/>
    <n v="0"/>
    <n v="1649.9730242941823"/>
    <n v="6290.6600284150745"/>
  </r>
  <r>
    <s v="Regular"/>
    <x v="0"/>
    <x v="0"/>
    <x v="0"/>
    <x v="0"/>
    <x v="0"/>
    <x v="0"/>
    <x v="0"/>
    <x v="4"/>
    <n v="0"/>
    <n v="0"/>
    <n v="30.41"/>
    <n v="30.41"/>
    <n v="30.41"/>
    <n v="30.41"/>
    <n v="0"/>
    <x v="0"/>
    <n v="0"/>
    <n v="0"/>
    <n v="8"/>
    <n v="49"/>
    <n v="0"/>
    <n v="48.17"/>
    <n v="251.85"/>
    <m/>
    <n v="67.110266993174264"/>
    <n v="255.86350070833299"/>
    <n v="0"/>
    <n v="1464.8497"/>
    <n v="7658.7584999999999"/>
    <n v="0"/>
    <n v="2040.8232192624293"/>
    <n v="7780.8090565404063"/>
  </r>
  <r>
    <s v="Regular"/>
    <x v="0"/>
    <x v="0"/>
    <x v="0"/>
    <x v="0"/>
    <x v="0"/>
    <x v="0"/>
    <x v="0"/>
    <x v="5"/>
    <n v="0"/>
    <n v="0"/>
    <n v="27.844000000000001"/>
    <n v="27.844000000000001"/>
    <n v="27.844000000000001"/>
    <n v="27.844000000000001"/>
    <n v="0"/>
    <x v="0"/>
    <n v="0"/>
    <n v="0"/>
    <n v="8"/>
    <n v="49"/>
    <n v="0"/>
    <n v="48.17"/>
    <n v="251.85"/>
    <m/>
    <n v="67.110266993174264"/>
    <n v="255.86350070833299"/>
    <n v="0"/>
    <n v="1341.24548"/>
    <n v="7012.5114000000003"/>
    <n v="0"/>
    <n v="1868.6182741579444"/>
    <n v="7124.263313722824"/>
  </r>
  <r>
    <s v="Regular"/>
    <x v="0"/>
    <x v="0"/>
    <x v="0"/>
    <x v="0"/>
    <x v="0"/>
    <x v="0"/>
    <x v="0"/>
    <x v="6"/>
    <n v="0"/>
    <n v="0"/>
    <n v="30.475000000000001"/>
    <n v="30.475000000000001"/>
    <n v="30.475000000000001"/>
    <n v="30.475000000000001"/>
    <n v="0"/>
    <x v="0"/>
    <n v="0"/>
    <n v="0"/>
    <n v="8"/>
    <n v="49"/>
    <n v="0"/>
    <n v="48.17"/>
    <n v="251.85"/>
    <m/>
    <n v="67.110266993174264"/>
    <n v="255.86350070833299"/>
    <n v="0"/>
    <n v="1467.9807500000002"/>
    <n v="7675.1287499999999"/>
    <n v="0"/>
    <n v="2045.1853866169859"/>
    <n v="7797.4401840864484"/>
  </r>
  <r>
    <s v="Regular"/>
    <x v="0"/>
    <x v="0"/>
    <x v="0"/>
    <x v="0"/>
    <x v="0"/>
    <x v="0"/>
    <x v="0"/>
    <x v="7"/>
    <n v="0"/>
    <n v="0"/>
    <n v="31.911000000000001"/>
    <n v="31.911000000000001"/>
    <n v="31.911000000000001"/>
    <n v="31.911000000000001"/>
    <n v="0"/>
    <x v="0"/>
    <n v="0"/>
    <n v="0"/>
    <n v="8"/>
    <n v="49"/>
    <n v="0"/>
    <n v="48.17"/>
    <n v="251.85"/>
    <m/>
    <n v="67.110266993174264"/>
    <n v="255.86350070833299"/>
    <n v="0"/>
    <n v="1537.1528700000001"/>
    <n v="8036.7853500000001"/>
    <n v="0"/>
    <n v="2141.555730019184"/>
    <n v="8164.8601711036144"/>
  </r>
  <r>
    <s v="Regular"/>
    <x v="0"/>
    <x v="0"/>
    <x v="0"/>
    <x v="0"/>
    <x v="0"/>
    <x v="0"/>
    <x v="0"/>
    <x v="8"/>
    <n v="0"/>
    <n v="0"/>
    <n v="23.591000000000001"/>
    <n v="23.591000000000001"/>
    <n v="23.591000000000001"/>
    <n v="23.591000000000001"/>
    <n v="0"/>
    <x v="0"/>
    <n v="0"/>
    <n v="0"/>
    <n v="8"/>
    <n v="49"/>
    <n v="0"/>
    <n v="48.17"/>
    <n v="251.85"/>
    <m/>
    <n v="67.110266993174264"/>
    <n v="255.86350070833299"/>
    <n v="0"/>
    <n v="1136.3784700000001"/>
    <n v="5941.3933500000003"/>
    <n v="0"/>
    <n v="1583.1983086359742"/>
    <n v="6036.0758452102837"/>
  </r>
  <r>
    <s v="Regular"/>
    <x v="0"/>
    <x v="0"/>
    <x v="0"/>
    <x v="0"/>
    <x v="0"/>
    <x v="0"/>
    <x v="0"/>
    <x v="9"/>
    <n v="0"/>
    <n v="0"/>
    <n v="23.384"/>
    <n v="23.384"/>
    <n v="23.384"/>
    <n v="23.384"/>
    <n v="0"/>
    <x v="0"/>
    <n v="0"/>
    <n v="0"/>
    <n v="8"/>
    <n v="49"/>
    <n v="0"/>
    <n v="48.17"/>
    <n v="251.85"/>
    <m/>
    <n v="67.110266993174264"/>
    <n v="255.86350070833299"/>
    <n v="0"/>
    <n v="1126.4072800000001"/>
    <n v="5889.2604000000001"/>
    <n v="0"/>
    <n v="1569.306483368387"/>
    <n v="5983.1121005636587"/>
  </r>
  <r>
    <s v="Regular"/>
    <x v="0"/>
    <x v="0"/>
    <x v="0"/>
    <x v="0"/>
    <x v="0"/>
    <x v="0"/>
    <x v="0"/>
    <x v="10"/>
    <n v="0"/>
    <n v="0"/>
    <n v="27.555"/>
    <n v="27.555"/>
    <n v="27.555"/>
    <n v="27.555"/>
    <n v="0"/>
    <x v="0"/>
    <n v="0"/>
    <n v="0"/>
    <n v="8"/>
    <n v="49"/>
    <n v="0"/>
    <n v="48.17"/>
    <n v="251.85"/>
    <m/>
    <n v="67.110266993174264"/>
    <n v="255.86350070833299"/>
    <n v="0"/>
    <n v="1327.3243500000001"/>
    <n v="6939.7267499999998"/>
    <n v="0"/>
    <n v="1849.2234069969168"/>
    <n v="7050.3187620181152"/>
  </r>
  <r>
    <s v="Regular"/>
    <x v="0"/>
    <x v="0"/>
    <x v="0"/>
    <x v="0"/>
    <x v="0"/>
    <x v="0"/>
    <x v="0"/>
    <x v="11"/>
    <n v="0"/>
    <n v="0"/>
    <n v="25.942"/>
    <n v="25.942"/>
    <n v="25.942"/>
    <n v="25.942"/>
    <n v="0"/>
    <x v="0"/>
    <n v="0"/>
    <n v="0"/>
    <n v="8"/>
    <n v="49"/>
    <n v="0"/>
    <n v="48.17"/>
    <n v="251.85"/>
    <m/>
    <n v="67.110266993174264"/>
    <n v="255.86350070833299"/>
    <n v="0"/>
    <n v="1249.6261400000001"/>
    <n v="6533.4926999999998"/>
    <n v="0"/>
    <n v="1740.9745463369268"/>
    <n v="6637.6109353755746"/>
  </r>
  <r>
    <s v="Regular"/>
    <x v="0"/>
    <x v="0"/>
    <x v="0"/>
    <x v="0"/>
    <x v="0"/>
    <x v="0"/>
    <x v="1"/>
    <x v="0"/>
    <n v="120"/>
    <n v="120"/>
    <n v="0"/>
    <n v="0"/>
    <n v="0"/>
    <n v="0"/>
    <n v="1"/>
    <x v="0"/>
    <n v="0"/>
    <n v="6"/>
    <n v="0"/>
    <n v="0"/>
    <n v="45.2"/>
    <n v="0"/>
    <n v="0"/>
    <n v="56.157088999226197"/>
    <m/>
    <m/>
    <n v="5424"/>
    <n v="0"/>
    <n v="0"/>
    <n v="6738.8506799071438"/>
    <n v="0"/>
    <n v="0"/>
  </r>
  <r>
    <s v="Regular"/>
    <x v="0"/>
    <x v="0"/>
    <x v="0"/>
    <x v="0"/>
    <x v="0"/>
    <x v="0"/>
    <x v="1"/>
    <x v="1"/>
    <n v="120"/>
    <n v="120"/>
    <n v="0"/>
    <n v="0"/>
    <n v="0"/>
    <n v="0"/>
    <n v="1"/>
    <x v="0"/>
    <n v="0"/>
    <n v="6"/>
    <n v="0"/>
    <n v="0"/>
    <n v="45.2"/>
    <n v="0"/>
    <n v="0"/>
    <n v="56.157088999226197"/>
    <m/>
    <m/>
    <n v="5424"/>
    <n v="0"/>
    <n v="0"/>
    <n v="6738.8506799071438"/>
    <n v="0"/>
    <n v="0"/>
  </r>
  <r>
    <s v="Regular"/>
    <x v="0"/>
    <x v="0"/>
    <x v="0"/>
    <x v="0"/>
    <x v="0"/>
    <x v="0"/>
    <x v="1"/>
    <x v="2"/>
    <n v="120"/>
    <n v="120"/>
    <n v="0"/>
    <n v="0"/>
    <n v="0"/>
    <n v="0"/>
    <n v="1"/>
    <x v="0"/>
    <n v="0"/>
    <n v="6"/>
    <n v="0"/>
    <n v="0"/>
    <n v="45.2"/>
    <n v="0"/>
    <n v="0"/>
    <n v="56.157088999226197"/>
    <m/>
    <m/>
    <n v="5424"/>
    <n v="0"/>
    <n v="0"/>
    <n v="6738.8506799071438"/>
    <n v="0"/>
    <n v="0"/>
  </r>
  <r>
    <s v="Regular"/>
    <x v="0"/>
    <x v="0"/>
    <x v="0"/>
    <x v="0"/>
    <x v="0"/>
    <x v="0"/>
    <x v="1"/>
    <x v="3"/>
    <n v="120"/>
    <n v="120"/>
    <n v="0"/>
    <n v="0"/>
    <n v="0"/>
    <n v="0"/>
    <n v="1"/>
    <x v="0"/>
    <n v="0"/>
    <n v="6"/>
    <n v="0"/>
    <n v="0"/>
    <n v="45.2"/>
    <n v="0"/>
    <n v="0"/>
    <n v="56.157088999226197"/>
    <m/>
    <m/>
    <n v="5424"/>
    <n v="0"/>
    <n v="0"/>
    <n v="6738.8506799071438"/>
    <n v="0"/>
    <n v="0"/>
  </r>
  <r>
    <s v="Regular"/>
    <x v="0"/>
    <x v="0"/>
    <x v="0"/>
    <x v="0"/>
    <x v="0"/>
    <x v="0"/>
    <x v="1"/>
    <x v="4"/>
    <n v="120"/>
    <n v="120"/>
    <n v="0"/>
    <n v="0"/>
    <n v="0"/>
    <n v="0"/>
    <n v="1"/>
    <x v="0"/>
    <n v="0"/>
    <n v="6"/>
    <n v="0"/>
    <n v="0"/>
    <n v="45.2"/>
    <n v="0"/>
    <n v="0"/>
    <n v="56.157088999226197"/>
    <m/>
    <m/>
    <n v="5424"/>
    <n v="0"/>
    <n v="0"/>
    <n v="6738.8506799071438"/>
    <n v="0"/>
    <n v="0"/>
  </r>
  <r>
    <s v="Regular"/>
    <x v="0"/>
    <x v="0"/>
    <x v="0"/>
    <x v="0"/>
    <x v="0"/>
    <x v="0"/>
    <x v="1"/>
    <x v="5"/>
    <n v="123"/>
    <n v="123"/>
    <n v="0"/>
    <n v="0"/>
    <n v="0"/>
    <n v="0"/>
    <n v="1"/>
    <x v="0"/>
    <n v="0"/>
    <n v="6"/>
    <n v="0"/>
    <n v="0"/>
    <n v="45.2"/>
    <n v="0"/>
    <n v="0"/>
    <n v="56.157088999226197"/>
    <m/>
    <m/>
    <n v="5559.6"/>
    <n v="0"/>
    <n v="0"/>
    <n v="6907.3219469048227"/>
    <n v="0"/>
    <n v="0"/>
  </r>
  <r>
    <s v="Regular"/>
    <x v="0"/>
    <x v="0"/>
    <x v="0"/>
    <x v="0"/>
    <x v="0"/>
    <x v="0"/>
    <x v="1"/>
    <x v="6"/>
    <n v="120"/>
    <n v="120"/>
    <n v="0"/>
    <n v="0"/>
    <n v="0"/>
    <n v="0"/>
    <n v="1"/>
    <x v="0"/>
    <n v="0"/>
    <n v="6"/>
    <n v="0"/>
    <n v="0"/>
    <n v="45.2"/>
    <n v="0"/>
    <n v="0"/>
    <n v="56.157088999226197"/>
    <m/>
    <m/>
    <n v="5424"/>
    <n v="0"/>
    <n v="0"/>
    <n v="6738.8506799071438"/>
    <n v="0"/>
    <n v="0"/>
  </r>
  <r>
    <s v="Regular"/>
    <x v="0"/>
    <x v="0"/>
    <x v="0"/>
    <x v="0"/>
    <x v="0"/>
    <x v="0"/>
    <x v="1"/>
    <x v="7"/>
    <n v="120"/>
    <n v="120"/>
    <n v="0"/>
    <n v="0"/>
    <n v="0"/>
    <n v="0"/>
    <n v="1"/>
    <x v="0"/>
    <n v="0"/>
    <n v="6"/>
    <n v="0"/>
    <n v="0"/>
    <n v="45.2"/>
    <n v="0"/>
    <n v="0"/>
    <n v="56.157088999226197"/>
    <m/>
    <m/>
    <n v="5424"/>
    <n v="0"/>
    <n v="0"/>
    <n v="6738.8506799071438"/>
    <n v="0"/>
    <n v="0"/>
  </r>
  <r>
    <s v="Regular"/>
    <x v="0"/>
    <x v="0"/>
    <x v="0"/>
    <x v="0"/>
    <x v="0"/>
    <x v="0"/>
    <x v="1"/>
    <x v="8"/>
    <n v="120"/>
    <n v="120"/>
    <n v="0"/>
    <n v="0"/>
    <n v="0"/>
    <n v="0"/>
    <n v="1"/>
    <x v="0"/>
    <n v="0"/>
    <n v="6"/>
    <n v="0"/>
    <n v="0"/>
    <n v="45.2"/>
    <n v="0"/>
    <n v="0"/>
    <n v="56.157088999226197"/>
    <m/>
    <m/>
    <n v="5424"/>
    <n v="0"/>
    <n v="0"/>
    <n v="6738.8506799071438"/>
    <n v="0"/>
    <n v="0"/>
  </r>
  <r>
    <s v="Regular"/>
    <x v="0"/>
    <x v="0"/>
    <x v="0"/>
    <x v="0"/>
    <x v="0"/>
    <x v="0"/>
    <x v="1"/>
    <x v="9"/>
    <n v="120"/>
    <n v="120"/>
    <n v="0"/>
    <n v="0"/>
    <n v="0"/>
    <n v="0"/>
    <n v="1"/>
    <x v="0"/>
    <n v="0"/>
    <n v="6"/>
    <n v="0"/>
    <n v="0"/>
    <n v="45.2"/>
    <n v="0"/>
    <n v="0"/>
    <n v="56.157088999226197"/>
    <m/>
    <m/>
    <n v="5424"/>
    <n v="0"/>
    <n v="0"/>
    <n v="6738.8506799071438"/>
    <n v="0"/>
    <n v="0"/>
  </r>
  <r>
    <s v="Regular"/>
    <x v="0"/>
    <x v="0"/>
    <x v="0"/>
    <x v="0"/>
    <x v="0"/>
    <x v="0"/>
    <x v="1"/>
    <x v="10"/>
    <n v="122"/>
    <n v="122"/>
    <n v="0"/>
    <n v="0"/>
    <n v="0"/>
    <n v="0"/>
    <n v="1"/>
    <x v="0"/>
    <n v="0"/>
    <n v="6"/>
    <n v="0"/>
    <n v="0"/>
    <n v="45.2"/>
    <n v="0"/>
    <n v="0"/>
    <n v="56.157088999226197"/>
    <m/>
    <m/>
    <n v="5514.4000000000005"/>
    <n v="0"/>
    <n v="0"/>
    <n v="6851.1648579055964"/>
    <n v="0"/>
    <n v="0"/>
  </r>
  <r>
    <s v="Regular"/>
    <x v="0"/>
    <x v="0"/>
    <x v="0"/>
    <x v="0"/>
    <x v="0"/>
    <x v="0"/>
    <x v="1"/>
    <x v="11"/>
    <n v="120"/>
    <n v="120"/>
    <n v="0"/>
    <n v="0"/>
    <n v="0"/>
    <n v="0"/>
    <n v="1"/>
    <x v="0"/>
    <n v="0"/>
    <n v="6"/>
    <n v="0"/>
    <n v="0"/>
    <n v="45.2"/>
    <n v="0"/>
    <n v="0"/>
    <n v="56.157088999226197"/>
    <m/>
    <m/>
    <n v="5424"/>
    <n v="0"/>
    <n v="0"/>
    <n v="6738.8506799071438"/>
    <n v="0"/>
    <n v="0"/>
  </r>
  <r>
    <s v="Regular"/>
    <x v="0"/>
    <x v="0"/>
    <x v="0"/>
    <x v="0"/>
    <x v="0"/>
    <x v="0"/>
    <x v="2"/>
    <x v="0"/>
    <n v="0"/>
    <n v="0"/>
    <n v="0.17"/>
    <n v="0.17"/>
    <n v="0.17"/>
    <n v="0.17"/>
    <n v="0"/>
    <x v="0"/>
    <n v="0"/>
    <n v="0"/>
    <n v="7"/>
    <n v="48"/>
    <n v="0"/>
    <n v="2345.52"/>
    <n v="251.85"/>
    <m/>
    <n v="3002.9371363543614"/>
    <n v="255.86350070833299"/>
    <n v="0"/>
    <n v="398.73840000000001"/>
    <n v="42.814500000000002"/>
    <n v="0"/>
    <n v="510.49931318024147"/>
    <n v="43.496795120416614"/>
  </r>
  <r>
    <s v="Regular"/>
    <x v="0"/>
    <x v="0"/>
    <x v="0"/>
    <x v="0"/>
    <x v="0"/>
    <x v="0"/>
    <x v="2"/>
    <x v="1"/>
    <n v="0"/>
    <n v="0"/>
    <n v="0.17599999999999999"/>
    <n v="0.17599999999999999"/>
    <n v="0.17599999999999999"/>
    <n v="0.17599999999999999"/>
    <n v="0"/>
    <x v="0"/>
    <n v="0"/>
    <n v="0"/>
    <n v="7"/>
    <n v="48"/>
    <n v="0"/>
    <n v="2345.52"/>
    <n v="251.85"/>
    <m/>
    <n v="3002.9371363543614"/>
    <n v="255.86350070833299"/>
    <n v="0"/>
    <n v="412.81151999999997"/>
    <n v="44.325599999999994"/>
    <n v="0"/>
    <n v="528.51693599836756"/>
    <n v="45.031976124666606"/>
  </r>
  <r>
    <s v="Regular"/>
    <x v="0"/>
    <x v="0"/>
    <x v="0"/>
    <x v="0"/>
    <x v="0"/>
    <x v="0"/>
    <x v="2"/>
    <x v="2"/>
    <n v="0"/>
    <n v="0"/>
    <n v="0.23699999999999999"/>
    <n v="0.23699999999999999"/>
    <n v="0.23699999999999999"/>
    <n v="0.23699999999999999"/>
    <n v="0"/>
    <x v="0"/>
    <n v="0"/>
    <n v="0"/>
    <n v="7"/>
    <n v="48"/>
    <n v="0"/>
    <n v="2345.52"/>
    <n v="251.85"/>
    <m/>
    <n v="3002.9371363543614"/>
    <n v="255.86350070833299"/>
    <n v="0"/>
    <n v="555.88824"/>
    <n v="59.688449999999996"/>
    <n v="0"/>
    <n v="711.69610131598358"/>
    <n v="60.639649667874913"/>
  </r>
  <r>
    <s v="Regular"/>
    <x v="0"/>
    <x v="0"/>
    <x v="0"/>
    <x v="0"/>
    <x v="0"/>
    <x v="0"/>
    <x v="2"/>
    <x v="3"/>
    <n v="0"/>
    <n v="0"/>
    <n v="0.28000000000000003"/>
    <n v="0.28000000000000003"/>
    <n v="0.28000000000000003"/>
    <n v="0.28000000000000003"/>
    <n v="0"/>
    <x v="0"/>
    <n v="0"/>
    <n v="0"/>
    <n v="7"/>
    <n v="48"/>
    <n v="0"/>
    <n v="2345.52"/>
    <n v="251.85"/>
    <m/>
    <n v="3002.9371363543614"/>
    <n v="255.86350070833299"/>
    <n v="0"/>
    <n v="656.74560000000008"/>
    <n v="70.518000000000001"/>
    <n v="0"/>
    <n v="840.8223981792213"/>
    <n v="71.641780198333251"/>
  </r>
  <r>
    <s v="Regular"/>
    <x v="0"/>
    <x v="0"/>
    <x v="0"/>
    <x v="0"/>
    <x v="0"/>
    <x v="0"/>
    <x v="2"/>
    <x v="4"/>
    <n v="0"/>
    <n v="0"/>
    <n v="0.21299999999999999"/>
    <n v="0.21299999999999999"/>
    <n v="0.21299999999999999"/>
    <n v="0.21299999999999999"/>
    <n v="0"/>
    <x v="0"/>
    <n v="0"/>
    <n v="0"/>
    <n v="7"/>
    <n v="48"/>
    <n v="0"/>
    <n v="2345.52"/>
    <n v="251.85"/>
    <m/>
    <n v="3002.9371363543614"/>
    <n v="255.86350070833299"/>
    <n v="0"/>
    <n v="499.59575999999998"/>
    <n v="53.64405"/>
    <n v="0"/>
    <n v="639.62561004347901"/>
    <n v="54.498925650874924"/>
  </r>
  <r>
    <s v="Regular"/>
    <x v="0"/>
    <x v="0"/>
    <x v="0"/>
    <x v="0"/>
    <x v="0"/>
    <x v="0"/>
    <x v="2"/>
    <x v="5"/>
    <n v="0"/>
    <n v="0"/>
    <n v="0.14199999999999999"/>
    <n v="0.14199999999999999"/>
    <n v="0.14199999999999999"/>
    <n v="0.14199999999999999"/>
    <n v="0"/>
    <x v="0"/>
    <n v="0"/>
    <n v="0"/>
    <n v="7"/>
    <n v="48"/>
    <n v="0"/>
    <n v="2345.52"/>
    <n v="251.85"/>
    <m/>
    <n v="3002.9371363543614"/>
    <n v="255.86350070833299"/>
    <n v="0"/>
    <n v="333.06383999999997"/>
    <n v="35.762699999999995"/>
    <n v="0"/>
    <n v="426.41707336231929"/>
    <n v="36.332617100583285"/>
  </r>
  <r>
    <s v="Regular"/>
    <x v="0"/>
    <x v="0"/>
    <x v="0"/>
    <x v="0"/>
    <x v="0"/>
    <x v="0"/>
    <x v="2"/>
    <x v="6"/>
    <n v="0"/>
    <n v="0"/>
    <n v="0.18"/>
    <n v="0.18"/>
    <n v="0.18"/>
    <n v="0.18"/>
    <n v="0"/>
    <x v="0"/>
    <n v="0"/>
    <n v="0"/>
    <n v="7"/>
    <n v="48"/>
    <n v="0"/>
    <n v="2345.52"/>
    <n v="251.85"/>
    <m/>
    <n v="3002.9371363543614"/>
    <n v="255.86350070833299"/>
    <n v="0"/>
    <n v="422.1936"/>
    <n v="45.332999999999998"/>
    <n v="0"/>
    <n v="540.52868454378506"/>
    <n v="46.055430127499939"/>
  </r>
  <r>
    <s v="Regular"/>
    <x v="0"/>
    <x v="0"/>
    <x v="0"/>
    <x v="0"/>
    <x v="0"/>
    <x v="0"/>
    <x v="2"/>
    <x v="7"/>
    <n v="0"/>
    <n v="0"/>
    <n v="0.222"/>
    <n v="0.222"/>
    <n v="0.222"/>
    <n v="0.222"/>
    <n v="0"/>
    <x v="0"/>
    <n v="0"/>
    <n v="0"/>
    <n v="7"/>
    <n v="48"/>
    <n v="0"/>
    <n v="2345.52"/>
    <n v="251.85"/>
    <m/>
    <n v="3002.9371363543614"/>
    <n v="255.86350070833299"/>
    <n v="0"/>
    <n v="520.70543999999995"/>
    <n v="55.910699999999999"/>
    <n v="0"/>
    <n v="666.65204427066828"/>
    <n v="56.801697157249926"/>
  </r>
  <r>
    <s v="Regular"/>
    <x v="0"/>
    <x v="0"/>
    <x v="0"/>
    <x v="0"/>
    <x v="0"/>
    <x v="0"/>
    <x v="2"/>
    <x v="8"/>
    <n v="0"/>
    <n v="0"/>
    <n v="0.16"/>
    <n v="0.16"/>
    <n v="0.16"/>
    <n v="0.16"/>
    <n v="0"/>
    <x v="0"/>
    <n v="0"/>
    <n v="0"/>
    <n v="7"/>
    <n v="48"/>
    <n v="0"/>
    <n v="2345.52"/>
    <n v="251.85"/>
    <m/>
    <n v="3002.9371363543614"/>
    <n v="255.86350070833299"/>
    <n v="0"/>
    <n v="375.28320000000002"/>
    <n v="40.295999999999999"/>
    <n v="0"/>
    <n v="480.46994181669783"/>
    <n v="40.938160113333282"/>
  </r>
  <r>
    <s v="Regular"/>
    <x v="0"/>
    <x v="0"/>
    <x v="0"/>
    <x v="0"/>
    <x v="0"/>
    <x v="0"/>
    <x v="2"/>
    <x v="9"/>
    <n v="0"/>
    <n v="0"/>
    <n v="0.14399999999999999"/>
    <n v="0.14399999999999999"/>
    <n v="0.14399999999999999"/>
    <n v="0.14399999999999999"/>
    <n v="0"/>
    <x v="0"/>
    <n v="0"/>
    <n v="0"/>
    <n v="7"/>
    <n v="48"/>
    <n v="0"/>
    <n v="2345.52"/>
    <n v="251.85"/>
    <m/>
    <n v="3002.9371363543614"/>
    <n v="255.86350070833299"/>
    <n v="0"/>
    <n v="337.75487999999996"/>
    <n v="36.266399999999997"/>
    <n v="0"/>
    <n v="432.42294763502804"/>
    <n v="36.844344101999951"/>
  </r>
  <r>
    <s v="Regular"/>
    <x v="0"/>
    <x v="0"/>
    <x v="0"/>
    <x v="0"/>
    <x v="0"/>
    <x v="0"/>
    <x v="2"/>
    <x v="10"/>
    <n v="0"/>
    <n v="0"/>
    <n v="0.21"/>
    <n v="0.21"/>
    <n v="0.21"/>
    <n v="0.21"/>
    <n v="0"/>
    <x v="0"/>
    <n v="0"/>
    <n v="0"/>
    <n v="7"/>
    <n v="48"/>
    <n v="0"/>
    <n v="2345.52"/>
    <n v="251.85"/>
    <m/>
    <n v="3002.9371363543614"/>
    <n v="255.86350070833299"/>
    <n v="0"/>
    <n v="492.55919999999998"/>
    <n v="52.888499999999993"/>
    <n v="0"/>
    <n v="630.61679863441589"/>
    <n v="53.731335148749928"/>
  </r>
  <r>
    <s v="Regular"/>
    <x v="0"/>
    <x v="0"/>
    <x v="0"/>
    <x v="0"/>
    <x v="0"/>
    <x v="0"/>
    <x v="2"/>
    <x v="11"/>
    <n v="0"/>
    <n v="0"/>
    <n v="0.158"/>
    <n v="0.158"/>
    <n v="0.158"/>
    <n v="0.158"/>
    <n v="0"/>
    <x v="0"/>
    <n v="0"/>
    <n v="0"/>
    <n v="7"/>
    <n v="48"/>
    <n v="0"/>
    <n v="2345.52"/>
    <n v="251.85"/>
    <m/>
    <n v="3002.9371363543614"/>
    <n v="255.86350070833299"/>
    <n v="0"/>
    <n v="370.59215999999998"/>
    <n v="39.792299999999997"/>
    <n v="0"/>
    <n v="474.46406754398913"/>
    <n v="40.426433111916616"/>
  </r>
  <r>
    <s v="Regular"/>
    <x v="1"/>
    <x v="1"/>
    <x v="1"/>
    <x v="1"/>
    <x v="0"/>
    <x v="0"/>
    <x v="0"/>
    <x v="7"/>
    <n v="0"/>
    <n v="0"/>
    <n v="0.25600000000000001"/>
    <n v="0.25600000000000001"/>
    <n v="0.25600000000000001"/>
    <n v="0.25600000000000001"/>
    <n v="0"/>
    <x v="0"/>
    <n v="0"/>
    <n v="0"/>
    <n v="15"/>
    <n v="52"/>
    <n v="0"/>
    <n v="334.07"/>
    <n v="251.85"/>
    <m/>
    <n v="433.31263951860461"/>
    <n v="255.86350070833299"/>
    <n v="0"/>
    <n v="85.521919999999994"/>
    <n v="64.473600000000005"/>
    <n v="0"/>
    <n v="110.92803571676278"/>
    <n v="65.501056181333254"/>
  </r>
  <r>
    <s v="Regular"/>
    <x v="1"/>
    <x v="1"/>
    <x v="1"/>
    <x v="1"/>
    <x v="0"/>
    <x v="0"/>
    <x v="0"/>
    <x v="8"/>
    <n v="0"/>
    <n v="0"/>
    <n v="0.186"/>
    <n v="0.186"/>
    <n v="0.186"/>
    <n v="0.186"/>
    <n v="0"/>
    <x v="0"/>
    <n v="0"/>
    <n v="0"/>
    <n v="15"/>
    <n v="52"/>
    <n v="0"/>
    <n v="334.07"/>
    <n v="251.85"/>
    <m/>
    <n v="433.31263951860461"/>
    <n v="255.86350070833299"/>
    <n v="0"/>
    <n v="62.13702"/>
    <n v="46.844099999999997"/>
    <n v="0"/>
    <n v="80.596150950460455"/>
    <n v="47.590611131749938"/>
  </r>
  <r>
    <s v="Regular"/>
    <x v="1"/>
    <x v="1"/>
    <x v="1"/>
    <x v="1"/>
    <x v="0"/>
    <x v="0"/>
    <x v="0"/>
    <x v="9"/>
    <n v="0"/>
    <n v="0"/>
    <n v="0.20100000000000001"/>
    <n v="0.20100000000000001"/>
    <n v="0.20100000000000001"/>
    <n v="0.20100000000000001"/>
    <n v="0"/>
    <x v="0"/>
    <n v="0"/>
    <n v="0"/>
    <n v="15"/>
    <n v="52"/>
    <n v="0"/>
    <n v="334.07"/>
    <n v="251.85"/>
    <m/>
    <n v="433.31263951860461"/>
    <n v="255.86350070833299"/>
    <n v="0"/>
    <n v="67.148070000000004"/>
    <n v="50.621850000000002"/>
    <n v="0"/>
    <n v="87.095840543239532"/>
    <n v="51.428563642374932"/>
  </r>
  <r>
    <s v="Regular"/>
    <x v="1"/>
    <x v="1"/>
    <x v="1"/>
    <x v="1"/>
    <x v="0"/>
    <x v="0"/>
    <x v="0"/>
    <x v="10"/>
    <n v="0"/>
    <n v="0"/>
    <n v="0.191"/>
    <n v="0.191"/>
    <n v="0.191"/>
    <n v="0.191"/>
    <n v="0"/>
    <x v="0"/>
    <n v="0"/>
    <n v="0"/>
    <n v="15"/>
    <n v="52"/>
    <n v="0"/>
    <n v="334.07"/>
    <n v="251.85"/>
    <m/>
    <n v="433.31263951860461"/>
    <n v="255.86350070833299"/>
    <n v="0"/>
    <n v="63.807369999999999"/>
    <n v="48.103349999999999"/>
    <n v="0"/>
    <n v="82.762714148053476"/>
    <n v="48.8699286352916"/>
  </r>
  <r>
    <s v="Regular"/>
    <x v="1"/>
    <x v="1"/>
    <x v="1"/>
    <x v="1"/>
    <x v="0"/>
    <x v="0"/>
    <x v="0"/>
    <x v="11"/>
    <n v="0"/>
    <n v="0"/>
    <n v="0.13200000000000001"/>
    <n v="0.13200000000000001"/>
    <n v="0.13200000000000001"/>
    <n v="0.13200000000000001"/>
    <n v="0"/>
    <x v="0"/>
    <n v="0"/>
    <n v="0"/>
    <n v="15"/>
    <n v="52"/>
    <n v="0"/>
    <n v="334.07"/>
    <n v="251.85"/>
    <m/>
    <n v="433.31263951860461"/>
    <n v="255.86350070833299"/>
    <n v="0"/>
    <n v="44.097239999999999"/>
    <n v="33.244199999999999"/>
    <n v="0"/>
    <n v="57.197268416455813"/>
    <n v="33.77398209349996"/>
  </r>
  <r>
    <s v="Regular"/>
    <x v="1"/>
    <x v="1"/>
    <x v="1"/>
    <x v="1"/>
    <x v="0"/>
    <x v="0"/>
    <x v="3"/>
    <x v="7"/>
    <n v="0"/>
    <n v="0"/>
    <n v="1E-3"/>
    <n v="1E-3"/>
    <n v="1E-3"/>
    <n v="1E-3"/>
    <n v="0"/>
    <x v="0"/>
    <n v="0"/>
    <n v="0"/>
    <n v="14"/>
    <n v="51"/>
    <n v="0"/>
    <n v="860.12"/>
    <n v="251.85"/>
    <m/>
    <n v="1109.5726795852345"/>
    <n v="255.86350070833299"/>
    <n v="0"/>
    <n v="0.86012"/>
    <n v="0.25185000000000002"/>
    <n v="0"/>
    <n v="1.1095726795852345"/>
    <n v="0.25586350070833302"/>
  </r>
  <r>
    <s v="Regular"/>
    <x v="1"/>
    <x v="1"/>
    <x v="1"/>
    <x v="1"/>
    <x v="0"/>
    <x v="0"/>
    <x v="3"/>
    <x v="9"/>
    <n v="0"/>
    <n v="0"/>
    <n v="2E-3"/>
    <n v="2E-3"/>
    <n v="2E-3"/>
    <n v="2E-3"/>
    <n v="0"/>
    <x v="0"/>
    <n v="0"/>
    <n v="0"/>
    <n v="14"/>
    <n v="51"/>
    <n v="0"/>
    <n v="860.12"/>
    <n v="251.85"/>
    <m/>
    <n v="1109.5726795852345"/>
    <n v="255.86350070833299"/>
    <n v="0"/>
    <n v="1.72024"/>
    <n v="0.50370000000000004"/>
    <n v="0"/>
    <n v="2.2191453591704691"/>
    <n v="0.51172700141666605"/>
  </r>
  <r>
    <s v="Regular"/>
    <x v="1"/>
    <x v="1"/>
    <x v="1"/>
    <x v="1"/>
    <x v="0"/>
    <x v="0"/>
    <x v="3"/>
    <x v="10"/>
    <n v="0"/>
    <n v="0"/>
    <n v="2E-3"/>
    <n v="2E-3"/>
    <n v="2E-3"/>
    <n v="2E-3"/>
    <n v="0"/>
    <x v="0"/>
    <n v="0"/>
    <n v="0"/>
    <n v="14"/>
    <n v="51"/>
    <n v="0"/>
    <n v="860.12"/>
    <n v="251.85"/>
    <m/>
    <n v="1109.5726795852345"/>
    <n v="255.86350070833299"/>
    <n v="0"/>
    <n v="1.72024"/>
    <n v="0.50370000000000004"/>
    <n v="0"/>
    <n v="2.2191453591704691"/>
    <n v="0.51172700141666605"/>
  </r>
  <r>
    <s v="Regular"/>
    <x v="1"/>
    <x v="2"/>
    <x v="1"/>
    <x v="1"/>
    <x v="0"/>
    <x v="0"/>
    <x v="1"/>
    <x v="0"/>
    <n v="0"/>
    <n v="0"/>
    <n v="211.17099999999999"/>
    <n v="211.17099999999999"/>
    <n v="211.17099999999999"/>
    <n v="211.17099999999999"/>
    <n v="1979"/>
    <x v="0"/>
    <n v="0"/>
    <n v="0"/>
    <n v="16"/>
    <n v="53"/>
    <n v="0"/>
    <n v="509.43"/>
    <n v="251.85"/>
    <m/>
    <n v="658.73368571043511"/>
    <n v="255.86350070833299"/>
    <n v="0"/>
    <n v="107576.84252999999"/>
    <n v="53183.41635"/>
    <n v="0"/>
    <n v="139105.45114515829"/>
    <n v="54030.951308079384"/>
  </r>
  <r>
    <s v="Sistema de Compensação"/>
    <x v="1"/>
    <x v="2"/>
    <x v="1"/>
    <x v="1"/>
    <x v="0"/>
    <x v="0"/>
    <x v="1"/>
    <x v="0"/>
    <n v="0"/>
    <n v="0"/>
    <n v="1.385"/>
    <n v="1.385"/>
    <n v="1.385"/>
    <n v="1.385"/>
    <n v="6"/>
    <x v="0"/>
    <n v="0"/>
    <n v="0"/>
    <n v="16"/>
    <n v="53"/>
    <n v="0"/>
    <n v="509.43"/>
    <n v="251.85"/>
    <m/>
    <n v="658.73368571043511"/>
    <n v="255.86350070833299"/>
    <n v="0"/>
    <n v="705.56055000000003"/>
    <n v="348.81225000000001"/>
    <n v="0"/>
    <n v="912.34615470895267"/>
    <n v="354.37094848104118"/>
  </r>
  <r>
    <s v="Regular"/>
    <x v="1"/>
    <x v="2"/>
    <x v="1"/>
    <x v="1"/>
    <x v="0"/>
    <x v="0"/>
    <x v="1"/>
    <x v="1"/>
    <n v="0"/>
    <n v="0"/>
    <n v="199.49600000000001"/>
    <n v="199.49600000000001"/>
    <n v="199.49600000000001"/>
    <n v="199.49600000000001"/>
    <n v="1979"/>
    <x v="0"/>
    <n v="0"/>
    <n v="0"/>
    <n v="16"/>
    <n v="53"/>
    <n v="0"/>
    <n v="509.43"/>
    <n v="251.85"/>
    <m/>
    <n v="658.73368571043511"/>
    <n v="255.86350070833299"/>
    <n v="0"/>
    <n v="101629.24728000001"/>
    <n v="50243.067600000002"/>
    <n v="0"/>
    <n v="131414.73536448897"/>
    <n v="51043.744937309602"/>
  </r>
  <r>
    <s v="Sistema de Compensação"/>
    <x v="1"/>
    <x v="2"/>
    <x v="1"/>
    <x v="1"/>
    <x v="0"/>
    <x v="0"/>
    <x v="1"/>
    <x v="1"/>
    <n v="0"/>
    <n v="0"/>
    <n v="1.486"/>
    <n v="1.486"/>
    <n v="1.486"/>
    <n v="1.486"/>
    <n v="8"/>
    <x v="0"/>
    <n v="0"/>
    <n v="0"/>
    <n v="16"/>
    <n v="53"/>
    <n v="0"/>
    <n v="509.43"/>
    <n v="251.85"/>
    <m/>
    <n v="658.73368571043511"/>
    <n v="255.86350070833299"/>
    <n v="0"/>
    <n v="757.01297999999997"/>
    <n v="374.2491"/>
    <n v="0"/>
    <n v="978.87825696570656"/>
    <n v="380.21316205258285"/>
  </r>
  <r>
    <s v="Regular"/>
    <x v="1"/>
    <x v="2"/>
    <x v="1"/>
    <x v="1"/>
    <x v="0"/>
    <x v="0"/>
    <x v="1"/>
    <x v="2"/>
    <n v="0"/>
    <n v="0"/>
    <n v="192.77"/>
    <n v="192.77"/>
    <n v="192.77"/>
    <n v="192.77"/>
    <n v="2004"/>
    <x v="0"/>
    <n v="0"/>
    <n v="0"/>
    <n v="16"/>
    <n v="53"/>
    <n v="0"/>
    <n v="509.43"/>
    <n v="251.85"/>
    <m/>
    <n v="658.73368571043511"/>
    <n v="255.86350070833299"/>
    <n v="0"/>
    <n v="98202.821100000001"/>
    <n v="48549.124499999998"/>
    <n v="0"/>
    <n v="126984.09259440059"/>
    <n v="49322.807031545351"/>
  </r>
  <r>
    <s v="Sistema de Compensação"/>
    <x v="1"/>
    <x v="2"/>
    <x v="1"/>
    <x v="1"/>
    <x v="0"/>
    <x v="0"/>
    <x v="1"/>
    <x v="2"/>
    <n v="0"/>
    <n v="0"/>
    <n v="1.478"/>
    <n v="1.478"/>
    <n v="1.478"/>
    <n v="1.478"/>
    <n v="8"/>
    <x v="0"/>
    <n v="0"/>
    <n v="0"/>
    <n v="16"/>
    <n v="53"/>
    <n v="0"/>
    <n v="509.43"/>
    <n v="251.85"/>
    <m/>
    <n v="658.73368571043511"/>
    <n v="255.86350070833299"/>
    <n v="0"/>
    <n v="752.93754000000001"/>
    <n v="372.23429999999996"/>
    <n v="0"/>
    <n v="973.60838748002311"/>
    <n v="378.16625404691615"/>
  </r>
  <r>
    <s v="Regular"/>
    <x v="1"/>
    <x v="2"/>
    <x v="1"/>
    <x v="1"/>
    <x v="0"/>
    <x v="0"/>
    <x v="1"/>
    <x v="3"/>
    <n v="0"/>
    <n v="0"/>
    <n v="196.482"/>
    <n v="196.482"/>
    <n v="196.482"/>
    <n v="196.482"/>
    <n v="2005"/>
    <x v="0"/>
    <n v="0"/>
    <n v="0"/>
    <n v="16"/>
    <n v="53"/>
    <n v="0"/>
    <n v="509.43"/>
    <n v="251.85"/>
    <m/>
    <n v="658.73368571043511"/>
    <n v="255.86350070833299"/>
    <n v="0"/>
    <n v="100093.82526"/>
    <n v="49483.991699999999"/>
    <n v="0"/>
    <n v="129429.31203575771"/>
    <n v="50272.572346174682"/>
  </r>
  <r>
    <s v="Sistema de Compensação"/>
    <x v="1"/>
    <x v="2"/>
    <x v="1"/>
    <x v="1"/>
    <x v="0"/>
    <x v="0"/>
    <x v="1"/>
    <x v="3"/>
    <n v="0"/>
    <n v="0"/>
    <n v="1.47"/>
    <n v="1.47"/>
    <n v="1.47"/>
    <n v="1.47"/>
    <n v="9"/>
    <x v="0"/>
    <n v="0"/>
    <n v="0"/>
    <n v="16"/>
    <n v="53"/>
    <n v="0"/>
    <n v="509.43"/>
    <n v="251.85"/>
    <m/>
    <n v="658.73368571043511"/>
    <n v="255.86350070833299"/>
    <n v="0"/>
    <n v="748.86209999999994"/>
    <n v="370.21949999999998"/>
    <n v="0"/>
    <n v="968.33851799433955"/>
    <n v="376.11934604124951"/>
  </r>
  <r>
    <s v="Regular"/>
    <x v="1"/>
    <x v="2"/>
    <x v="1"/>
    <x v="1"/>
    <x v="0"/>
    <x v="0"/>
    <x v="1"/>
    <x v="4"/>
    <n v="0"/>
    <n v="0"/>
    <n v="199.905"/>
    <n v="199.905"/>
    <n v="199.905"/>
    <n v="199.905"/>
    <n v="2018"/>
    <x v="0"/>
    <n v="0"/>
    <n v="0"/>
    <n v="16"/>
    <n v="53"/>
    <n v="0"/>
    <n v="509.43"/>
    <n v="251.85"/>
    <m/>
    <n v="658.73368571043511"/>
    <n v="255.86350070833299"/>
    <n v="0"/>
    <n v="101837.60415"/>
    <n v="50346.074249999998"/>
    <n v="0"/>
    <n v="131684.15744194452"/>
    <n v="51148.393109099306"/>
  </r>
  <r>
    <s v="Sistema de Compensação"/>
    <x v="1"/>
    <x v="2"/>
    <x v="1"/>
    <x v="1"/>
    <x v="0"/>
    <x v="0"/>
    <x v="1"/>
    <x v="4"/>
    <n v="0"/>
    <n v="0"/>
    <n v="2.1659999999999999"/>
    <n v="2.1659999999999999"/>
    <n v="2.1659999999999999"/>
    <n v="2.1659999999999999"/>
    <n v="11"/>
    <x v="0"/>
    <n v="0"/>
    <n v="0"/>
    <n v="16"/>
    <n v="53"/>
    <n v="0"/>
    <n v="509.43"/>
    <n v="251.85"/>
    <m/>
    <n v="658.73368571043511"/>
    <n v="255.86350070833299"/>
    <n v="0"/>
    <n v="1103.4253799999999"/>
    <n v="545.50709999999992"/>
    <n v="0"/>
    <n v="1426.8171632488024"/>
    <n v="554.20034253424922"/>
  </r>
  <r>
    <s v="Regular"/>
    <x v="1"/>
    <x v="2"/>
    <x v="1"/>
    <x v="1"/>
    <x v="0"/>
    <x v="0"/>
    <x v="1"/>
    <x v="5"/>
    <n v="0"/>
    <n v="0"/>
    <n v="198.85400000000001"/>
    <n v="198.85400000000001"/>
    <n v="198.85400000000001"/>
    <n v="198.85400000000001"/>
    <n v="2001"/>
    <x v="0"/>
    <n v="0"/>
    <n v="0"/>
    <n v="16"/>
    <n v="53"/>
    <n v="0"/>
    <n v="509.43"/>
    <n v="251.85"/>
    <m/>
    <n v="658.73368571043511"/>
    <n v="255.86350070833299"/>
    <n v="0"/>
    <n v="101302.19322"/>
    <n v="50081.3799"/>
    <n v="0"/>
    <n v="130991.82833826287"/>
    <n v="50879.480569854852"/>
  </r>
  <r>
    <s v="Sistema de Compensação"/>
    <x v="1"/>
    <x v="2"/>
    <x v="1"/>
    <x v="1"/>
    <x v="0"/>
    <x v="0"/>
    <x v="1"/>
    <x v="5"/>
    <n v="0"/>
    <n v="0"/>
    <n v="2.4660000000000002"/>
    <n v="2.4660000000000002"/>
    <n v="2.4660000000000002"/>
    <n v="2.4660000000000002"/>
    <n v="11"/>
    <x v="0"/>
    <n v="0"/>
    <n v="0"/>
    <n v="16"/>
    <n v="53"/>
    <n v="0"/>
    <n v="509.43"/>
    <n v="251.85"/>
    <m/>
    <n v="658.73368571043511"/>
    <n v="255.86350070833299"/>
    <n v="0"/>
    <n v="1256.2543800000001"/>
    <n v="621.06209999999999"/>
    <n v="0"/>
    <n v="1624.4372689619331"/>
    <n v="630.95939274674924"/>
  </r>
  <r>
    <s v="Regular"/>
    <x v="1"/>
    <x v="2"/>
    <x v="1"/>
    <x v="1"/>
    <x v="0"/>
    <x v="0"/>
    <x v="1"/>
    <x v="6"/>
    <n v="0"/>
    <n v="0"/>
    <n v="233.029"/>
    <n v="233.029"/>
    <n v="233.029"/>
    <n v="233.029"/>
    <n v="1994"/>
    <x v="0"/>
    <n v="0"/>
    <n v="0"/>
    <n v="16"/>
    <n v="53"/>
    <n v="0"/>
    <n v="509.43"/>
    <n v="251.85"/>
    <m/>
    <n v="658.73368571043511"/>
    <n v="255.86350070833299"/>
    <n v="0"/>
    <n v="118711.96347"/>
    <n v="58688.353649999997"/>
    <n v="0"/>
    <n v="153504.05204741698"/>
    <n v="59623.61570656213"/>
  </r>
  <r>
    <s v="Sistema de Compensação"/>
    <x v="1"/>
    <x v="2"/>
    <x v="1"/>
    <x v="1"/>
    <x v="0"/>
    <x v="0"/>
    <x v="1"/>
    <x v="6"/>
    <n v="0"/>
    <n v="0"/>
    <n v="2.7759999999999998"/>
    <n v="2.7759999999999998"/>
    <n v="2.7759999999999998"/>
    <n v="2.7759999999999998"/>
    <n v="11"/>
    <x v="0"/>
    <n v="0"/>
    <n v="0"/>
    <n v="16"/>
    <n v="53"/>
    <n v="0"/>
    <n v="509.43"/>
    <n v="251.85"/>
    <m/>
    <n v="658.73368571043511"/>
    <n v="255.86350070833299"/>
    <n v="0"/>
    <n v="1414.17768"/>
    <n v="699.13559999999995"/>
    <n v="0"/>
    <n v="1828.6447115321678"/>
    <n v="710.27707796633229"/>
  </r>
  <r>
    <s v="Regular"/>
    <x v="1"/>
    <x v="2"/>
    <x v="1"/>
    <x v="1"/>
    <x v="0"/>
    <x v="0"/>
    <x v="1"/>
    <x v="7"/>
    <n v="0"/>
    <n v="0"/>
    <n v="219.06200000000001"/>
    <n v="219.06200000000001"/>
    <n v="219.06200000000001"/>
    <n v="219.06200000000001"/>
    <n v="1995"/>
    <x v="0"/>
    <n v="0"/>
    <n v="0"/>
    <n v="16"/>
    <n v="53"/>
    <n v="0"/>
    <n v="509.43"/>
    <n v="251.85"/>
    <m/>
    <n v="658.73368571043511"/>
    <n v="255.86350070833299"/>
    <n v="0"/>
    <n v="111596.75466000001"/>
    <n v="55170.7647"/>
    <n v="0"/>
    <n v="144303.51865909935"/>
    <n v="56049.970192168847"/>
  </r>
  <r>
    <s v="Sistema de Compensação"/>
    <x v="1"/>
    <x v="2"/>
    <x v="1"/>
    <x v="1"/>
    <x v="0"/>
    <x v="0"/>
    <x v="1"/>
    <x v="7"/>
    <n v="0"/>
    <n v="0"/>
    <n v="3.6640000000000001"/>
    <n v="3.6640000000000001"/>
    <n v="3.6640000000000001"/>
    <n v="3.6640000000000001"/>
    <n v="14"/>
    <x v="0"/>
    <n v="0"/>
    <n v="0"/>
    <n v="16"/>
    <n v="53"/>
    <n v="0"/>
    <n v="509.43"/>
    <n v="251.85"/>
    <m/>
    <n v="658.73368571043511"/>
    <n v="255.86350070833299"/>
    <n v="0"/>
    <n v="1866.5515200000002"/>
    <n v="922.77840000000003"/>
    <n v="0"/>
    <n v="2413.6002244430342"/>
    <n v="937.48386659533207"/>
  </r>
  <r>
    <s v="Regular"/>
    <x v="1"/>
    <x v="2"/>
    <x v="1"/>
    <x v="1"/>
    <x v="0"/>
    <x v="0"/>
    <x v="1"/>
    <x v="8"/>
    <n v="0"/>
    <n v="0"/>
    <n v="217.96"/>
    <n v="217.96"/>
    <n v="217.96"/>
    <n v="217.96"/>
    <n v="1996"/>
    <x v="0"/>
    <n v="0"/>
    <n v="0"/>
    <n v="16"/>
    <n v="53"/>
    <n v="0"/>
    <n v="509.43"/>
    <n v="251.85"/>
    <m/>
    <n v="658.73368571043511"/>
    <n v="255.86350070833299"/>
    <n v="0"/>
    <n v="111035.3628"/>
    <n v="54893.226000000002"/>
    <n v="0"/>
    <n v="143577.59413744643"/>
    <n v="55768.008614388258"/>
  </r>
  <r>
    <s v="Sistema de Compensação"/>
    <x v="1"/>
    <x v="2"/>
    <x v="1"/>
    <x v="1"/>
    <x v="0"/>
    <x v="0"/>
    <x v="1"/>
    <x v="8"/>
    <n v="0"/>
    <n v="0"/>
    <n v="3.6760000000000002"/>
    <n v="3.6760000000000002"/>
    <n v="3.6760000000000002"/>
    <n v="3.6760000000000002"/>
    <n v="16"/>
    <x v="0"/>
    <n v="0"/>
    <n v="0"/>
    <n v="16"/>
    <n v="53"/>
    <n v="0"/>
    <n v="509.43"/>
    <n v="251.85"/>
    <m/>
    <n v="658.73368571043511"/>
    <n v="255.86350070833299"/>
    <n v="0"/>
    <n v="1872.6646800000001"/>
    <n v="925.80060000000003"/>
    <n v="0"/>
    <n v="2421.5050286715596"/>
    <n v="940.55422860383214"/>
  </r>
  <r>
    <s v="Regular"/>
    <x v="1"/>
    <x v="2"/>
    <x v="1"/>
    <x v="1"/>
    <x v="0"/>
    <x v="0"/>
    <x v="1"/>
    <x v="9"/>
    <n v="0"/>
    <n v="0"/>
    <n v="202.458"/>
    <n v="202.458"/>
    <n v="202.458"/>
    <n v="202.458"/>
    <n v="1842"/>
    <x v="0"/>
    <n v="0"/>
    <n v="0"/>
    <n v="16"/>
    <n v="53"/>
    <n v="0"/>
    <n v="509.43"/>
    <n v="251.85"/>
    <m/>
    <n v="658.73368571043511"/>
    <n v="255.86350070833299"/>
    <n v="0"/>
    <n v="103138.17894"/>
    <n v="50989.047299999998"/>
    <n v="0"/>
    <n v="133365.90454156327"/>
    <n v="51801.612626407681"/>
  </r>
  <r>
    <s v="Sistema de Compensação"/>
    <x v="1"/>
    <x v="2"/>
    <x v="1"/>
    <x v="1"/>
    <x v="0"/>
    <x v="0"/>
    <x v="1"/>
    <x v="9"/>
    <n v="0"/>
    <n v="0"/>
    <n v="3.5569999999999999"/>
    <n v="3.5569999999999999"/>
    <n v="3.5569999999999999"/>
    <n v="3.5569999999999999"/>
    <n v="16"/>
    <x v="0"/>
    <n v="0"/>
    <n v="0"/>
    <n v="16"/>
    <n v="53"/>
    <n v="0"/>
    <n v="509.43"/>
    <n v="251.85"/>
    <m/>
    <n v="658.73368571043511"/>
    <n v="255.86350070833299"/>
    <n v="0"/>
    <n v="1812.04251"/>
    <n v="895.83044999999993"/>
    <n v="0"/>
    <n v="2343.1157200720177"/>
    <n v="910.10647201954043"/>
  </r>
  <r>
    <s v="Regular"/>
    <x v="1"/>
    <x v="2"/>
    <x v="1"/>
    <x v="1"/>
    <x v="0"/>
    <x v="0"/>
    <x v="1"/>
    <x v="10"/>
    <n v="0"/>
    <n v="0"/>
    <n v="213.54900000000001"/>
    <n v="213.54900000000001"/>
    <n v="213.54900000000001"/>
    <n v="213.54900000000001"/>
    <n v="1834"/>
    <x v="0"/>
    <n v="0"/>
    <n v="0"/>
    <n v="16"/>
    <n v="53"/>
    <n v="0"/>
    <n v="509.43"/>
    <n v="251.85"/>
    <m/>
    <n v="658.73368571043511"/>
    <n v="255.86350070833299"/>
    <n v="0"/>
    <n v="108788.26707"/>
    <n v="53782.315649999997"/>
    <n v="0"/>
    <n v="140671.91984977771"/>
    <n v="54639.394712763802"/>
  </r>
  <r>
    <s v="Sistema de Compensação"/>
    <x v="1"/>
    <x v="2"/>
    <x v="1"/>
    <x v="1"/>
    <x v="0"/>
    <x v="0"/>
    <x v="1"/>
    <x v="10"/>
    <n v="0"/>
    <n v="0"/>
    <n v="3.77"/>
    <n v="3.77"/>
    <n v="3.77"/>
    <n v="3.77"/>
    <n v="16"/>
    <x v="0"/>
    <n v="0"/>
    <n v="0"/>
    <n v="16"/>
    <n v="53"/>
    <n v="0"/>
    <n v="509.43"/>
    <n v="251.85"/>
    <m/>
    <n v="658.73368571043511"/>
    <n v="255.86350070833299"/>
    <n v="0"/>
    <n v="1920.5511000000001"/>
    <n v="949.47450000000003"/>
    <n v="0"/>
    <n v="2483.4259951283402"/>
    <n v="964.60539767041541"/>
  </r>
  <r>
    <s v="Regular"/>
    <x v="1"/>
    <x v="2"/>
    <x v="1"/>
    <x v="1"/>
    <x v="0"/>
    <x v="0"/>
    <x v="1"/>
    <x v="11"/>
    <n v="0"/>
    <n v="0"/>
    <n v="204.11"/>
    <n v="204.11"/>
    <n v="204.11"/>
    <n v="204.11"/>
    <n v="1822"/>
    <x v="0"/>
    <n v="0"/>
    <n v="0"/>
    <n v="16"/>
    <n v="53"/>
    <n v="0"/>
    <n v="509.43"/>
    <n v="251.85"/>
    <m/>
    <n v="658.73368571043511"/>
    <n v="255.86350070833299"/>
    <n v="0"/>
    <n v="103979.75730000001"/>
    <n v="51405.103500000005"/>
    <n v="0"/>
    <n v="134454.13259035692"/>
    <n v="52224.299129577848"/>
  </r>
  <r>
    <s v="Sistema de Compensação"/>
    <x v="1"/>
    <x v="2"/>
    <x v="1"/>
    <x v="1"/>
    <x v="0"/>
    <x v="0"/>
    <x v="1"/>
    <x v="11"/>
    <n v="0"/>
    <n v="0"/>
    <n v="3.931"/>
    <n v="3.931"/>
    <n v="3.931"/>
    <n v="3.931"/>
    <n v="17"/>
    <x v="0"/>
    <n v="0"/>
    <n v="0"/>
    <n v="16"/>
    <n v="53"/>
    <n v="0"/>
    <n v="509.43"/>
    <n v="251.85"/>
    <m/>
    <n v="658.73368571043511"/>
    <n v="255.86350070833299"/>
    <n v="0"/>
    <n v="2002.56933"/>
    <n v="990.02234999999996"/>
    <n v="0"/>
    <n v="2589.4821185277206"/>
    <n v="1005.799421284457"/>
  </r>
  <r>
    <s v="Regular"/>
    <x v="1"/>
    <x v="2"/>
    <x v="1"/>
    <x v="2"/>
    <x v="0"/>
    <x v="0"/>
    <x v="1"/>
    <x v="0"/>
    <n v="0"/>
    <n v="0"/>
    <n v="59.46"/>
    <n v="59.46"/>
    <n v="59.46"/>
    <n v="59.46"/>
    <n v="128"/>
    <x v="0"/>
    <n v="0"/>
    <n v="0"/>
    <n v="17"/>
    <n v="54"/>
    <n v="0"/>
    <n v="166.1"/>
    <n v="88.15"/>
    <m/>
    <n v="211.03577911604813"/>
    <n v="89.552225247916539"/>
    <n v="0"/>
    <n v="9876.3060000000005"/>
    <n v="5241.3990000000003"/>
    <n v="0"/>
    <n v="12548.187426240222"/>
    <n v="5324.7753132411171"/>
  </r>
  <r>
    <s v="Regular"/>
    <x v="1"/>
    <x v="2"/>
    <x v="1"/>
    <x v="2"/>
    <x v="0"/>
    <x v="0"/>
    <x v="1"/>
    <x v="1"/>
    <n v="0"/>
    <n v="0"/>
    <n v="59.97"/>
    <n v="59.97"/>
    <n v="59.97"/>
    <n v="59.97"/>
    <n v="145"/>
    <x v="0"/>
    <n v="0"/>
    <n v="0"/>
    <n v="17"/>
    <n v="54"/>
    <n v="0"/>
    <n v="166.1"/>
    <n v="88.15"/>
    <m/>
    <n v="211.03577911604813"/>
    <n v="89.552225247916539"/>
    <n v="0"/>
    <n v="9961.0169999999998"/>
    <n v="5286.3555000000006"/>
    <n v="0"/>
    <n v="12655.815673589406"/>
    <n v="5370.4469481175547"/>
  </r>
  <r>
    <s v="Regular"/>
    <x v="1"/>
    <x v="2"/>
    <x v="1"/>
    <x v="2"/>
    <x v="0"/>
    <x v="0"/>
    <x v="1"/>
    <x v="2"/>
    <n v="0"/>
    <n v="0"/>
    <n v="60.3"/>
    <n v="60.3"/>
    <n v="60.3"/>
    <n v="60.3"/>
    <n v="148"/>
    <x v="0"/>
    <n v="0"/>
    <n v="0"/>
    <n v="17"/>
    <n v="54"/>
    <n v="0"/>
    <n v="166.1"/>
    <n v="88.15"/>
    <m/>
    <n v="211.03577911604813"/>
    <n v="89.552225247916539"/>
    <n v="0"/>
    <n v="10015.83"/>
    <n v="5315.4449999999997"/>
    <n v="0"/>
    <n v="12725.457480697702"/>
    <n v="5399.9991824493673"/>
  </r>
  <r>
    <s v="Regular"/>
    <x v="1"/>
    <x v="2"/>
    <x v="1"/>
    <x v="2"/>
    <x v="0"/>
    <x v="0"/>
    <x v="1"/>
    <x v="3"/>
    <n v="0"/>
    <n v="0"/>
    <n v="60.9"/>
    <n v="60.9"/>
    <n v="60.9"/>
    <n v="60.9"/>
    <n v="150"/>
    <x v="0"/>
    <n v="0"/>
    <n v="0"/>
    <n v="17"/>
    <n v="54"/>
    <n v="0"/>
    <n v="166.1"/>
    <n v="88.15"/>
    <m/>
    <n v="211.03577911604813"/>
    <n v="89.552225247916539"/>
    <n v="0"/>
    <n v="10115.49"/>
    <n v="5368.335"/>
    <n v="0"/>
    <n v="12852.078948167331"/>
    <n v="5453.7305175981173"/>
  </r>
  <r>
    <s v="Regular"/>
    <x v="1"/>
    <x v="2"/>
    <x v="1"/>
    <x v="2"/>
    <x v="0"/>
    <x v="0"/>
    <x v="1"/>
    <x v="4"/>
    <n v="0"/>
    <n v="0"/>
    <n v="61.23"/>
    <n v="61.23"/>
    <n v="61.23"/>
    <n v="61.23"/>
    <n v="138"/>
    <x v="0"/>
    <n v="0"/>
    <n v="0"/>
    <n v="17"/>
    <n v="54"/>
    <n v="0"/>
    <n v="166.1"/>
    <n v="88.15"/>
    <m/>
    <n v="211.03577911604813"/>
    <n v="89.552225247916539"/>
    <n v="0"/>
    <n v="10170.303"/>
    <n v="5397.4245000000001"/>
    <n v="0"/>
    <n v="12921.720755275626"/>
    <n v="5483.282751929929"/>
  </r>
  <r>
    <s v="Regular"/>
    <x v="1"/>
    <x v="2"/>
    <x v="1"/>
    <x v="2"/>
    <x v="0"/>
    <x v="0"/>
    <x v="1"/>
    <x v="5"/>
    <n v="0"/>
    <n v="0"/>
    <n v="61.98"/>
    <n v="61.98"/>
    <n v="61.98"/>
    <n v="61.98"/>
    <n v="150"/>
    <x v="0"/>
    <n v="0"/>
    <n v="0"/>
    <n v="17"/>
    <n v="54"/>
    <n v="0"/>
    <n v="166.1"/>
    <n v="88.15"/>
    <m/>
    <n v="211.03577911604813"/>
    <n v="89.552225247916539"/>
    <n v="0"/>
    <n v="10294.877999999999"/>
    <n v="5463.5370000000003"/>
    <n v="0"/>
    <n v="13079.997589612663"/>
    <n v="5550.4469208658666"/>
  </r>
  <r>
    <s v="Regular"/>
    <x v="1"/>
    <x v="2"/>
    <x v="1"/>
    <x v="2"/>
    <x v="0"/>
    <x v="0"/>
    <x v="1"/>
    <x v="6"/>
    <n v="0"/>
    <n v="0"/>
    <n v="62.91"/>
    <n v="62.91"/>
    <n v="62.91"/>
    <n v="62.91"/>
    <n v="133"/>
    <x v="0"/>
    <n v="0"/>
    <n v="0"/>
    <n v="17"/>
    <n v="54"/>
    <n v="0"/>
    <n v="166.1"/>
    <n v="88.15"/>
    <m/>
    <n v="211.03577911604813"/>
    <n v="89.552225247916539"/>
    <n v="0"/>
    <n v="10449.350999999999"/>
    <n v="5545.5164999999997"/>
    <n v="0"/>
    <n v="13276.260864190588"/>
    <n v="5633.7304903464292"/>
  </r>
  <r>
    <s v="Regular"/>
    <x v="1"/>
    <x v="2"/>
    <x v="1"/>
    <x v="2"/>
    <x v="0"/>
    <x v="0"/>
    <x v="1"/>
    <x v="7"/>
    <n v="0"/>
    <n v="0"/>
    <n v="64.77"/>
    <n v="64.77"/>
    <n v="64.77"/>
    <n v="64.77"/>
    <n v="151"/>
    <x v="0"/>
    <n v="0"/>
    <n v="0"/>
    <n v="17"/>
    <n v="54"/>
    <n v="0"/>
    <n v="166.1"/>
    <n v="88.15"/>
    <m/>
    <n v="211.03577911604813"/>
    <n v="89.552225247916539"/>
    <n v="0"/>
    <n v="10758.296999999999"/>
    <n v="5709.4755000000005"/>
    <n v="0"/>
    <n v="13668.787413346437"/>
    <n v="5800.2976293075535"/>
  </r>
  <r>
    <s v="Regular"/>
    <x v="1"/>
    <x v="2"/>
    <x v="1"/>
    <x v="2"/>
    <x v="0"/>
    <x v="0"/>
    <x v="1"/>
    <x v="8"/>
    <n v="0"/>
    <n v="0"/>
    <n v="64.92"/>
    <n v="64.92"/>
    <n v="64.92"/>
    <n v="64.92"/>
    <n v="142"/>
    <x v="0"/>
    <n v="0"/>
    <n v="0"/>
    <n v="17"/>
    <n v="54"/>
    <n v="0"/>
    <n v="166.1"/>
    <n v="88.15"/>
    <m/>
    <n v="211.03577911604813"/>
    <n v="89.552225247916539"/>
    <n v="0"/>
    <n v="10783.212"/>
    <n v="5722.6980000000003"/>
    <n v="0"/>
    <n v="13700.442780213845"/>
    <n v="5813.7304630947419"/>
  </r>
  <r>
    <s v="Regular"/>
    <x v="1"/>
    <x v="2"/>
    <x v="1"/>
    <x v="2"/>
    <x v="0"/>
    <x v="0"/>
    <x v="1"/>
    <x v="9"/>
    <n v="0"/>
    <n v="0"/>
    <n v="73.319999999999993"/>
    <n v="73.319999999999993"/>
    <n v="73.319999999999993"/>
    <n v="73.319999999999993"/>
    <n v="186"/>
    <x v="0"/>
    <n v="0"/>
    <n v="0"/>
    <n v="17"/>
    <n v="54"/>
    <n v="0"/>
    <n v="166.1"/>
    <n v="88.15"/>
    <m/>
    <n v="211.03577911604813"/>
    <n v="89.552225247916539"/>
    <n v="0"/>
    <n v="12178.451999999999"/>
    <n v="6463.1579999999994"/>
    <n v="0"/>
    <n v="15473.143324788647"/>
    <n v="6565.9691551772403"/>
  </r>
  <r>
    <s v="Regular"/>
    <x v="1"/>
    <x v="2"/>
    <x v="1"/>
    <x v="2"/>
    <x v="0"/>
    <x v="0"/>
    <x v="1"/>
    <x v="10"/>
    <n v="0"/>
    <n v="0"/>
    <n v="75.36"/>
    <n v="75.36"/>
    <n v="75.36"/>
    <n v="75.36"/>
    <n v="172"/>
    <x v="0"/>
    <n v="0"/>
    <n v="0"/>
    <n v="17"/>
    <n v="54"/>
    <n v="0"/>
    <n v="166.1"/>
    <n v="88.15"/>
    <m/>
    <n v="211.03577911604813"/>
    <n v="89.552225247916539"/>
    <n v="0"/>
    <n v="12517.296"/>
    <n v="6642.9840000000004"/>
    <n v="0"/>
    <n v="15903.656314185388"/>
    <n v="6748.6556946829905"/>
  </r>
  <r>
    <s v="Regular"/>
    <x v="1"/>
    <x v="2"/>
    <x v="1"/>
    <x v="2"/>
    <x v="0"/>
    <x v="0"/>
    <x v="1"/>
    <x v="11"/>
    <n v="0"/>
    <n v="0"/>
    <n v="77.040000000000006"/>
    <n v="77.040000000000006"/>
    <n v="77.040000000000006"/>
    <n v="77.040000000000006"/>
    <n v="170"/>
    <x v="0"/>
    <n v="0"/>
    <n v="0"/>
    <n v="17"/>
    <n v="54"/>
    <n v="0"/>
    <n v="166.1"/>
    <n v="88.15"/>
    <m/>
    <n v="211.03577911604813"/>
    <n v="89.552225247916539"/>
    <n v="0"/>
    <n v="12796.344000000001"/>
    <n v="6791.0760000000009"/>
    <n v="0"/>
    <n v="16258.196423100349"/>
    <n v="6899.1034330994908"/>
  </r>
  <r>
    <s v="Regular"/>
    <x v="1"/>
    <x v="2"/>
    <x v="1"/>
    <x v="3"/>
    <x v="0"/>
    <x v="0"/>
    <x v="1"/>
    <x v="0"/>
    <n v="0"/>
    <n v="0"/>
    <n v="94.608000000000004"/>
    <n v="94.608000000000004"/>
    <n v="94.608000000000004"/>
    <n v="94.608000000000004"/>
    <n v="1169"/>
    <x v="0"/>
    <n v="0"/>
    <n v="0"/>
    <n v="18"/>
    <n v="55"/>
    <n v="0"/>
    <n v="284.74"/>
    <n v="151.11000000000001"/>
    <m/>
    <n v="361.77562134179681"/>
    <n v="153.5181004249998"/>
    <n v="0"/>
    <n v="26938.681920000003"/>
    <n v="14296.214880000001"/>
    <n v="0"/>
    <n v="34226.867983904711"/>
    <n v="14524.040445008382"/>
  </r>
  <r>
    <s v="Regular"/>
    <x v="1"/>
    <x v="2"/>
    <x v="1"/>
    <x v="3"/>
    <x v="0"/>
    <x v="0"/>
    <x v="1"/>
    <x v="1"/>
    <n v="0"/>
    <n v="0"/>
    <n v="89.388000000000005"/>
    <n v="89.388000000000005"/>
    <n v="89.388000000000005"/>
    <n v="89.388000000000005"/>
    <n v="1243"/>
    <x v="0"/>
    <n v="0"/>
    <n v="0"/>
    <n v="18"/>
    <n v="55"/>
    <n v="0"/>
    <n v="284.74"/>
    <n v="151.11000000000001"/>
    <m/>
    <n v="361.77562134179681"/>
    <n v="153.5181004249998"/>
    <n v="0"/>
    <n v="25452.339120000001"/>
    <n v="13507.420680000003"/>
    <n v="0"/>
    <n v="32338.399240500534"/>
    <n v="13722.675960789884"/>
  </r>
  <r>
    <s v="Regular"/>
    <x v="1"/>
    <x v="2"/>
    <x v="1"/>
    <x v="3"/>
    <x v="0"/>
    <x v="0"/>
    <x v="1"/>
    <x v="2"/>
    <n v="0"/>
    <n v="0"/>
    <n v="87.186000000000007"/>
    <n v="87.186000000000007"/>
    <n v="87.186000000000007"/>
    <n v="87.186000000000007"/>
    <n v="1310"/>
    <x v="0"/>
    <n v="0"/>
    <n v="0"/>
    <n v="18"/>
    <n v="55"/>
    <n v="0"/>
    <n v="284.74"/>
    <n v="151.11000000000001"/>
    <m/>
    <n v="361.77562134179681"/>
    <n v="153.5181004249998"/>
    <n v="0"/>
    <n v="24825.341640000002"/>
    <n v="13174.676460000002"/>
    <n v="0"/>
    <n v="31541.7693223059"/>
    <n v="13384.629103654033"/>
  </r>
  <r>
    <s v="Regular"/>
    <x v="1"/>
    <x v="2"/>
    <x v="1"/>
    <x v="3"/>
    <x v="0"/>
    <x v="0"/>
    <x v="1"/>
    <x v="3"/>
    <n v="0"/>
    <n v="0"/>
    <n v="88.462999999999994"/>
    <n v="88.462999999999994"/>
    <n v="88.462999999999994"/>
    <n v="88.462999999999994"/>
    <n v="1317"/>
    <x v="0"/>
    <n v="0"/>
    <n v="0"/>
    <n v="18"/>
    <n v="55"/>
    <n v="0"/>
    <n v="284.74"/>
    <n v="151.11000000000001"/>
    <m/>
    <n v="361.77562134179681"/>
    <n v="153.5181004249998"/>
    <n v="0"/>
    <n v="25188.95462"/>
    <n v="13367.64393"/>
    <n v="0"/>
    <n v="32003.756790759369"/>
    <n v="13580.671717896756"/>
  </r>
  <r>
    <s v="Regular"/>
    <x v="1"/>
    <x v="2"/>
    <x v="1"/>
    <x v="3"/>
    <x v="0"/>
    <x v="0"/>
    <x v="1"/>
    <x v="4"/>
    <n v="0"/>
    <n v="0"/>
    <n v="91.117999999999995"/>
    <n v="91.117999999999995"/>
    <n v="91.117999999999995"/>
    <n v="91.117999999999995"/>
    <n v="1289"/>
    <x v="0"/>
    <n v="0"/>
    <n v="0"/>
    <n v="18"/>
    <n v="55"/>
    <n v="0"/>
    <n v="284.74"/>
    <n v="151.11000000000001"/>
    <m/>
    <n v="361.77562134179681"/>
    <n v="153.5181004249998"/>
    <n v="0"/>
    <n v="25944.939319999998"/>
    <n v="13768.840980000001"/>
    <n v="0"/>
    <n v="32964.271065421839"/>
    <n v="13988.262274525132"/>
  </r>
  <r>
    <s v="Regular"/>
    <x v="1"/>
    <x v="2"/>
    <x v="1"/>
    <x v="3"/>
    <x v="0"/>
    <x v="0"/>
    <x v="1"/>
    <x v="5"/>
    <n v="0"/>
    <n v="0"/>
    <n v="92.147999999999996"/>
    <n v="92.147999999999996"/>
    <n v="92.147999999999996"/>
    <n v="92.147999999999996"/>
    <n v="1289"/>
    <x v="0"/>
    <n v="0"/>
    <n v="0"/>
    <n v="18"/>
    <n v="55"/>
    <n v="0"/>
    <n v="284.74"/>
    <n v="151.11000000000001"/>
    <m/>
    <n v="361.77562134179681"/>
    <n v="153.5181004249998"/>
    <n v="0"/>
    <n v="26238.221519999999"/>
    <n v="13924.484280000001"/>
    <n v="0"/>
    <n v="33336.899955403889"/>
    <n v="14146.385917962882"/>
  </r>
  <r>
    <s v="Regular"/>
    <x v="1"/>
    <x v="2"/>
    <x v="1"/>
    <x v="3"/>
    <x v="0"/>
    <x v="0"/>
    <x v="1"/>
    <x v="6"/>
    <n v="0"/>
    <n v="0"/>
    <n v="108.404"/>
    <n v="108.404"/>
    <n v="108.404"/>
    <n v="108.404"/>
    <n v="1049"/>
    <x v="0"/>
    <n v="0"/>
    <n v="0"/>
    <n v="18"/>
    <n v="55"/>
    <n v="0"/>
    <n v="284.74"/>
    <n v="151.11000000000001"/>
    <m/>
    <n v="361.77562134179681"/>
    <n v="153.5181004249998"/>
    <n v="0"/>
    <n v="30866.954959999999"/>
    <n v="16380.928440000002"/>
    <n v="0"/>
    <n v="39217.92445593614"/>
    <n v="16641.976158471676"/>
  </r>
  <r>
    <s v="Regular"/>
    <x v="1"/>
    <x v="2"/>
    <x v="1"/>
    <x v="3"/>
    <x v="0"/>
    <x v="0"/>
    <x v="1"/>
    <x v="7"/>
    <n v="0"/>
    <n v="0"/>
    <n v="105.19199999999999"/>
    <n v="105.19199999999999"/>
    <n v="105.19199999999999"/>
    <n v="105.19199999999999"/>
    <n v="1198"/>
    <x v="0"/>
    <n v="0"/>
    <n v="0"/>
    <n v="18"/>
    <n v="55"/>
    <n v="0"/>
    <n v="284.74"/>
    <n v="151.11000000000001"/>
    <m/>
    <n v="361.77562134179681"/>
    <n v="153.5181004249998"/>
    <n v="0"/>
    <n v="29952.370080000001"/>
    <n v="15895.563120000001"/>
    <n v="0"/>
    <n v="38055.901160186288"/>
    <n v="16148.876019906578"/>
  </r>
  <r>
    <s v="Regular"/>
    <x v="1"/>
    <x v="2"/>
    <x v="1"/>
    <x v="3"/>
    <x v="0"/>
    <x v="0"/>
    <x v="1"/>
    <x v="8"/>
    <n v="0"/>
    <n v="0"/>
    <n v="102.47799999999999"/>
    <n v="102.47799999999999"/>
    <n v="102.47799999999999"/>
    <n v="102.47799999999999"/>
    <n v="1244"/>
    <x v="0"/>
    <n v="0"/>
    <n v="0"/>
    <n v="18"/>
    <n v="55"/>
    <n v="0"/>
    <n v="284.74"/>
    <n v="151.11000000000001"/>
    <m/>
    <n v="361.77562134179681"/>
    <n v="153.5181004249998"/>
    <n v="0"/>
    <n v="29179.585719999999"/>
    <n v="15485.450580000001"/>
    <n v="0"/>
    <n v="37074.042123864652"/>
    <n v="15732.227895353129"/>
  </r>
  <r>
    <s v="Regular"/>
    <x v="1"/>
    <x v="2"/>
    <x v="1"/>
    <x v="3"/>
    <x v="0"/>
    <x v="0"/>
    <x v="1"/>
    <x v="9"/>
    <n v="0"/>
    <n v="0"/>
    <n v="109.57299999999999"/>
    <n v="109.57299999999999"/>
    <n v="109.57299999999999"/>
    <n v="109.57299999999999"/>
    <n v="1496"/>
    <x v="0"/>
    <n v="0"/>
    <n v="0"/>
    <n v="18"/>
    <n v="55"/>
    <n v="0"/>
    <n v="284.74"/>
    <n v="151.11000000000001"/>
    <m/>
    <n v="361.77562134179681"/>
    <n v="153.5181004249998"/>
    <n v="0"/>
    <n v="31199.816019999998"/>
    <n v="16557.57603"/>
    <n v="0"/>
    <n v="39640.8401572847"/>
    <n v="16821.438817868504"/>
  </r>
  <r>
    <s v="Regular"/>
    <x v="1"/>
    <x v="2"/>
    <x v="1"/>
    <x v="3"/>
    <x v="0"/>
    <x v="0"/>
    <x v="1"/>
    <x v="10"/>
    <n v="0"/>
    <n v="0"/>
    <n v="122.306"/>
    <n v="122.306"/>
    <n v="122.306"/>
    <n v="122.306"/>
    <n v="1382"/>
    <x v="0"/>
    <n v="0"/>
    <n v="0"/>
    <n v="18"/>
    <n v="55"/>
    <n v="0"/>
    <n v="284.74"/>
    <n v="151.11000000000001"/>
    <m/>
    <n v="361.77562134179681"/>
    <n v="153.5181004249998"/>
    <n v="0"/>
    <n v="34825.41044"/>
    <n v="18481.659660000001"/>
    <n v="0"/>
    <n v="44247.329143829797"/>
    <n v="18776.184790580024"/>
  </r>
  <r>
    <s v="Regular"/>
    <x v="1"/>
    <x v="2"/>
    <x v="1"/>
    <x v="3"/>
    <x v="0"/>
    <x v="0"/>
    <x v="1"/>
    <x v="11"/>
    <n v="0"/>
    <n v="0"/>
    <n v="123.492"/>
    <n v="123.492"/>
    <n v="123.492"/>
    <n v="123.492"/>
    <n v="1474"/>
    <x v="0"/>
    <n v="0"/>
    <n v="0"/>
    <n v="18"/>
    <n v="55"/>
    <n v="0"/>
    <n v="284.74"/>
    <n v="151.11000000000001"/>
    <m/>
    <n v="361.77562134179681"/>
    <n v="153.5181004249998"/>
    <n v="0"/>
    <n v="35163.112079999999"/>
    <n v="18660.876120000001"/>
    <n v="0"/>
    <n v="44676.395030741172"/>
    <n v="18958.257257684076"/>
  </r>
  <r>
    <s v="Regular"/>
    <x v="1"/>
    <x v="2"/>
    <x v="1"/>
    <x v="4"/>
    <x v="0"/>
    <x v="0"/>
    <x v="1"/>
    <x v="0"/>
    <n v="0"/>
    <n v="0"/>
    <n v="31.216000000000001"/>
    <n v="31.216000000000001"/>
    <n v="31.216000000000001"/>
    <n v="31.216000000000001"/>
    <n v="630"/>
    <x v="0"/>
    <n v="0"/>
    <n v="0"/>
    <n v="19"/>
    <n v="56"/>
    <n v="0"/>
    <n v="427.11"/>
    <n v="226.67"/>
    <m/>
    <n v="542.66343201269524"/>
    <n v="230.27715063749969"/>
    <n v="0"/>
    <n v="13332.665760000002"/>
    <n v="7075.7307199999996"/>
    <n v="0"/>
    <n v="16939.781693708293"/>
    <n v="7188.3315343001905"/>
  </r>
  <r>
    <s v="Regular"/>
    <x v="1"/>
    <x v="2"/>
    <x v="1"/>
    <x v="4"/>
    <x v="0"/>
    <x v="0"/>
    <x v="1"/>
    <x v="1"/>
    <n v="0"/>
    <n v="0"/>
    <n v="25.992000000000001"/>
    <n v="25.992000000000001"/>
    <n v="25.992000000000001"/>
    <n v="25.992000000000001"/>
    <n v="560"/>
    <x v="0"/>
    <n v="0"/>
    <n v="0"/>
    <n v="19"/>
    <n v="56"/>
    <n v="0"/>
    <n v="427.11"/>
    <n v="226.67"/>
    <m/>
    <n v="542.66343201269524"/>
    <n v="230.27715063749969"/>
    <n v="0"/>
    <n v="11101.44312"/>
    <n v="5891.60664"/>
    <n v="0"/>
    <n v="14104.907924873974"/>
    <n v="5985.3636993698919"/>
  </r>
  <r>
    <s v="Regular"/>
    <x v="1"/>
    <x v="2"/>
    <x v="1"/>
    <x v="4"/>
    <x v="0"/>
    <x v="0"/>
    <x v="1"/>
    <x v="2"/>
    <n v="0"/>
    <n v="0"/>
    <n v="23.824999999999999"/>
    <n v="23.824999999999999"/>
    <n v="23.824999999999999"/>
    <n v="23.824999999999999"/>
    <n v="500"/>
    <x v="0"/>
    <n v="0"/>
    <n v="0"/>
    <n v="19"/>
    <n v="56"/>
    <n v="0"/>
    <n v="427.11"/>
    <n v="226.67"/>
    <m/>
    <n v="542.66343201269524"/>
    <n v="230.27715063749969"/>
    <n v="0"/>
    <n v="10175.89575"/>
    <n v="5400.4127499999995"/>
    <n v="0"/>
    <n v="12928.956267702464"/>
    <n v="5486.3531139384295"/>
  </r>
  <r>
    <s v="Regular"/>
    <x v="1"/>
    <x v="2"/>
    <x v="1"/>
    <x v="4"/>
    <x v="0"/>
    <x v="0"/>
    <x v="1"/>
    <x v="3"/>
    <n v="0"/>
    <n v="0"/>
    <n v="23.878"/>
    <n v="23.878"/>
    <n v="23.878"/>
    <n v="23.878"/>
    <n v="511"/>
    <x v="0"/>
    <n v="0"/>
    <n v="0"/>
    <n v="19"/>
    <n v="56"/>
    <n v="0"/>
    <n v="427.11"/>
    <n v="226.67"/>
    <m/>
    <n v="542.66343201269524"/>
    <n v="230.27715063749969"/>
    <n v="0"/>
    <n v="10198.532580000001"/>
    <n v="5412.4262599999993"/>
    <n v="0"/>
    <n v="12957.717429599137"/>
    <n v="5498.5578029222179"/>
  </r>
  <r>
    <s v="Regular"/>
    <x v="1"/>
    <x v="2"/>
    <x v="1"/>
    <x v="4"/>
    <x v="0"/>
    <x v="0"/>
    <x v="1"/>
    <x v="4"/>
    <n v="0"/>
    <n v="0"/>
    <n v="25.832999999999998"/>
    <n v="25.832999999999998"/>
    <n v="25.832999999999998"/>
    <n v="25.832999999999998"/>
    <n v="562"/>
    <x v="0"/>
    <n v="0"/>
    <n v="0"/>
    <n v="19"/>
    <n v="56"/>
    <n v="0"/>
    <n v="427.11"/>
    <n v="226.67"/>
    <m/>
    <n v="542.66343201269524"/>
    <n v="230.27715063749969"/>
    <n v="0"/>
    <n v="11033.53263"/>
    <n v="5855.5661099999998"/>
    <n v="0"/>
    <n v="14018.624439183955"/>
    <n v="5948.7496324185295"/>
  </r>
  <r>
    <s v="Regular"/>
    <x v="1"/>
    <x v="2"/>
    <x v="1"/>
    <x v="4"/>
    <x v="0"/>
    <x v="0"/>
    <x v="1"/>
    <x v="5"/>
    <n v="0"/>
    <n v="0"/>
    <n v="26.504999999999999"/>
    <n v="26.504999999999999"/>
    <n v="26.504999999999999"/>
    <n v="26.504999999999999"/>
    <n v="569"/>
    <x v="0"/>
    <n v="0"/>
    <n v="0"/>
    <n v="19"/>
    <n v="56"/>
    <n v="0"/>
    <n v="427.11"/>
    <n v="226.67"/>
    <m/>
    <n v="542.66343201269524"/>
    <n v="230.27715063749969"/>
    <n v="0"/>
    <n v="11320.55055"/>
    <n v="6007.8883499999993"/>
    <n v="0"/>
    <n v="14383.294265496486"/>
    <n v="6103.4958776469293"/>
  </r>
  <r>
    <s v="Regular"/>
    <x v="1"/>
    <x v="2"/>
    <x v="1"/>
    <x v="4"/>
    <x v="0"/>
    <x v="0"/>
    <x v="1"/>
    <x v="6"/>
    <n v="0"/>
    <n v="0"/>
    <n v="45.292999999999999"/>
    <n v="45.292999999999999"/>
    <n v="45.292999999999999"/>
    <n v="45.292999999999999"/>
    <n v="805"/>
    <x v="0"/>
    <n v="0"/>
    <n v="0"/>
    <n v="19"/>
    <n v="56"/>
    <n v="0"/>
    <n v="427.11"/>
    <n v="226.67"/>
    <m/>
    <n v="542.66343201269524"/>
    <n v="230.27715063749969"/>
    <n v="0"/>
    <n v="19345.093229999999"/>
    <n v="10266.56431"/>
    <n v="0"/>
    <n v="24578.854826151004"/>
    <n v="10429.942983824274"/>
  </r>
  <r>
    <s v="Regular"/>
    <x v="1"/>
    <x v="2"/>
    <x v="1"/>
    <x v="4"/>
    <x v="0"/>
    <x v="0"/>
    <x v="1"/>
    <x v="7"/>
    <n v="0"/>
    <n v="0"/>
    <n v="38.020000000000003"/>
    <n v="38.020000000000003"/>
    <n v="38.020000000000003"/>
    <n v="38.020000000000003"/>
    <n v="726"/>
    <x v="0"/>
    <n v="0"/>
    <n v="0"/>
    <n v="19"/>
    <n v="56"/>
    <n v="0"/>
    <n v="427.11"/>
    <n v="226.67"/>
    <m/>
    <n v="542.66343201269524"/>
    <n v="230.27715063749969"/>
    <n v="0"/>
    <n v="16238.722200000002"/>
    <n v="8617.9933999999994"/>
    <n v="0"/>
    <n v="20632.063685122674"/>
    <n v="8755.1372672377383"/>
  </r>
  <r>
    <s v="Regular"/>
    <x v="1"/>
    <x v="2"/>
    <x v="1"/>
    <x v="4"/>
    <x v="0"/>
    <x v="0"/>
    <x v="1"/>
    <x v="8"/>
    <n v="0"/>
    <n v="0"/>
    <n v="35.238999999999997"/>
    <n v="35.238999999999997"/>
    <n v="35.238999999999997"/>
    <n v="35.238999999999997"/>
    <n v="698"/>
    <x v="0"/>
    <n v="0"/>
    <n v="0"/>
    <n v="19"/>
    <n v="56"/>
    <n v="0"/>
    <n v="427.11"/>
    <n v="226.67"/>
    <m/>
    <n v="542.66343201269524"/>
    <n v="230.27715063749969"/>
    <n v="0"/>
    <n v="15050.92929"/>
    <n v="7987.6241299999992"/>
    <n v="0"/>
    <n v="19122.916680695365"/>
    <n v="8114.7365113148508"/>
  </r>
  <r>
    <s v="Regular"/>
    <x v="1"/>
    <x v="2"/>
    <x v="1"/>
    <x v="4"/>
    <x v="0"/>
    <x v="0"/>
    <x v="1"/>
    <x v="9"/>
    <n v="0"/>
    <n v="0"/>
    <n v="35.987000000000002"/>
    <n v="35.987000000000002"/>
    <n v="35.987000000000002"/>
    <n v="35.987000000000002"/>
    <n v="690"/>
    <x v="0"/>
    <n v="0"/>
    <n v="0"/>
    <n v="19"/>
    <n v="56"/>
    <n v="0"/>
    <n v="427.11"/>
    <n v="226.67"/>
    <m/>
    <n v="542.66343201269524"/>
    <n v="230.27715063749969"/>
    <n v="0"/>
    <n v="15370.407570000001"/>
    <n v="8157.1732899999997"/>
    <n v="0"/>
    <n v="19528.828927840863"/>
    <n v="8286.9838199917012"/>
  </r>
  <r>
    <s v="Regular"/>
    <x v="1"/>
    <x v="2"/>
    <x v="1"/>
    <x v="4"/>
    <x v="0"/>
    <x v="0"/>
    <x v="1"/>
    <x v="10"/>
    <n v="0"/>
    <n v="0"/>
    <n v="46.878"/>
    <n v="46.878"/>
    <n v="46.878"/>
    <n v="46.878"/>
    <n v="835"/>
    <x v="0"/>
    <n v="0"/>
    <n v="0"/>
    <n v="19"/>
    <n v="56"/>
    <n v="0"/>
    <n v="427.11"/>
    <n v="226.67"/>
    <m/>
    <n v="542.66343201269524"/>
    <n v="230.27715063749969"/>
    <n v="0"/>
    <n v="20022.062580000002"/>
    <n v="10625.83626"/>
    <n v="0"/>
    <n v="25438.976365891129"/>
    <n v="10794.932267584711"/>
  </r>
  <r>
    <s v="Regular"/>
    <x v="1"/>
    <x v="2"/>
    <x v="1"/>
    <x v="4"/>
    <x v="0"/>
    <x v="0"/>
    <x v="1"/>
    <x v="11"/>
    <n v="0"/>
    <n v="0"/>
    <n v="45.223999999999997"/>
    <n v="45.223999999999997"/>
    <n v="45.223999999999997"/>
    <n v="45.223999999999997"/>
    <n v="818"/>
    <x v="0"/>
    <n v="0"/>
    <n v="0"/>
    <n v="19"/>
    <n v="56"/>
    <n v="0"/>
    <n v="427.11"/>
    <n v="226.67"/>
    <m/>
    <n v="542.66343201269524"/>
    <n v="230.27715063749969"/>
    <n v="0"/>
    <n v="19315.622639999998"/>
    <n v="10250.924079999999"/>
    <n v="0"/>
    <n v="24541.411049342129"/>
    <n v="10414.053860430286"/>
  </r>
  <r>
    <s v="Regular"/>
    <x v="1"/>
    <x v="2"/>
    <x v="1"/>
    <x v="5"/>
    <x v="0"/>
    <x v="0"/>
    <x v="1"/>
    <x v="0"/>
    <n v="0"/>
    <n v="0"/>
    <n v="6.4710000000000001"/>
    <n v="6.4710000000000001"/>
    <n v="6.4710000000000001"/>
    <n v="6.4710000000000001"/>
    <n v="55"/>
    <x v="0"/>
    <n v="0"/>
    <n v="0"/>
    <n v="20"/>
    <n v="57"/>
    <n v="0"/>
    <n v="474.57"/>
    <n v="251.85"/>
    <m/>
    <n v="602.9593689029947"/>
    <n v="255.86350070833299"/>
    <n v="0"/>
    <n v="3070.94247"/>
    <n v="1629.72135"/>
    <n v="0"/>
    <n v="3901.7500761712786"/>
    <n v="1655.6927130836227"/>
  </r>
  <r>
    <s v="Regular"/>
    <x v="1"/>
    <x v="2"/>
    <x v="1"/>
    <x v="5"/>
    <x v="0"/>
    <x v="0"/>
    <x v="1"/>
    <x v="1"/>
    <n v="0"/>
    <n v="0"/>
    <n v="5.9880000000000004"/>
    <n v="5.9880000000000004"/>
    <n v="5.9880000000000004"/>
    <n v="5.9880000000000004"/>
    <n v="51"/>
    <x v="0"/>
    <n v="0"/>
    <n v="0"/>
    <n v="20"/>
    <n v="57"/>
    <n v="0"/>
    <n v="474.57"/>
    <n v="251.85"/>
    <m/>
    <n v="602.9593689029947"/>
    <n v="255.86350070833299"/>
    <n v="0"/>
    <n v="2841.72516"/>
    <n v="1508.0778"/>
    <n v="0"/>
    <n v="3610.5207009911323"/>
    <n v="1532.110642241498"/>
  </r>
  <r>
    <s v="Regular"/>
    <x v="1"/>
    <x v="2"/>
    <x v="1"/>
    <x v="5"/>
    <x v="0"/>
    <x v="0"/>
    <x v="1"/>
    <x v="2"/>
    <n v="0"/>
    <n v="0"/>
    <n v="5.5570000000000004"/>
    <n v="5.5570000000000004"/>
    <n v="5.5570000000000004"/>
    <n v="5.5570000000000004"/>
    <n v="52"/>
    <x v="0"/>
    <n v="0"/>
    <n v="0"/>
    <n v="20"/>
    <n v="57"/>
    <n v="0"/>
    <n v="474.57"/>
    <n v="251.85"/>
    <m/>
    <n v="602.9593689029947"/>
    <n v="255.86350070833299"/>
    <n v="0"/>
    <n v="2637.1854900000003"/>
    <n v="1399.53045"/>
    <n v="0"/>
    <n v="3350.6452129939416"/>
    <n v="1421.8334734362065"/>
  </r>
  <r>
    <s v="Regular"/>
    <x v="1"/>
    <x v="2"/>
    <x v="1"/>
    <x v="5"/>
    <x v="0"/>
    <x v="0"/>
    <x v="1"/>
    <x v="3"/>
    <n v="0"/>
    <n v="0"/>
    <n v="5.3540000000000001"/>
    <n v="5.3540000000000001"/>
    <n v="5.3540000000000001"/>
    <n v="5.3540000000000001"/>
    <n v="52"/>
    <x v="0"/>
    <n v="0"/>
    <n v="0"/>
    <n v="20"/>
    <n v="57"/>
    <n v="0"/>
    <n v="474.57"/>
    <n v="251.85"/>
    <m/>
    <n v="602.9593689029947"/>
    <n v="255.86350070833299"/>
    <n v="0"/>
    <n v="2540.8477800000001"/>
    <n v="1348.4049"/>
    <n v="0"/>
    <n v="3228.2444611066335"/>
    <n v="1369.8931827924148"/>
  </r>
  <r>
    <s v="Regular"/>
    <x v="1"/>
    <x v="2"/>
    <x v="1"/>
    <x v="5"/>
    <x v="0"/>
    <x v="0"/>
    <x v="1"/>
    <x v="4"/>
    <n v="0"/>
    <n v="0"/>
    <n v="5.7149999999999999"/>
    <n v="5.7149999999999999"/>
    <n v="5.7149999999999999"/>
    <n v="5.7149999999999999"/>
    <n v="52"/>
    <x v="0"/>
    <n v="0"/>
    <n v="0"/>
    <n v="20"/>
    <n v="57"/>
    <n v="0"/>
    <n v="474.57"/>
    <n v="251.85"/>
    <m/>
    <n v="602.9593689029947"/>
    <n v="255.86350070833299"/>
    <n v="0"/>
    <n v="2712.1675500000001"/>
    <n v="1439.32275"/>
    <n v="0"/>
    <n v="3445.9127932806146"/>
    <n v="1462.2599065481231"/>
  </r>
  <r>
    <s v="Regular"/>
    <x v="1"/>
    <x v="2"/>
    <x v="1"/>
    <x v="5"/>
    <x v="0"/>
    <x v="0"/>
    <x v="1"/>
    <x v="5"/>
    <n v="0"/>
    <n v="0"/>
    <n v="6.5549999999999997"/>
    <n v="6.5549999999999997"/>
    <n v="6.5549999999999997"/>
    <n v="6.5549999999999997"/>
    <n v="58"/>
    <x v="0"/>
    <n v="0"/>
    <n v="0"/>
    <n v="20"/>
    <n v="57"/>
    <n v="0"/>
    <n v="474.57"/>
    <n v="251.85"/>
    <m/>
    <n v="602.9593689029947"/>
    <n v="255.86350070833299"/>
    <n v="0"/>
    <n v="3110.8063499999998"/>
    <n v="1650.8767499999999"/>
    <n v="0"/>
    <n v="3952.3986631591301"/>
    <n v="1677.1852471431228"/>
  </r>
  <r>
    <s v="Regular"/>
    <x v="1"/>
    <x v="2"/>
    <x v="1"/>
    <x v="5"/>
    <x v="0"/>
    <x v="0"/>
    <x v="1"/>
    <x v="6"/>
    <n v="0"/>
    <n v="0"/>
    <n v="10.648999999999999"/>
    <n v="10.648999999999999"/>
    <n v="10.648999999999999"/>
    <n v="10.648999999999999"/>
    <n v="110"/>
    <x v="0"/>
    <n v="0"/>
    <n v="0"/>
    <n v="20"/>
    <n v="57"/>
    <n v="0"/>
    <n v="474.57"/>
    <n v="251.85"/>
    <m/>
    <n v="602.9593689029947"/>
    <n v="255.86350070833299"/>
    <n v="0"/>
    <n v="5053.6959299999999"/>
    <n v="2681.9506499999998"/>
    <n v="0"/>
    <n v="6420.9143194479902"/>
    <n v="2724.6904190430378"/>
  </r>
  <r>
    <s v="Regular"/>
    <x v="1"/>
    <x v="2"/>
    <x v="1"/>
    <x v="5"/>
    <x v="0"/>
    <x v="0"/>
    <x v="1"/>
    <x v="7"/>
    <n v="0"/>
    <n v="0"/>
    <n v="8.0709999999999997"/>
    <n v="8.0709999999999997"/>
    <n v="8.0709999999999997"/>
    <n v="8.0709999999999997"/>
    <n v="84"/>
    <x v="0"/>
    <n v="0"/>
    <n v="0"/>
    <n v="20"/>
    <n v="57"/>
    <n v="0"/>
    <n v="474.57"/>
    <n v="251.85"/>
    <m/>
    <n v="602.9593689029947"/>
    <n v="255.86350070833299"/>
    <n v="0"/>
    <n v="3830.2544699999999"/>
    <n v="2032.6813499999998"/>
    <n v="0"/>
    <n v="4866.4850664160704"/>
    <n v="2065.0743142169554"/>
  </r>
  <r>
    <s v="Regular"/>
    <x v="1"/>
    <x v="2"/>
    <x v="1"/>
    <x v="5"/>
    <x v="0"/>
    <x v="0"/>
    <x v="1"/>
    <x v="8"/>
    <n v="0"/>
    <n v="0"/>
    <n v="8.3030000000000008"/>
    <n v="8.3030000000000008"/>
    <n v="8.3030000000000008"/>
    <n v="8.3030000000000008"/>
    <n v="80"/>
    <x v="0"/>
    <n v="0"/>
    <n v="0"/>
    <n v="20"/>
    <n v="57"/>
    <n v="0"/>
    <n v="474.57"/>
    <n v="251.85"/>
    <m/>
    <n v="602.9593689029947"/>
    <n v="255.86350070833299"/>
    <n v="0"/>
    <n v="3940.3547100000005"/>
    <n v="2091.1105500000003"/>
    <n v="0"/>
    <n v="5006.3716400015655"/>
    <n v="2124.434646381289"/>
  </r>
  <r>
    <s v="Regular"/>
    <x v="1"/>
    <x v="2"/>
    <x v="1"/>
    <x v="5"/>
    <x v="0"/>
    <x v="0"/>
    <x v="1"/>
    <x v="9"/>
    <n v="0"/>
    <n v="0"/>
    <n v="10.814"/>
    <n v="10.814"/>
    <n v="10.814"/>
    <n v="10.814"/>
    <n v="72"/>
    <x v="0"/>
    <n v="0"/>
    <n v="0"/>
    <n v="20"/>
    <n v="57"/>
    <n v="0"/>
    <n v="474.57"/>
    <n v="251.85"/>
    <m/>
    <n v="602.9593689029947"/>
    <n v="255.86350070833299"/>
    <n v="0"/>
    <n v="5131.9999799999996"/>
    <n v="2723.5059000000001"/>
    <n v="0"/>
    <n v="6520.4026153169843"/>
    <n v="2766.9078966599131"/>
  </r>
  <r>
    <s v="Regular"/>
    <x v="1"/>
    <x v="2"/>
    <x v="1"/>
    <x v="5"/>
    <x v="0"/>
    <x v="0"/>
    <x v="1"/>
    <x v="10"/>
    <n v="0"/>
    <n v="0"/>
    <n v="16.321000000000002"/>
    <n v="16.321000000000002"/>
    <n v="16.321000000000002"/>
    <n v="16.321000000000002"/>
    <n v="123"/>
    <x v="0"/>
    <n v="0"/>
    <n v="0"/>
    <n v="20"/>
    <n v="57"/>
    <n v="0"/>
    <n v="474.57"/>
    <n v="251.85"/>
    <m/>
    <n v="602.9593689029947"/>
    <n v="255.86350070833299"/>
    <n v="0"/>
    <n v="7745.4569700000002"/>
    <n v="4110.4438500000006"/>
    <n v="0"/>
    <n v="9840.8998598657781"/>
    <n v="4175.9481950607033"/>
  </r>
  <r>
    <s v="Regular"/>
    <x v="1"/>
    <x v="2"/>
    <x v="1"/>
    <x v="5"/>
    <x v="0"/>
    <x v="0"/>
    <x v="1"/>
    <x v="11"/>
    <n v="0"/>
    <n v="0"/>
    <n v="14.085000000000001"/>
    <n v="14.085000000000001"/>
    <n v="14.085000000000001"/>
    <n v="14.085000000000001"/>
    <n v="106"/>
    <x v="0"/>
    <n v="0"/>
    <n v="0"/>
    <n v="20"/>
    <n v="57"/>
    <n v="0"/>
    <n v="474.57"/>
    <n v="251.85"/>
    <m/>
    <n v="602.9593689029947"/>
    <n v="255.86350070833299"/>
    <n v="0"/>
    <n v="6684.3184500000007"/>
    <n v="3547.3072500000003"/>
    <n v="0"/>
    <n v="8492.6827109986807"/>
    <n v="3603.8374074768703"/>
  </r>
  <r>
    <s v="Regular"/>
    <x v="2"/>
    <x v="1"/>
    <x v="2"/>
    <x v="0"/>
    <x v="0"/>
    <x v="0"/>
    <x v="0"/>
    <x v="0"/>
    <n v="0"/>
    <n v="0"/>
    <n v="0.35799999999999998"/>
    <n v="0.35799999999999998"/>
    <n v="0.35799999999999998"/>
    <n v="0.35799999999999998"/>
    <n v="0"/>
    <x v="0"/>
    <n v="0"/>
    <n v="0"/>
    <n v="28"/>
    <n v="65"/>
    <n v="0"/>
    <n v="268.26"/>
    <n v="221.63"/>
    <m/>
    <n v="371.9845343913355"/>
    <n v="240.51169066583299"/>
    <n v="0"/>
    <n v="96.037079999999989"/>
    <n v="79.34353999999999"/>
    <n v="0"/>
    <n v="133.17046331209809"/>
    <n v="86.1031852583682"/>
  </r>
  <r>
    <s v="Regular"/>
    <x v="2"/>
    <x v="1"/>
    <x v="2"/>
    <x v="0"/>
    <x v="0"/>
    <x v="0"/>
    <x v="0"/>
    <x v="1"/>
    <n v="0"/>
    <n v="0"/>
    <n v="0.311"/>
    <n v="0.311"/>
    <n v="0.311"/>
    <n v="0.311"/>
    <n v="0"/>
    <x v="0"/>
    <n v="0"/>
    <n v="0"/>
    <n v="28"/>
    <n v="65"/>
    <n v="0"/>
    <n v="268.26"/>
    <n v="221.63"/>
    <m/>
    <n v="371.9845343913355"/>
    <n v="240.51169066583299"/>
    <n v="0"/>
    <n v="83.42886"/>
    <n v="68.926929999999999"/>
    <n v="0"/>
    <n v="115.68719019570534"/>
    <n v="74.799135797074058"/>
  </r>
  <r>
    <s v="Regular"/>
    <x v="2"/>
    <x v="1"/>
    <x v="2"/>
    <x v="0"/>
    <x v="0"/>
    <x v="0"/>
    <x v="0"/>
    <x v="2"/>
    <n v="0"/>
    <n v="0"/>
    <n v="0.41899999999999998"/>
    <n v="0.41899999999999998"/>
    <n v="0.41899999999999998"/>
    <n v="0.41899999999999998"/>
    <n v="0"/>
    <x v="0"/>
    <n v="0"/>
    <n v="0"/>
    <n v="28"/>
    <n v="65"/>
    <n v="0"/>
    <n v="268.26"/>
    <n v="221.63"/>
    <m/>
    <n v="371.9845343913355"/>
    <n v="240.51169066583299"/>
    <n v="0"/>
    <n v="112.40093999999999"/>
    <n v="92.86296999999999"/>
    <n v="0"/>
    <n v="155.86151990996956"/>
    <n v="100.77439838898401"/>
  </r>
  <r>
    <s v="Regular"/>
    <x v="2"/>
    <x v="1"/>
    <x v="2"/>
    <x v="0"/>
    <x v="0"/>
    <x v="0"/>
    <x v="0"/>
    <x v="3"/>
    <n v="0"/>
    <n v="0"/>
    <n v="0.36899999999999999"/>
    <n v="0.36899999999999999"/>
    <n v="0.36899999999999999"/>
    <n v="0.36899999999999999"/>
    <n v="0"/>
    <x v="0"/>
    <n v="0"/>
    <n v="0"/>
    <n v="28"/>
    <n v="65"/>
    <n v="0"/>
    <n v="268.26"/>
    <n v="221.63"/>
    <m/>
    <n v="371.9845343913355"/>
    <n v="240.51169066583299"/>
    <n v="0"/>
    <n v="98.987939999999995"/>
    <n v="81.781469999999999"/>
    <n v="0"/>
    <n v="137.2622931904028"/>
    <n v="88.748813855692376"/>
  </r>
  <r>
    <s v="Regular"/>
    <x v="2"/>
    <x v="1"/>
    <x v="2"/>
    <x v="0"/>
    <x v="0"/>
    <x v="0"/>
    <x v="0"/>
    <x v="4"/>
    <n v="0"/>
    <n v="0"/>
    <n v="0.7"/>
    <n v="0.7"/>
    <n v="0.7"/>
    <n v="0.7"/>
    <n v="0"/>
    <x v="0"/>
    <n v="0"/>
    <n v="0"/>
    <n v="28"/>
    <n v="65"/>
    <n v="0"/>
    <n v="268.26"/>
    <n v="221.63"/>
    <m/>
    <n v="371.9845343913355"/>
    <n v="240.51169066583299"/>
    <n v="0"/>
    <n v="187.78199999999998"/>
    <n v="155.14099999999999"/>
    <n v="0"/>
    <n v="260.38917407393484"/>
    <n v="168.35818346608309"/>
  </r>
  <r>
    <s v="Regular"/>
    <x v="2"/>
    <x v="1"/>
    <x v="2"/>
    <x v="0"/>
    <x v="0"/>
    <x v="0"/>
    <x v="0"/>
    <x v="5"/>
    <n v="0"/>
    <n v="0"/>
    <n v="2.4430000000000001"/>
    <n v="2.4430000000000001"/>
    <n v="2.4430000000000001"/>
    <n v="2.4430000000000001"/>
    <n v="0"/>
    <x v="0"/>
    <n v="0"/>
    <n v="0"/>
    <n v="28"/>
    <n v="65"/>
    <n v="0"/>
    <n v="268.26"/>
    <n v="221.63"/>
    <m/>
    <n v="371.9845343913355"/>
    <n v="240.51169066583299"/>
    <n v="0"/>
    <n v="655.35918000000004"/>
    <n v="541.44209000000001"/>
    <n v="0"/>
    <n v="908.75821751803267"/>
    <n v="587.57006029663"/>
  </r>
  <r>
    <s v="Regular"/>
    <x v="2"/>
    <x v="1"/>
    <x v="2"/>
    <x v="0"/>
    <x v="0"/>
    <x v="0"/>
    <x v="0"/>
    <x v="6"/>
    <n v="0"/>
    <n v="0"/>
    <n v="2.0289999999999999"/>
    <n v="2.0289999999999999"/>
    <n v="2.0289999999999999"/>
    <n v="2.0289999999999999"/>
    <n v="0"/>
    <x v="0"/>
    <n v="0"/>
    <n v="0"/>
    <n v="28"/>
    <n v="65"/>
    <n v="0"/>
    <n v="268.26"/>
    <n v="221.63"/>
    <m/>
    <n v="371.9845343913355"/>
    <n v="240.51169066583299"/>
    <n v="0"/>
    <n v="544.29953999999998"/>
    <n v="449.68726999999996"/>
    <n v="0"/>
    <n v="754.75662028001966"/>
    <n v="487.9982203609751"/>
  </r>
  <r>
    <s v="Regular"/>
    <x v="2"/>
    <x v="1"/>
    <x v="2"/>
    <x v="0"/>
    <x v="0"/>
    <x v="0"/>
    <x v="0"/>
    <x v="7"/>
    <n v="0"/>
    <n v="0"/>
    <n v="2.347"/>
    <n v="2.347"/>
    <n v="2.347"/>
    <n v="2.347"/>
    <n v="0"/>
    <x v="0"/>
    <n v="0"/>
    <n v="0"/>
    <n v="28"/>
    <n v="65"/>
    <n v="0"/>
    <n v="268.26"/>
    <n v="221.63"/>
    <m/>
    <n v="371.9845343913355"/>
    <n v="240.51169066583299"/>
    <n v="0"/>
    <n v="629.60622000000001"/>
    <n v="520.16561000000002"/>
    <n v="0"/>
    <n v="873.04770221646436"/>
    <n v="564.48093799270998"/>
  </r>
  <r>
    <s v="Regular"/>
    <x v="2"/>
    <x v="1"/>
    <x v="2"/>
    <x v="0"/>
    <x v="0"/>
    <x v="0"/>
    <x v="0"/>
    <x v="8"/>
    <n v="0"/>
    <n v="0"/>
    <n v="0.98799999999999999"/>
    <n v="0.98799999999999999"/>
    <n v="0.98799999999999999"/>
    <n v="0.98799999999999999"/>
    <n v="0"/>
    <x v="0"/>
    <n v="0"/>
    <n v="0"/>
    <n v="28"/>
    <n v="65"/>
    <n v="0"/>
    <n v="268.26"/>
    <n v="221.63"/>
    <m/>
    <n v="371.9845343913355"/>
    <n v="240.51169066583299"/>
    <n v="0"/>
    <n v="265.04088000000002"/>
    <n v="218.97044"/>
    <n v="0"/>
    <n v="367.52071997863948"/>
    <n v="237.62555037784298"/>
  </r>
  <r>
    <s v="Regular"/>
    <x v="2"/>
    <x v="1"/>
    <x v="2"/>
    <x v="0"/>
    <x v="0"/>
    <x v="0"/>
    <x v="0"/>
    <x v="9"/>
    <n v="0"/>
    <n v="0"/>
    <n v="2.86"/>
    <n v="2.86"/>
    <n v="2.86"/>
    <n v="2.86"/>
    <n v="0"/>
    <x v="0"/>
    <n v="0"/>
    <n v="0"/>
    <n v="28"/>
    <n v="65"/>
    <n v="0"/>
    <n v="268.26"/>
    <n v="221.63"/>
    <m/>
    <n v="371.9845343913355"/>
    <n v="240.51169066583299"/>
    <n v="0"/>
    <n v="767.22359999999992"/>
    <n v="633.8617999999999"/>
    <n v="0"/>
    <n v="1063.8757683592196"/>
    <n v="687.86343530428235"/>
  </r>
  <r>
    <s v="Regular"/>
    <x v="2"/>
    <x v="1"/>
    <x v="2"/>
    <x v="0"/>
    <x v="0"/>
    <x v="0"/>
    <x v="0"/>
    <x v="10"/>
    <n v="0"/>
    <n v="0"/>
    <n v="2.86"/>
    <n v="2.86"/>
    <n v="2.86"/>
    <n v="2.86"/>
    <n v="0"/>
    <x v="0"/>
    <n v="0"/>
    <n v="0"/>
    <n v="28"/>
    <n v="65"/>
    <n v="0"/>
    <n v="268.26"/>
    <n v="221.63"/>
    <m/>
    <n v="371.9845343913355"/>
    <n v="240.51169066583299"/>
    <n v="0"/>
    <n v="767.22359999999992"/>
    <n v="633.8617999999999"/>
    <n v="0"/>
    <n v="1063.8757683592196"/>
    <n v="687.86343530428235"/>
  </r>
  <r>
    <s v="Regular"/>
    <x v="2"/>
    <x v="1"/>
    <x v="2"/>
    <x v="0"/>
    <x v="0"/>
    <x v="0"/>
    <x v="0"/>
    <x v="11"/>
    <n v="0"/>
    <n v="0"/>
    <n v="0.88200000000000001"/>
    <n v="0.88200000000000001"/>
    <n v="0.88200000000000001"/>
    <n v="0.88200000000000001"/>
    <n v="0"/>
    <x v="0"/>
    <n v="0"/>
    <n v="0"/>
    <n v="28"/>
    <n v="65"/>
    <n v="0"/>
    <n v="268.26"/>
    <n v="221.63"/>
    <m/>
    <n v="371.9845343913355"/>
    <n v="240.51169066583299"/>
    <n v="0"/>
    <n v="236.60532000000001"/>
    <n v="195.47765999999999"/>
    <n v="0"/>
    <n v="328.09035933315789"/>
    <n v="212.1313111672647"/>
  </r>
  <r>
    <s v="Regular"/>
    <x v="2"/>
    <x v="1"/>
    <x v="2"/>
    <x v="0"/>
    <x v="0"/>
    <x v="0"/>
    <x v="3"/>
    <x v="0"/>
    <n v="0"/>
    <n v="0"/>
    <n v="0.02"/>
    <n v="0.02"/>
    <n v="0.02"/>
    <n v="0.02"/>
    <n v="0"/>
    <x v="0"/>
    <n v="0"/>
    <n v="0"/>
    <n v="27"/>
    <n v="64"/>
    <n v="0"/>
    <n v="679.72"/>
    <n v="221.63"/>
    <m/>
    <n v="937.00236250970033"/>
    <n v="240.51169066583299"/>
    <n v="0"/>
    <n v="13.5944"/>
    <n v="4.4325999999999999"/>
    <n v="0"/>
    <n v="18.740047250194007"/>
    <n v="4.8102338133166596"/>
  </r>
  <r>
    <s v="Regular"/>
    <x v="2"/>
    <x v="1"/>
    <x v="2"/>
    <x v="0"/>
    <x v="0"/>
    <x v="0"/>
    <x v="3"/>
    <x v="1"/>
    <n v="0"/>
    <n v="0"/>
    <n v="0.02"/>
    <n v="0.02"/>
    <n v="0.02"/>
    <n v="0.02"/>
    <n v="0"/>
    <x v="0"/>
    <n v="0"/>
    <n v="0"/>
    <n v="27"/>
    <n v="64"/>
    <n v="0"/>
    <n v="679.72"/>
    <n v="221.63"/>
    <m/>
    <n v="937.00236250970033"/>
    <n v="240.51169066583299"/>
    <n v="0"/>
    <n v="13.5944"/>
    <n v="4.4325999999999999"/>
    <n v="0"/>
    <n v="18.740047250194007"/>
    <n v="4.8102338133166596"/>
  </r>
  <r>
    <s v="Regular"/>
    <x v="2"/>
    <x v="1"/>
    <x v="2"/>
    <x v="0"/>
    <x v="0"/>
    <x v="0"/>
    <x v="3"/>
    <x v="2"/>
    <n v="0"/>
    <n v="0"/>
    <n v="1.9E-2"/>
    <n v="1.9E-2"/>
    <n v="1.9E-2"/>
    <n v="1.9E-2"/>
    <n v="0"/>
    <x v="0"/>
    <n v="0"/>
    <n v="0"/>
    <n v="27"/>
    <n v="64"/>
    <n v="0"/>
    <n v="679.72"/>
    <n v="221.63"/>
    <m/>
    <n v="937.00236250970033"/>
    <n v="240.51169066583299"/>
    <n v="0"/>
    <n v="12.914680000000001"/>
    <n v="4.2109699999999997"/>
    <n v="0"/>
    <n v="17.803044887684305"/>
    <n v="4.5697221226508269"/>
  </r>
  <r>
    <s v="Regular"/>
    <x v="2"/>
    <x v="1"/>
    <x v="2"/>
    <x v="0"/>
    <x v="0"/>
    <x v="0"/>
    <x v="3"/>
    <x v="3"/>
    <n v="0"/>
    <n v="0"/>
    <n v="2.1000000000000001E-2"/>
    <n v="2.1000000000000001E-2"/>
    <n v="2.1000000000000001E-2"/>
    <n v="2.1000000000000001E-2"/>
    <n v="0"/>
    <x v="0"/>
    <n v="0"/>
    <n v="0"/>
    <n v="27"/>
    <n v="64"/>
    <n v="0"/>
    <n v="679.72"/>
    <n v="221.63"/>
    <m/>
    <n v="937.00236250970033"/>
    <n v="240.51169066583299"/>
    <n v="0"/>
    <n v="14.274120000000002"/>
    <n v="4.6542300000000001"/>
    <n v="0"/>
    <n v="19.677049612703708"/>
    <n v="5.0507455039824931"/>
  </r>
  <r>
    <s v="Regular"/>
    <x v="2"/>
    <x v="1"/>
    <x v="2"/>
    <x v="0"/>
    <x v="0"/>
    <x v="0"/>
    <x v="3"/>
    <x v="4"/>
    <n v="0"/>
    <n v="0"/>
    <n v="2.5000000000000001E-2"/>
    <n v="2.5000000000000001E-2"/>
    <n v="2.5000000000000001E-2"/>
    <n v="2.5000000000000001E-2"/>
    <n v="0"/>
    <x v="0"/>
    <n v="0"/>
    <n v="0"/>
    <n v="27"/>
    <n v="64"/>
    <n v="0"/>
    <n v="679.72"/>
    <n v="221.63"/>
    <m/>
    <n v="937.00236250970033"/>
    <n v="240.51169066583299"/>
    <n v="0"/>
    <n v="16.993000000000002"/>
    <n v="5.5407500000000001"/>
    <n v="0"/>
    <n v="23.425059062742509"/>
    <n v="6.0127922666458247"/>
  </r>
  <r>
    <s v="Regular"/>
    <x v="2"/>
    <x v="1"/>
    <x v="2"/>
    <x v="0"/>
    <x v="0"/>
    <x v="0"/>
    <x v="3"/>
    <x v="5"/>
    <n v="0"/>
    <n v="0"/>
    <n v="3.9E-2"/>
    <n v="3.9E-2"/>
    <n v="3.9E-2"/>
    <n v="3.9E-2"/>
    <n v="0"/>
    <x v="0"/>
    <n v="0"/>
    <n v="0"/>
    <n v="27"/>
    <n v="64"/>
    <n v="0"/>
    <n v="679.72"/>
    <n v="221.63"/>
    <m/>
    <n v="937.00236250970033"/>
    <n v="240.51169066583299"/>
    <n v="0"/>
    <n v="26.509080000000001"/>
    <n v="8.6435700000000004"/>
    <n v="0"/>
    <n v="36.543092137878311"/>
    <n v="9.3799559359674873"/>
  </r>
  <r>
    <s v="Regular"/>
    <x v="2"/>
    <x v="1"/>
    <x v="2"/>
    <x v="0"/>
    <x v="0"/>
    <x v="0"/>
    <x v="3"/>
    <x v="6"/>
    <n v="0"/>
    <n v="0"/>
    <n v="5.1999999999999998E-2"/>
    <n v="5.1999999999999998E-2"/>
    <n v="5.1999999999999998E-2"/>
    <n v="5.1999999999999998E-2"/>
    <n v="0"/>
    <x v="0"/>
    <n v="0"/>
    <n v="0"/>
    <n v="27"/>
    <n v="64"/>
    <n v="0"/>
    <n v="679.72"/>
    <n v="221.63"/>
    <m/>
    <n v="937.00236250970033"/>
    <n v="240.51169066583299"/>
    <n v="0"/>
    <n v="35.345439999999996"/>
    <n v="11.524759999999999"/>
    <n v="0"/>
    <n v="48.724122850504415"/>
    <n v="12.506607914623315"/>
  </r>
  <r>
    <s v="Regular"/>
    <x v="2"/>
    <x v="1"/>
    <x v="2"/>
    <x v="0"/>
    <x v="0"/>
    <x v="0"/>
    <x v="3"/>
    <x v="7"/>
    <n v="0"/>
    <n v="0"/>
    <n v="0.1"/>
    <n v="0.1"/>
    <n v="0.1"/>
    <n v="0.1"/>
    <n v="0"/>
    <x v="0"/>
    <n v="0"/>
    <n v="0"/>
    <n v="27"/>
    <n v="64"/>
    <n v="0"/>
    <n v="679.72"/>
    <n v="221.63"/>
    <m/>
    <n v="937.00236250970033"/>
    <n v="240.51169066583299"/>
    <n v="0"/>
    <n v="67.972000000000008"/>
    <n v="22.163"/>
    <n v="0"/>
    <n v="93.700236250970036"/>
    <n v="24.051169066583299"/>
  </r>
  <r>
    <s v="Regular"/>
    <x v="2"/>
    <x v="1"/>
    <x v="2"/>
    <x v="0"/>
    <x v="0"/>
    <x v="0"/>
    <x v="3"/>
    <x v="8"/>
    <n v="0"/>
    <n v="0"/>
    <n v="4.2000000000000003E-2"/>
    <n v="4.2000000000000003E-2"/>
    <n v="4.2000000000000003E-2"/>
    <n v="4.2000000000000003E-2"/>
    <n v="0"/>
    <x v="0"/>
    <n v="0"/>
    <n v="0"/>
    <n v="27"/>
    <n v="64"/>
    <n v="0"/>
    <n v="679.72"/>
    <n v="221.63"/>
    <m/>
    <n v="937.00236250970033"/>
    <n v="240.51169066583299"/>
    <n v="0"/>
    <n v="28.548240000000003"/>
    <n v="9.3084600000000002"/>
    <n v="0"/>
    <n v="39.354099225407417"/>
    <n v="10.101491007964986"/>
  </r>
  <r>
    <s v="Regular"/>
    <x v="2"/>
    <x v="1"/>
    <x v="2"/>
    <x v="0"/>
    <x v="0"/>
    <x v="0"/>
    <x v="3"/>
    <x v="9"/>
    <n v="0"/>
    <n v="0"/>
    <n v="0.105"/>
    <n v="0.105"/>
    <n v="0.105"/>
    <n v="0.105"/>
    <n v="0"/>
    <x v="0"/>
    <n v="0"/>
    <n v="0"/>
    <n v="27"/>
    <n v="64"/>
    <n v="0"/>
    <n v="679.72"/>
    <n v="221.63"/>
    <m/>
    <n v="937.00236250970033"/>
    <n v="240.51169066583299"/>
    <n v="0"/>
    <n v="71.370599999999996"/>
    <n v="23.271149999999999"/>
    <n v="0"/>
    <n v="98.385248063518532"/>
    <n v="25.253727519912463"/>
  </r>
  <r>
    <s v="Regular"/>
    <x v="2"/>
    <x v="1"/>
    <x v="2"/>
    <x v="0"/>
    <x v="0"/>
    <x v="0"/>
    <x v="3"/>
    <x v="10"/>
    <n v="0"/>
    <n v="0"/>
    <n v="8.5000000000000006E-2"/>
    <n v="8.5000000000000006E-2"/>
    <n v="8.5000000000000006E-2"/>
    <n v="8.5000000000000006E-2"/>
    <n v="0"/>
    <x v="0"/>
    <n v="0"/>
    <n v="0"/>
    <n v="27"/>
    <n v="64"/>
    <n v="0"/>
    <n v="679.72"/>
    <n v="221.63"/>
    <m/>
    <n v="937.00236250970033"/>
    <n v="240.51169066583299"/>
    <n v="0"/>
    <n v="57.77620000000001"/>
    <n v="18.838550000000001"/>
    <n v="0"/>
    <n v="79.645200813324536"/>
    <n v="20.443493706595806"/>
  </r>
  <r>
    <s v="Regular"/>
    <x v="2"/>
    <x v="1"/>
    <x v="2"/>
    <x v="0"/>
    <x v="0"/>
    <x v="0"/>
    <x v="3"/>
    <x v="11"/>
    <n v="0"/>
    <n v="0"/>
    <n v="2.7E-2"/>
    <n v="2.7E-2"/>
    <n v="2.7E-2"/>
    <n v="2.7E-2"/>
    <n v="0"/>
    <x v="0"/>
    <n v="0"/>
    <n v="0"/>
    <n v="27"/>
    <n v="64"/>
    <n v="0"/>
    <n v="679.72"/>
    <n v="221.63"/>
    <m/>
    <n v="937.00236250970033"/>
    <n v="240.51169066583299"/>
    <n v="0"/>
    <n v="18.352440000000001"/>
    <n v="5.9840099999999996"/>
    <n v="0"/>
    <n v="25.299063787761909"/>
    <n v="6.4938156479774909"/>
  </r>
  <r>
    <s v="Regular"/>
    <x v="2"/>
    <x v="1"/>
    <x v="2"/>
    <x v="0"/>
    <x v="0"/>
    <x v="0"/>
    <x v="1"/>
    <x v="0"/>
    <n v="0"/>
    <n v="0"/>
    <n v="0.33700000000000002"/>
    <n v="0.33700000000000002"/>
    <n v="0.33700000000000002"/>
    <n v="0.33700000000000002"/>
    <n v="5"/>
    <x v="0"/>
    <n v="0"/>
    <n v="0"/>
    <n v="29"/>
    <n v="66"/>
    <n v="0"/>
    <n v="448.29"/>
    <n v="221.63"/>
    <m/>
    <n v="619.209664567809"/>
    <n v="240.51169066583299"/>
    <n v="0"/>
    <n v="151.07373000000001"/>
    <n v="74.689310000000006"/>
    <n v="0"/>
    <n v="208.67365695935166"/>
    <n v="81.052439754385716"/>
  </r>
  <r>
    <s v="Regular"/>
    <x v="2"/>
    <x v="1"/>
    <x v="2"/>
    <x v="0"/>
    <x v="0"/>
    <x v="0"/>
    <x v="1"/>
    <x v="1"/>
    <n v="0"/>
    <n v="0"/>
    <n v="0.36699999999999999"/>
    <n v="0.36699999999999999"/>
    <n v="0.36699999999999999"/>
    <n v="0.36699999999999999"/>
    <n v="5"/>
    <x v="0"/>
    <n v="0"/>
    <n v="0"/>
    <n v="29"/>
    <n v="66"/>
    <n v="0"/>
    <n v="448.29"/>
    <n v="221.63"/>
    <m/>
    <n v="619.209664567809"/>
    <n v="240.51169066583299"/>
    <n v="0"/>
    <n v="164.52243000000001"/>
    <n v="81.338210000000004"/>
    <n v="0"/>
    <n v="227.24994689638589"/>
    <n v="88.267790474360709"/>
  </r>
  <r>
    <s v="Regular"/>
    <x v="2"/>
    <x v="1"/>
    <x v="2"/>
    <x v="0"/>
    <x v="0"/>
    <x v="0"/>
    <x v="1"/>
    <x v="2"/>
    <n v="0"/>
    <n v="0"/>
    <n v="0.27700000000000002"/>
    <n v="0.27700000000000002"/>
    <n v="0.27700000000000002"/>
    <n v="0.27700000000000002"/>
    <n v="5"/>
    <x v="0"/>
    <n v="0"/>
    <n v="0"/>
    <n v="29"/>
    <n v="66"/>
    <n v="0"/>
    <n v="448.29"/>
    <n v="221.63"/>
    <m/>
    <n v="619.209664567809"/>
    <n v="240.51169066583299"/>
    <n v="0"/>
    <n v="124.17633000000002"/>
    <n v="61.391510000000004"/>
    <n v="0"/>
    <n v="171.52107708528311"/>
    <n v="66.621738314435746"/>
  </r>
  <r>
    <s v="Regular"/>
    <x v="2"/>
    <x v="1"/>
    <x v="2"/>
    <x v="0"/>
    <x v="0"/>
    <x v="0"/>
    <x v="1"/>
    <x v="3"/>
    <n v="0"/>
    <n v="0"/>
    <n v="0.27"/>
    <n v="0.27"/>
    <n v="0.27"/>
    <n v="0.27"/>
    <n v="5"/>
    <x v="0"/>
    <n v="0"/>
    <n v="0"/>
    <n v="29"/>
    <n v="66"/>
    <n v="0"/>
    <n v="448.29"/>
    <n v="221.63"/>
    <m/>
    <n v="619.209664567809"/>
    <n v="240.51169066583299"/>
    <n v="0"/>
    <n v="121.03830000000001"/>
    <n v="59.8401"/>
    <n v="0"/>
    <n v="167.18660943330843"/>
    <n v="64.938156479774918"/>
  </r>
  <r>
    <s v="Regular"/>
    <x v="2"/>
    <x v="1"/>
    <x v="2"/>
    <x v="0"/>
    <x v="0"/>
    <x v="0"/>
    <x v="1"/>
    <x v="4"/>
    <n v="0"/>
    <n v="0"/>
    <n v="0.154"/>
    <n v="0.154"/>
    <n v="0.154"/>
    <n v="0.154"/>
    <n v="6"/>
    <x v="0"/>
    <n v="0"/>
    <n v="0"/>
    <n v="29"/>
    <n v="66"/>
    <n v="0"/>
    <n v="448.29"/>
    <n v="221.63"/>
    <m/>
    <n v="619.209664567809"/>
    <n v="240.51169066583299"/>
    <n v="0"/>
    <n v="69.036659999999998"/>
    <n v="34.131019999999999"/>
    <n v="0"/>
    <n v="95.358288343442581"/>
    <n v="37.038800362538282"/>
  </r>
  <r>
    <s v="Regular"/>
    <x v="2"/>
    <x v="1"/>
    <x v="2"/>
    <x v="0"/>
    <x v="0"/>
    <x v="0"/>
    <x v="1"/>
    <x v="5"/>
    <n v="0"/>
    <n v="0"/>
    <n v="8.8999999999999996E-2"/>
    <n v="8.8999999999999996E-2"/>
    <n v="8.8999999999999996E-2"/>
    <n v="8.8999999999999996E-2"/>
    <n v="6"/>
    <x v="0"/>
    <n v="0"/>
    <n v="0"/>
    <n v="29"/>
    <n v="66"/>
    <n v="0"/>
    <n v="448.29"/>
    <n v="221.63"/>
    <m/>
    <n v="619.209664567809"/>
    <n v="240.51169066583299"/>
    <n v="0"/>
    <n v="39.89781"/>
    <n v="19.725069999999999"/>
    <n v="0"/>
    <n v="55.109660146534999"/>
    <n v="21.405540469259133"/>
  </r>
  <r>
    <s v="Regular"/>
    <x v="2"/>
    <x v="1"/>
    <x v="2"/>
    <x v="0"/>
    <x v="0"/>
    <x v="0"/>
    <x v="1"/>
    <x v="6"/>
    <n v="0"/>
    <n v="0"/>
    <n v="0.128"/>
    <n v="0.128"/>
    <n v="0.128"/>
    <n v="0.128"/>
    <n v="6"/>
    <x v="0"/>
    <n v="0"/>
    <n v="0"/>
    <n v="29"/>
    <n v="66"/>
    <n v="0"/>
    <n v="448.29"/>
    <n v="221.63"/>
    <m/>
    <n v="619.209664567809"/>
    <n v="240.51169066583299"/>
    <n v="0"/>
    <n v="57.381120000000003"/>
    <n v="28.368639999999999"/>
    <n v="0"/>
    <n v="79.258837064679554"/>
    <n v="30.785496405226624"/>
  </r>
  <r>
    <s v="Regular"/>
    <x v="2"/>
    <x v="1"/>
    <x v="2"/>
    <x v="0"/>
    <x v="0"/>
    <x v="0"/>
    <x v="1"/>
    <x v="7"/>
    <n v="0"/>
    <n v="0"/>
    <n v="5.7000000000000002E-2"/>
    <n v="5.7000000000000002E-2"/>
    <n v="5.7000000000000002E-2"/>
    <n v="5.7000000000000002E-2"/>
    <n v="7"/>
    <x v="0"/>
    <n v="0"/>
    <n v="0"/>
    <n v="29"/>
    <n v="66"/>
    <n v="0"/>
    <n v="448.29"/>
    <n v="221.63"/>
    <m/>
    <n v="619.209664567809"/>
    <n v="240.51169066583299"/>
    <n v="0"/>
    <n v="25.552530000000001"/>
    <n v="12.632910000000001"/>
    <n v="0"/>
    <n v="35.294950880365114"/>
    <n v="13.709166367952481"/>
  </r>
  <r>
    <s v="Regular"/>
    <x v="2"/>
    <x v="1"/>
    <x v="2"/>
    <x v="0"/>
    <x v="0"/>
    <x v="0"/>
    <x v="1"/>
    <x v="8"/>
    <n v="0"/>
    <n v="0"/>
    <n v="0.14799999999999999"/>
    <n v="0.14799999999999999"/>
    <n v="0.14799999999999999"/>
    <n v="0.14799999999999999"/>
    <n v="8"/>
    <x v="0"/>
    <n v="0"/>
    <n v="0"/>
    <n v="29"/>
    <n v="66"/>
    <n v="0"/>
    <n v="448.29"/>
    <n v="221.63"/>
    <m/>
    <n v="619.209664567809"/>
    <n v="240.51169066583299"/>
    <n v="0"/>
    <n v="66.346919999999997"/>
    <n v="32.80124"/>
    <n v="0"/>
    <n v="91.643030356035723"/>
    <n v="35.595730218543281"/>
  </r>
  <r>
    <s v="Regular"/>
    <x v="2"/>
    <x v="1"/>
    <x v="2"/>
    <x v="0"/>
    <x v="0"/>
    <x v="0"/>
    <x v="1"/>
    <x v="9"/>
    <n v="0"/>
    <n v="0"/>
    <n v="9.9000000000000005E-2"/>
    <n v="9.9000000000000005E-2"/>
    <n v="9.9000000000000005E-2"/>
    <n v="9.9000000000000005E-2"/>
    <n v="8"/>
    <x v="0"/>
    <n v="0"/>
    <n v="0"/>
    <n v="29"/>
    <n v="66"/>
    <n v="0"/>
    <n v="448.29"/>
    <n v="221.63"/>
    <m/>
    <n v="619.209664567809"/>
    <n v="240.51169066583299"/>
    <n v="0"/>
    <n v="44.380710000000008"/>
    <n v="21.941369999999999"/>
    <n v="0"/>
    <n v="61.301756792213091"/>
    <n v="23.810657375917465"/>
  </r>
  <r>
    <s v="Regular"/>
    <x v="2"/>
    <x v="1"/>
    <x v="2"/>
    <x v="0"/>
    <x v="0"/>
    <x v="0"/>
    <x v="1"/>
    <x v="10"/>
    <n v="0"/>
    <n v="0"/>
    <n v="0.106"/>
    <n v="0.106"/>
    <n v="0.106"/>
    <n v="0.106"/>
    <n v="8"/>
    <x v="0"/>
    <n v="0"/>
    <n v="0"/>
    <n v="29"/>
    <n v="66"/>
    <n v="0"/>
    <n v="448.29"/>
    <n v="221.63"/>
    <m/>
    <n v="619.209664567809"/>
    <n v="240.51169066583299"/>
    <n v="0"/>
    <n v="47.518740000000001"/>
    <n v="23.49278"/>
    <n v="0"/>
    <n v="65.636224444187746"/>
    <n v="25.494239210578296"/>
  </r>
  <r>
    <s v="Regular"/>
    <x v="2"/>
    <x v="1"/>
    <x v="2"/>
    <x v="0"/>
    <x v="0"/>
    <x v="0"/>
    <x v="1"/>
    <x v="11"/>
    <n v="0"/>
    <n v="0"/>
    <n v="0.184"/>
    <n v="0.184"/>
    <n v="0.184"/>
    <n v="0.184"/>
    <n v="8"/>
    <x v="0"/>
    <n v="0"/>
    <n v="0"/>
    <n v="29"/>
    <n v="66"/>
    <n v="0"/>
    <n v="448.29"/>
    <n v="221.63"/>
    <m/>
    <n v="619.209664567809"/>
    <n v="240.51169066583299"/>
    <n v="0"/>
    <n v="82.48536"/>
    <n v="40.779919999999997"/>
    <n v="0"/>
    <n v="113.93457828047686"/>
    <n v="44.254151082513268"/>
  </r>
  <r>
    <s v="Regular"/>
    <x v="2"/>
    <x v="1"/>
    <x v="2"/>
    <x v="0"/>
    <x v="0"/>
    <x v="0"/>
    <x v="2"/>
    <x v="0"/>
    <n v="0"/>
    <n v="0"/>
    <n v="0.03"/>
    <n v="0.03"/>
    <n v="0.03"/>
    <n v="0.03"/>
    <n v="0"/>
    <x v="0"/>
    <n v="0"/>
    <n v="0"/>
    <n v="26"/>
    <n v="63"/>
    <n v="0"/>
    <n v="1091.18"/>
    <n v="221.63"/>
    <m/>
    <n v="1502.0208840343589"/>
    <n v="240.51169066583299"/>
    <n v="0"/>
    <n v="32.735399999999998"/>
    <n v="6.6488999999999994"/>
    <n v="0"/>
    <n v="45.060626521030763"/>
    <n v="7.2153507199749889"/>
  </r>
  <r>
    <s v="Regular"/>
    <x v="2"/>
    <x v="1"/>
    <x v="2"/>
    <x v="0"/>
    <x v="0"/>
    <x v="0"/>
    <x v="2"/>
    <x v="1"/>
    <n v="0"/>
    <n v="0"/>
    <n v="0.03"/>
    <n v="0.03"/>
    <n v="0.03"/>
    <n v="0.03"/>
    <n v="0"/>
    <x v="0"/>
    <n v="0"/>
    <n v="0"/>
    <n v="26"/>
    <n v="63"/>
    <n v="0"/>
    <n v="1091.18"/>
    <n v="221.63"/>
    <m/>
    <n v="1502.0208840343589"/>
    <n v="240.51169066583299"/>
    <n v="0"/>
    <n v="32.735399999999998"/>
    <n v="6.6488999999999994"/>
    <n v="0"/>
    <n v="45.060626521030763"/>
    <n v="7.2153507199749889"/>
  </r>
  <r>
    <s v="Regular"/>
    <x v="2"/>
    <x v="1"/>
    <x v="2"/>
    <x v="0"/>
    <x v="0"/>
    <x v="0"/>
    <x v="2"/>
    <x v="2"/>
    <n v="0"/>
    <n v="0"/>
    <n v="2.9000000000000001E-2"/>
    <n v="2.9000000000000001E-2"/>
    <n v="2.9000000000000001E-2"/>
    <n v="2.9000000000000001E-2"/>
    <n v="0"/>
    <x v="0"/>
    <n v="0"/>
    <n v="0"/>
    <n v="26"/>
    <n v="63"/>
    <n v="0"/>
    <n v="1091.18"/>
    <n v="221.63"/>
    <m/>
    <n v="1502.0208840343589"/>
    <n v="240.51169066583299"/>
    <n v="0"/>
    <n v="31.644220000000004"/>
    <n v="6.42727"/>
    <n v="0"/>
    <n v="43.558605636996411"/>
    <n v="6.9748390293091571"/>
  </r>
  <r>
    <s v="Regular"/>
    <x v="2"/>
    <x v="1"/>
    <x v="2"/>
    <x v="0"/>
    <x v="0"/>
    <x v="0"/>
    <x v="2"/>
    <x v="3"/>
    <n v="0"/>
    <n v="0"/>
    <n v="0.03"/>
    <n v="0.03"/>
    <n v="0.03"/>
    <n v="0.03"/>
    <n v="0"/>
    <x v="0"/>
    <n v="0"/>
    <n v="0"/>
    <n v="26"/>
    <n v="63"/>
    <n v="0"/>
    <n v="1091.18"/>
    <n v="221.63"/>
    <m/>
    <n v="1502.0208840343589"/>
    <n v="240.51169066583299"/>
    <n v="0"/>
    <n v="32.735399999999998"/>
    <n v="6.6488999999999994"/>
    <n v="0"/>
    <n v="45.060626521030763"/>
    <n v="7.2153507199749889"/>
  </r>
  <r>
    <s v="Regular"/>
    <x v="2"/>
    <x v="1"/>
    <x v="2"/>
    <x v="0"/>
    <x v="0"/>
    <x v="0"/>
    <x v="2"/>
    <x v="4"/>
    <n v="0"/>
    <n v="0"/>
    <n v="2.8000000000000001E-2"/>
    <n v="2.8000000000000001E-2"/>
    <n v="2.8000000000000001E-2"/>
    <n v="2.8000000000000001E-2"/>
    <n v="0"/>
    <x v="0"/>
    <n v="0"/>
    <n v="0"/>
    <n v="26"/>
    <n v="63"/>
    <n v="0"/>
    <n v="1091.18"/>
    <n v="221.63"/>
    <m/>
    <n v="1502.0208840343589"/>
    <n v="240.51169066583299"/>
    <n v="0"/>
    <n v="30.553040000000003"/>
    <n v="6.2056399999999998"/>
    <n v="0"/>
    <n v="42.056584752962053"/>
    <n v="6.7343273386433236"/>
  </r>
  <r>
    <s v="Regular"/>
    <x v="2"/>
    <x v="1"/>
    <x v="2"/>
    <x v="0"/>
    <x v="0"/>
    <x v="0"/>
    <x v="2"/>
    <x v="5"/>
    <n v="0"/>
    <n v="0"/>
    <n v="1.4E-2"/>
    <n v="1.4E-2"/>
    <n v="1.4E-2"/>
    <n v="1.4E-2"/>
    <n v="0"/>
    <x v="0"/>
    <n v="0"/>
    <n v="0"/>
    <n v="26"/>
    <n v="63"/>
    <n v="0"/>
    <n v="1091.18"/>
    <n v="221.63"/>
    <m/>
    <n v="1502.0208840343589"/>
    <n v="240.51169066583299"/>
    <n v="0"/>
    <n v="15.276520000000001"/>
    <n v="3.1028199999999999"/>
    <n v="0"/>
    <n v="21.028292376481026"/>
    <n v="3.3671636693216618"/>
  </r>
  <r>
    <s v="Regular"/>
    <x v="2"/>
    <x v="1"/>
    <x v="2"/>
    <x v="0"/>
    <x v="0"/>
    <x v="0"/>
    <x v="2"/>
    <x v="6"/>
    <n v="0"/>
    <n v="0"/>
    <n v="0.01"/>
    <n v="0.01"/>
    <n v="0.01"/>
    <n v="0.01"/>
    <n v="0"/>
    <x v="0"/>
    <n v="0"/>
    <n v="0"/>
    <n v="26"/>
    <n v="63"/>
    <n v="0"/>
    <n v="1091.18"/>
    <n v="221.63"/>
    <m/>
    <n v="1502.0208840343589"/>
    <n v="240.51169066583299"/>
    <n v="0"/>
    <n v="10.911800000000001"/>
    <n v="2.2162999999999999"/>
    <n v="0"/>
    <n v="15.020208840343589"/>
    <n v="2.4051169066583298"/>
  </r>
  <r>
    <s v="Regular"/>
    <x v="2"/>
    <x v="1"/>
    <x v="2"/>
    <x v="0"/>
    <x v="0"/>
    <x v="0"/>
    <x v="2"/>
    <x v="7"/>
    <n v="0"/>
    <n v="0"/>
    <n v="2.7E-2"/>
    <n v="2.7E-2"/>
    <n v="2.7E-2"/>
    <n v="2.7E-2"/>
    <n v="0"/>
    <x v="0"/>
    <n v="0"/>
    <n v="0"/>
    <n v="26"/>
    <n v="63"/>
    <n v="0"/>
    <n v="1091.18"/>
    <n v="221.63"/>
    <m/>
    <n v="1502.0208840343589"/>
    <n v="240.51169066583299"/>
    <n v="0"/>
    <n v="29.461860000000001"/>
    <n v="5.9840099999999996"/>
    <n v="0"/>
    <n v="40.554563868927687"/>
    <n v="6.4938156479774909"/>
  </r>
  <r>
    <s v="Regular"/>
    <x v="2"/>
    <x v="1"/>
    <x v="2"/>
    <x v="0"/>
    <x v="0"/>
    <x v="0"/>
    <x v="2"/>
    <x v="8"/>
    <n v="0"/>
    <n v="0"/>
    <n v="4.2000000000000003E-2"/>
    <n v="4.2000000000000003E-2"/>
    <n v="4.2000000000000003E-2"/>
    <n v="4.2000000000000003E-2"/>
    <n v="0"/>
    <x v="0"/>
    <n v="0"/>
    <n v="0"/>
    <n v="26"/>
    <n v="63"/>
    <n v="0"/>
    <n v="1091.18"/>
    <n v="221.63"/>
    <m/>
    <n v="1502.0208840343589"/>
    <n v="240.51169066583299"/>
    <n v="0"/>
    <n v="45.829560000000008"/>
    <n v="9.3084600000000002"/>
    <n v="0"/>
    <n v="63.084877129443079"/>
    <n v="10.101491007964986"/>
  </r>
  <r>
    <s v="Regular"/>
    <x v="2"/>
    <x v="1"/>
    <x v="2"/>
    <x v="0"/>
    <x v="0"/>
    <x v="0"/>
    <x v="2"/>
    <x v="9"/>
    <n v="0"/>
    <n v="0"/>
    <n v="3.6999999999999998E-2"/>
    <n v="3.6999999999999998E-2"/>
    <n v="3.6999999999999998E-2"/>
    <n v="3.6999999999999998E-2"/>
    <n v="0"/>
    <x v="0"/>
    <n v="0"/>
    <n v="0"/>
    <n v="26"/>
    <n v="63"/>
    <n v="0"/>
    <n v="1091.18"/>
    <n v="221.63"/>
    <m/>
    <n v="1502.0208840343589"/>
    <n v="240.51169066583299"/>
    <n v="0"/>
    <n v="40.373660000000001"/>
    <n v="8.20031"/>
    <n v="0"/>
    <n v="55.574772709271279"/>
    <n v="8.8989325546358202"/>
  </r>
  <r>
    <s v="Regular"/>
    <x v="2"/>
    <x v="1"/>
    <x v="2"/>
    <x v="0"/>
    <x v="0"/>
    <x v="0"/>
    <x v="2"/>
    <x v="10"/>
    <n v="0"/>
    <n v="0"/>
    <n v="3.6999999999999998E-2"/>
    <n v="3.6999999999999998E-2"/>
    <n v="3.6999999999999998E-2"/>
    <n v="3.6999999999999998E-2"/>
    <n v="0"/>
    <x v="0"/>
    <n v="0"/>
    <n v="0"/>
    <n v="26"/>
    <n v="63"/>
    <n v="0"/>
    <n v="1091.18"/>
    <n v="221.63"/>
    <m/>
    <n v="1502.0208840343589"/>
    <n v="240.51169066583299"/>
    <n v="0"/>
    <n v="40.373660000000001"/>
    <n v="8.20031"/>
    <n v="0"/>
    <n v="55.574772709271279"/>
    <n v="8.8989325546358202"/>
  </r>
  <r>
    <s v="Regular"/>
    <x v="2"/>
    <x v="1"/>
    <x v="2"/>
    <x v="0"/>
    <x v="0"/>
    <x v="0"/>
    <x v="2"/>
    <x v="11"/>
    <n v="0"/>
    <n v="0"/>
    <n v="2.7E-2"/>
    <n v="2.7E-2"/>
    <n v="2.7E-2"/>
    <n v="2.7E-2"/>
    <n v="0"/>
    <x v="0"/>
    <n v="0"/>
    <n v="0"/>
    <n v="26"/>
    <n v="63"/>
    <n v="0"/>
    <n v="1091.18"/>
    <n v="221.63"/>
    <m/>
    <n v="1502.0208840343589"/>
    <n v="240.51169066583299"/>
    <n v="0"/>
    <n v="29.461860000000001"/>
    <n v="5.9840099999999996"/>
    <n v="0"/>
    <n v="40.554563868927687"/>
    <n v="6.4938156479774909"/>
  </r>
  <r>
    <s v="Regular"/>
    <x v="2"/>
    <x v="2"/>
    <x v="2"/>
    <x v="6"/>
    <x v="1"/>
    <x v="0"/>
    <x v="1"/>
    <x v="0"/>
    <n v="0"/>
    <n v="0"/>
    <n v="1.0669999999999999"/>
    <n v="1.0669999999999999"/>
    <n v="1.0669999999999999"/>
    <n v="1.0669999999999999"/>
    <n v="0"/>
    <x v="0"/>
    <n v="0"/>
    <n v="0"/>
    <n v="29"/>
    <n v="66"/>
    <n v="0"/>
    <n v="448.29"/>
    <n v="221.63"/>
    <m/>
    <n v="619.209664567809"/>
    <n v="240.51169066583299"/>
    <n v="0"/>
    <n v="478.32542999999998"/>
    <n v="236.47920999999999"/>
    <n v="0"/>
    <n v="660.69671209385217"/>
    <n v="256.62597394044377"/>
  </r>
  <r>
    <s v="Regular"/>
    <x v="2"/>
    <x v="2"/>
    <x v="2"/>
    <x v="6"/>
    <x v="1"/>
    <x v="0"/>
    <x v="1"/>
    <x v="1"/>
    <n v="0"/>
    <n v="0"/>
    <n v="1.21"/>
    <n v="1.21"/>
    <n v="1.21"/>
    <n v="1.21"/>
    <n v="0"/>
    <x v="0"/>
    <n v="0"/>
    <n v="0"/>
    <n v="29"/>
    <n v="66"/>
    <n v="0"/>
    <n v="448.29"/>
    <n v="221.63"/>
    <m/>
    <n v="619.209664567809"/>
    <n v="240.51169066583299"/>
    <n v="0"/>
    <n v="542.43090000000007"/>
    <n v="268.17230000000001"/>
    <n v="0"/>
    <n v="749.24369412704891"/>
    <n v="291.01914570565788"/>
  </r>
  <r>
    <s v="Regular"/>
    <x v="2"/>
    <x v="2"/>
    <x v="2"/>
    <x v="6"/>
    <x v="1"/>
    <x v="0"/>
    <x v="1"/>
    <x v="2"/>
    <n v="0"/>
    <n v="0"/>
    <n v="1.7809999999999999"/>
    <n v="1.7809999999999999"/>
    <n v="1.7809999999999999"/>
    <n v="1.7809999999999999"/>
    <n v="0"/>
    <x v="0"/>
    <n v="0"/>
    <n v="0"/>
    <n v="29"/>
    <n v="66"/>
    <n v="0"/>
    <n v="448.29"/>
    <n v="221.63"/>
    <m/>
    <n v="619.209664567809"/>
    <n v="240.51169066583299"/>
    <n v="0"/>
    <n v="798.40449000000001"/>
    <n v="394.72302999999999"/>
    <n v="0"/>
    <n v="1102.8124125952677"/>
    <n v="428.35132107584855"/>
  </r>
  <r>
    <s v="Regular"/>
    <x v="2"/>
    <x v="2"/>
    <x v="2"/>
    <x v="6"/>
    <x v="1"/>
    <x v="0"/>
    <x v="1"/>
    <x v="3"/>
    <n v="0"/>
    <n v="0"/>
    <n v="1.48"/>
    <n v="1.48"/>
    <n v="1.48"/>
    <n v="1.48"/>
    <n v="0"/>
    <x v="0"/>
    <n v="0"/>
    <n v="0"/>
    <n v="29"/>
    <n v="66"/>
    <n v="0"/>
    <n v="448.29"/>
    <n v="221.63"/>
    <m/>
    <n v="619.209664567809"/>
    <n v="240.51169066583299"/>
    <n v="0"/>
    <n v="663.4692"/>
    <n v="328.01240000000001"/>
    <n v="0"/>
    <n v="916.43030356035729"/>
    <n v="355.95730218543281"/>
  </r>
  <r>
    <s v="Regular"/>
    <x v="2"/>
    <x v="2"/>
    <x v="2"/>
    <x v="6"/>
    <x v="1"/>
    <x v="0"/>
    <x v="1"/>
    <x v="4"/>
    <n v="0"/>
    <n v="0"/>
    <n v="4.3639999999999999"/>
    <n v="4.3639999999999999"/>
    <n v="4.3639999999999999"/>
    <n v="4.3639999999999999"/>
    <n v="0"/>
    <x v="0"/>
    <n v="0"/>
    <n v="0"/>
    <n v="29"/>
    <n v="66"/>
    <n v="0"/>
    <n v="448.29"/>
    <n v="221.63"/>
    <m/>
    <n v="619.209664567809"/>
    <n v="240.51169066583299"/>
    <n v="0"/>
    <n v="1956.3375599999999"/>
    <n v="967.19331999999997"/>
    <n v="0"/>
    <n v="2702.2309761739184"/>
    <n v="1049.5930180656951"/>
  </r>
  <r>
    <s v="Regular"/>
    <x v="2"/>
    <x v="2"/>
    <x v="2"/>
    <x v="6"/>
    <x v="1"/>
    <x v="0"/>
    <x v="1"/>
    <x v="5"/>
    <n v="0"/>
    <n v="0"/>
    <n v="10.007"/>
    <n v="10.007"/>
    <n v="10.007"/>
    <n v="10.007"/>
    <n v="0"/>
    <x v="0"/>
    <n v="0"/>
    <n v="0"/>
    <n v="29"/>
    <n v="66"/>
    <n v="0"/>
    <n v="448.29"/>
    <n v="221.63"/>
    <m/>
    <n v="619.209664567809"/>
    <n v="240.51169066583299"/>
    <n v="0"/>
    <n v="4486.0380299999997"/>
    <n v="2217.8514099999998"/>
    <n v="0"/>
    <n v="6196.4311133300644"/>
    <n v="2406.8004884929906"/>
  </r>
  <r>
    <s v="Regular"/>
    <x v="2"/>
    <x v="2"/>
    <x v="2"/>
    <x v="6"/>
    <x v="1"/>
    <x v="0"/>
    <x v="1"/>
    <x v="6"/>
    <n v="0"/>
    <n v="0"/>
    <n v="8.7550000000000008"/>
    <n v="8.7550000000000008"/>
    <n v="8.7550000000000008"/>
    <n v="8.7550000000000008"/>
    <n v="0"/>
    <x v="0"/>
    <n v="0"/>
    <n v="0"/>
    <n v="29"/>
    <n v="66"/>
    <n v="0"/>
    <n v="448.29"/>
    <n v="221.63"/>
    <m/>
    <n v="619.209664567809"/>
    <n v="240.51169066583299"/>
    <n v="0"/>
    <n v="3924.7789500000003"/>
    <n v="1940.3706500000001"/>
    <n v="0"/>
    <n v="5421.1806132911679"/>
    <n v="2105.6798517793682"/>
  </r>
  <r>
    <s v="Regular"/>
    <x v="2"/>
    <x v="2"/>
    <x v="2"/>
    <x v="6"/>
    <x v="1"/>
    <x v="0"/>
    <x v="1"/>
    <x v="7"/>
    <n v="0"/>
    <n v="0"/>
    <n v="7.0979999999999999"/>
    <n v="7.0979999999999999"/>
    <n v="7.0979999999999999"/>
    <n v="7.0979999999999999"/>
    <n v="0"/>
    <x v="0"/>
    <n v="0"/>
    <n v="0"/>
    <n v="29"/>
    <n v="66"/>
    <n v="0"/>
    <n v="448.29"/>
    <n v="221.63"/>
    <m/>
    <n v="619.209664567809"/>
    <n v="240.51169066583299"/>
    <n v="0"/>
    <n v="3181.9624200000003"/>
    <n v="1573.1297399999999"/>
    <n v="0"/>
    <n v="4395.1501991023079"/>
    <n v="1707.1519803460826"/>
  </r>
  <r>
    <s v="Regular"/>
    <x v="2"/>
    <x v="2"/>
    <x v="2"/>
    <x v="6"/>
    <x v="1"/>
    <x v="0"/>
    <x v="1"/>
    <x v="8"/>
    <n v="0"/>
    <n v="0"/>
    <n v="6.3410000000000002"/>
    <n v="6.3410000000000002"/>
    <n v="6.3410000000000002"/>
    <n v="6.3410000000000002"/>
    <n v="0"/>
    <x v="0"/>
    <n v="0"/>
    <n v="0"/>
    <n v="29"/>
    <n v="66"/>
    <n v="0"/>
    <n v="448.29"/>
    <n v="221.63"/>
    <m/>
    <n v="619.209664567809"/>
    <n v="240.51169066583299"/>
    <n v="0"/>
    <n v="2842.60689"/>
    <n v="1405.35583"/>
    <n v="0"/>
    <n v="3926.4084830244769"/>
    <n v="1525.0846305120469"/>
  </r>
  <r>
    <s v="Regular"/>
    <x v="2"/>
    <x v="2"/>
    <x v="2"/>
    <x v="6"/>
    <x v="1"/>
    <x v="0"/>
    <x v="1"/>
    <x v="9"/>
    <n v="0"/>
    <n v="0"/>
    <n v="7.7309999999999999"/>
    <n v="7.7309999999999999"/>
    <n v="7.7309999999999999"/>
    <n v="7.7309999999999999"/>
    <n v="0"/>
    <x v="0"/>
    <n v="0"/>
    <n v="0"/>
    <n v="29"/>
    <n v="66"/>
    <n v="0"/>
    <n v="448.29"/>
    <n v="221.63"/>
    <m/>
    <n v="619.209664567809"/>
    <n v="240.51169066583299"/>
    <n v="0"/>
    <n v="3465.7299900000003"/>
    <n v="1713.4215299999998"/>
    <n v="0"/>
    <n v="4787.1099167737311"/>
    <n v="1859.3958805375548"/>
  </r>
  <r>
    <s v="Regular"/>
    <x v="2"/>
    <x v="2"/>
    <x v="2"/>
    <x v="6"/>
    <x v="1"/>
    <x v="0"/>
    <x v="1"/>
    <x v="10"/>
    <n v="0"/>
    <n v="0"/>
    <n v="6.0869999999999997"/>
    <n v="6.0869999999999997"/>
    <n v="6.0869999999999997"/>
    <n v="6.0869999999999997"/>
    <n v="0"/>
    <x v="0"/>
    <n v="0"/>
    <n v="0"/>
    <n v="29"/>
    <n v="66"/>
    <n v="0"/>
    <n v="448.29"/>
    <n v="221.63"/>
    <m/>
    <n v="619.209664567809"/>
    <n v="240.51169066583299"/>
    <n v="0"/>
    <n v="2728.7412300000001"/>
    <n v="1349.0618099999999"/>
    <n v="0"/>
    <n v="3769.1292282242534"/>
    <n v="1463.9946610829254"/>
  </r>
  <r>
    <s v="Regular"/>
    <x v="2"/>
    <x v="2"/>
    <x v="2"/>
    <x v="6"/>
    <x v="1"/>
    <x v="0"/>
    <x v="1"/>
    <x v="11"/>
    <n v="0"/>
    <n v="0"/>
    <n v="5.8929999999999998"/>
    <n v="5.8929999999999998"/>
    <n v="5.8929999999999998"/>
    <n v="5.8929999999999998"/>
    <n v="0"/>
    <x v="0"/>
    <n v="0"/>
    <n v="0"/>
    <n v="29"/>
    <n v="66"/>
    <n v="0"/>
    <n v="448.29"/>
    <n v="221.63"/>
    <m/>
    <n v="619.209664567809"/>
    <n v="240.51169066583299"/>
    <n v="0"/>
    <n v="2641.77297"/>
    <n v="1306.0655899999999"/>
    <n v="0"/>
    <n v="3649.0025532980985"/>
    <n v="1417.3353930937537"/>
  </r>
  <r>
    <s v="Regular"/>
    <x v="2"/>
    <x v="2"/>
    <x v="2"/>
    <x v="6"/>
    <x v="2"/>
    <x v="0"/>
    <x v="1"/>
    <x v="0"/>
    <n v="0"/>
    <n v="0"/>
    <n v="0.34399999999999997"/>
    <n v="9.2880000000000004E-2"/>
    <n v="0.34399999999999997"/>
    <n v="9.2880000000000004E-2"/>
    <n v="0"/>
    <x v="0"/>
    <n v="0"/>
    <n v="0"/>
    <n v="29"/>
    <n v="66"/>
    <n v="0"/>
    <n v="448.29"/>
    <n v="221.63"/>
    <m/>
    <n v="619.209664567809"/>
    <n v="240.51169066583299"/>
    <n v="0"/>
    <n v="41.637175200000001"/>
    <n v="20.584994399999999"/>
    <n v="0"/>
    <n v="57.512193645058105"/>
    <n v="22.33872582904257"/>
  </r>
  <r>
    <s v="Regular"/>
    <x v="2"/>
    <x v="2"/>
    <x v="2"/>
    <x v="6"/>
    <x v="2"/>
    <x v="0"/>
    <x v="1"/>
    <x v="1"/>
    <n v="0"/>
    <n v="0"/>
    <n v="0.34200000000000003"/>
    <n v="9.2340000000000005E-2"/>
    <n v="0.34200000000000003"/>
    <n v="9.2340000000000005E-2"/>
    <n v="0"/>
    <x v="0"/>
    <n v="0"/>
    <n v="0"/>
    <n v="29"/>
    <n v="66"/>
    <n v="0"/>
    <n v="448.29"/>
    <n v="221.63"/>
    <m/>
    <n v="619.209664567809"/>
    <n v="240.51169066583299"/>
    <n v="0"/>
    <n v="41.395098600000004"/>
    <n v="20.465314200000002"/>
    <n v="0"/>
    <n v="57.177820426191488"/>
    <n v="22.208849516083021"/>
  </r>
  <r>
    <s v="Regular"/>
    <x v="2"/>
    <x v="2"/>
    <x v="2"/>
    <x v="6"/>
    <x v="2"/>
    <x v="0"/>
    <x v="1"/>
    <x v="2"/>
    <n v="0"/>
    <n v="0"/>
    <n v="0.56999999999999995"/>
    <n v="0.15390000000000001"/>
    <n v="0.56999999999999995"/>
    <n v="0.15390000000000001"/>
    <n v="0"/>
    <x v="0"/>
    <n v="0"/>
    <n v="0"/>
    <n v="29"/>
    <n v="66"/>
    <n v="0"/>
    <n v="448.29"/>
    <n v="221.63"/>
    <m/>
    <n v="619.209664567809"/>
    <n v="240.51169066583299"/>
    <n v="0"/>
    <n v="68.991831000000005"/>
    <n v="34.108857"/>
    <n v="0"/>
    <n v="95.296367376985813"/>
    <n v="37.014749193471701"/>
  </r>
  <r>
    <s v="Regular"/>
    <x v="2"/>
    <x v="2"/>
    <x v="2"/>
    <x v="6"/>
    <x v="2"/>
    <x v="0"/>
    <x v="1"/>
    <x v="3"/>
    <n v="0"/>
    <n v="0"/>
    <n v="0.66600000000000004"/>
    <n v="0.17982000000000001"/>
    <n v="0.66600000000000004"/>
    <n v="0.17982000000000001"/>
    <n v="0"/>
    <x v="0"/>
    <n v="0"/>
    <n v="0"/>
    <n v="29"/>
    <n v="66"/>
    <n v="0"/>
    <n v="448.29"/>
    <n v="221.63"/>
    <m/>
    <n v="619.209664567809"/>
    <n v="240.51169066583299"/>
    <n v="0"/>
    <n v="80.611507800000012"/>
    <n v="39.853506600000003"/>
    <n v="0"/>
    <n v="111.34628188258341"/>
    <n v="43.248812215530087"/>
  </r>
  <r>
    <s v="Regular"/>
    <x v="2"/>
    <x v="2"/>
    <x v="2"/>
    <x v="6"/>
    <x v="2"/>
    <x v="0"/>
    <x v="1"/>
    <x v="4"/>
    <n v="0"/>
    <n v="0"/>
    <n v="1.4950000000000001"/>
    <n v="0.40365000000000001"/>
    <n v="1.4950000000000001"/>
    <n v="0.40365000000000001"/>
    <n v="0"/>
    <x v="0"/>
    <n v="0"/>
    <n v="0"/>
    <n v="29"/>
    <n v="66"/>
    <n v="0"/>
    <n v="448.29"/>
    <n v="221.63"/>
    <m/>
    <n v="619.209664567809"/>
    <n v="240.51169066583299"/>
    <n v="0"/>
    <n v="180.9522585"/>
    <n v="89.460949499999998"/>
    <n v="0"/>
    <n v="249.9439811027961"/>
    <n v="97.08254393726348"/>
  </r>
  <r>
    <s v="Regular"/>
    <x v="2"/>
    <x v="2"/>
    <x v="2"/>
    <x v="6"/>
    <x v="2"/>
    <x v="0"/>
    <x v="1"/>
    <x v="5"/>
    <n v="0"/>
    <n v="0"/>
    <n v="7.0389999999999997"/>
    <n v="1.9005300000000001"/>
    <n v="7.0389999999999997"/>
    <n v="1.9005300000000001"/>
    <n v="0"/>
    <x v="0"/>
    <n v="0"/>
    <n v="0"/>
    <n v="29"/>
    <n v="66"/>
    <n v="0"/>
    <n v="448.29"/>
    <n v="221.63"/>
    <m/>
    <n v="619.209664567809"/>
    <n v="240.51169066583299"/>
    <n v="0"/>
    <n v="851.98859370000002"/>
    <n v="421.2144639"/>
    <n v="0"/>
    <n v="1176.8265438010581"/>
    <n v="457.09968346113556"/>
  </r>
  <r>
    <s v="Regular"/>
    <x v="2"/>
    <x v="2"/>
    <x v="2"/>
    <x v="6"/>
    <x v="2"/>
    <x v="0"/>
    <x v="1"/>
    <x v="6"/>
    <n v="0"/>
    <n v="0"/>
    <n v="6.0309999999999997"/>
    <n v="1.6283700000000001"/>
    <n v="6.0309999999999997"/>
    <n v="1.6283700000000001"/>
    <n v="0"/>
    <x v="0"/>
    <n v="0"/>
    <n v="0"/>
    <n v="29"/>
    <n v="66"/>
    <n v="0"/>
    <n v="448.29"/>
    <n v="221.63"/>
    <m/>
    <n v="619.209664567809"/>
    <n v="240.51169066583299"/>
    <n v="0"/>
    <n v="729.98198730000013"/>
    <n v="360.89564310000003"/>
    <n v="0"/>
    <n v="1008.3024414922832"/>
    <n v="391.64202172952247"/>
  </r>
  <r>
    <s v="Regular"/>
    <x v="2"/>
    <x v="2"/>
    <x v="2"/>
    <x v="6"/>
    <x v="2"/>
    <x v="0"/>
    <x v="1"/>
    <x v="7"/>
    <n v="0"/>
    <n v="0"/>
    <n v="5.9320000000000004"/>
    <n v="1.60164"/>
    <n v="5.9320000000000004"/>
    <n v="1.60164"/>
    <n v="0"/>
    <x v="0"/>
    <n v="0"/>
    <n v="0"/>
    <n v="29"/>
    <n v="66"/>
    <n v="0"/>
    <n v="448.29"/>
    <n v="221.63"/>
    <m/>
    <n v="619.209664567809"/>
    <n v="240.51169066583299"/>
    <n v="0"/>
    <n v="717.99919560000001"/>
    <n v="354.97147319999999"/>
    <n v="0"/>
    <n v="991.75096715838561"/>
    <n v="385.21314423802471"/>
  </r>
  <r>
    <s v="Regular"/>
    <x v="2"/>
    <x v="2"/>
    <x v="2"/>
    <x v="6"/>
    <x v="2"/>
    <x v="0"/>
    <x v="1"/>
    <x v="8"/>
    <n v="0"/>
    <n v="0"/>
    <n v="8.2620000000000005"/>
    <n v="2.2307399999999999"/>
    <n v="8.2620000000000005"/>
    <n v="2.2307399999999999"/>
    <n v="0"/>
    <x v="0"/>
    <n v="0"/>
    <n v="0"/>
    <n v="29"/>
    <n v="66"/>
    <n v="0"/>
    <n v="448.29"/>
    <n v="221.63"/>
    <m/>
    <n v="619.209664567809"/>
    <n v="240.51169066583299"/>
    <n v="0"/>
    <n v="1000.0184346"/>
    <n v="494.3989062"/>
    <n v="0"/>
    <n v="1381.2957671379943"/>
    <n v="536.51904883590021"/>
  </r>
  <r>
    <s v="Regular"/>
    <x v="2"/>
    <x v="2"/>
    <x v="2"/>
    <x v="6"/>
    <x v="2"/>
    <x v="0"/>
    <x v="1"/>
    <x v="9"/>
    <n v="0"/>
    <n v="0"/>
    <n v="5.62"/>
    <n v="1.5174000000000001"/>
    <n v="5.62"/>
    <n v="1.5174000000000001"/>
    <n v="0"/>
    <x v="0"/>
    <n v="0"/>
    <n v="0"/>
    <n v="29"/>
    <n v="66"/>
    <n v="0"/>
    <n v="448.29"/>
    <n v="221.63"/>
    <m/>
    <n v="619.209664567809"/>
    <n v="240.51169066583299"/>
    <n v="0"/>
    <n v="680.23524600000007"/>
    <n v="336.30136199999998"/>
    <n v="0"/>
    <n v="939.58874501519347"/>
    <n v="364.95243941633498"/>
  </r>
  <r>
    <s v="Regular"/>
    <x v="2"/>
    <x v="2"/>
    <x v="2"/>
    <x v="6"/>
    <x v="2"/>
    <x v="0"/>
    <x v="1"/>
    <x v="10"/>
    <n v="0"/>
    <n v="0"/>
    <n v="6.157"/>
    <n v="1.66239"/>
    <n v="6.157"/>
    <n v="1.66239"/>
    <n v="0"/>
    <x v="0"/>
    <n v="0"/>
    <n v="0"/>
    <n v="29"/>
    <n v="66"/>
    <n v="0"/>
    <n v="448.29"/>
    <n v="221.63"/>
    <m/>
    <n v="619.209664567809"/>
    <n v="240.51169066583299"/>
    <n v="0"/>
    <n v="745.23281310000004"/>
    <n v="368.43549569999999"/>
    <n v="0"/>
    <n v="1029.36795428088"/>
    <n v="399.82422944597408"/>
  </r>
  <r>
    <s v="Regular"/>
    <x v="2"/>
    <x v="2"/>
    <x v="2"/>
    <x v="6"/>
    <x v="2"/>
    <x v="0"/>
    <x v="1"/>
    <x v="11"/>
    <n v="0"/>
    <n v="0"/>
    <n v="3.532"/>
    <n v="0.95364000000000004"/>
    <n v="3.532"/>
    <n v="0.95364000000000004"/>
    <n v="0"/>
    <x v="0"/>
    <n v="0"/>
    <n v="0"/>
    <n v="29"/>
    <n v="66"/>
    <n v="0"/>
    <n v="448.29"/>
    <n v="221.63"/>
    <m/>
    <n v="619.209664567809"/>
    <n v="240.51169066583299"/>
    <n v="0"/>
    <n v="427.50727560000001"/>
    <n v="211.35523320000001"/>
    <n v="0"/>
    <n v="590.50310451844541"/>
    <n v="229.36156868656499"/>
  </r>
  <r>
    <s v="Regular"/>
    <x v="2"/>
    <x v="2"/>
    <x v="2"/>
    <x v="0"/>
    <x v="0"/>
    <x v="0"/>
    <x v="1"/>
    <x v="0"/>
    <n v="0"/>
    <n v="0"/>
    <n v="206.80799999999999"/>
    <n v="206.80799999999999"/>
    <n v="206.80799999999999"/>
    <n v="206.80799999999999"/>
    <n v="1819"/>
    <x v="0"/>
    <n v="0"/>
    <n v="0"/>
    <n v="29"/>
    <n v="66"/>
    <n v="0"/>
    <n v="448.29"/>
    <n v="221.63"/>
    <m/>
    <n v="619.209664567809"/>
    <n v="240.51169066583299"/>
    <n v="0"/>
    <n v="92709.958320000005"/>
    <n v="45834.857039999995"/>
    <n v="0"/>
    <n v="128057.51230993944"/>
    <n v="49739.741723219588"/>
  </r>
  <r>
    <s v="Regular"/>
    <x v="2"/>
    <x v="2"/>
    <x v="2"/>
    <x v="0"/>
    <x v="0"/>
    <x v="0"/>
    <x v="1"/>
    <x v="1"/>
    <n v="0"/>
    <n v="0"/>
    <n v="202.642"/>
    <n v="202.642"/>
    <n v="202.642"/>
    <n v="202.642"/>
    <n v="1812"/>
    <x v="0"/>
    <n v="0"/>
    <n v="0"/>
    <n v="29"/>
    <n v="66"/>
    <n v="0"/>
    <n v="448.29"/>
    <n v="221.63"/>
    <m/>
    <n v="619.209664567809"/>
    <n v="240.51169066583299"/>
    <n v="0"/>
    <n v="90842.382180000001"/>
    <n v="44911.546459999998"/>
    <n v="0"/>
    <n v="125477.88484734995"/>
    <n v="48737.770019905729"/>
  </r>
  <r>
    <s v="Sistema de Compensação"/>
    <x v="2"/>
    <x v="2"/>
    <x v="2"/>
    <x v="0"/>
    <x v="0"/>
    <x v="0"/>
    <x v="1"/>
    <x v="1"/>
    <n v="0"/>
    <n v="0"/>
    <n v="1.649"/>
    <n v="1.649"/>
    <n v="1.649"/>
    <n v="1.649"/>
    <n v="5"/>
    <x v="0"/>
    <n v="0"/>
    <n v="0"/>
    <n v="29"/>
    <n v="66"/>
    <n v="0"/>
    <n v="448.29"/>
    <n v="221.63"/>
    <m/>
    <n v="619.209664567809"/>
    <n v="240.51169066583299"/>
    <n v="0"/>
    <n v="739.23021000000006"/>
    <n v="365.46787"/>
    <n v="0"/>
    <n v="1021.076736872317"/>
    <n v="396.6037779079586"/>
  </r>
  <r>
    <s v="Regular"/>
    <x v="2"/>
    <x v="2"/>
    <x v="2"/>
    <x v="0"/>
    <x v="0"/>
    <x v="0"/>
    <x v="1"/>
    <x v="2"/>
    <n v="0"/>
    <n v="0"/>
    <n v="182.971"/>
    <n v="182.971"/>
    <n v="182.971"/>
    <n v="182.971"/>
    <n v="1807"/>
    <x v="0"/>
    <n v="0"/>
    <n v="0"/>
    <n v="29"/>
    <n v="66"/>
    <n v="0"/>
    <n v="448.29"/>
    <n v="221.63"/>
    <m/>
    <n v="619.209664567809"/>
    <n v="240.51169066583299"/>
    <n v="0"/>
    <n v="82024.069589999999"/>
    <n v="40551.862730000001"/>
    <n v="0"/>
    <n v="113297.41153563658"/>
    <n v="44006.664552818125"/>
  </r>
  <r>
    <s v="Sistema de Compensação"/>
    <x v="2"/>
    <x v="2"/>
    <x v="2"/>
    <x v="0"/>
    <x v="0"/>
    <x v="0"/>
    <x v="1"/>
    <x v="2"/>
    <n v="0"/>
    <n v="0"/>
    <n v="1.875"/>
    <n v="1.875"/>
    <n v="1.875"/>
    <n v="1.875"/>
    <n v="6"/>
    <x v="0"/>
    <n v="0"/>
    <n v="0"/>
    <n v="29"/>
    <n v="66"/>
    <n v="0"/>
    <n v="448.29"/>
    <n v="221.63"/>
    <m/>
    <n v="619.209664567809"/>
    <n v="240.51169066583299"/>
    <n v="0"/>
    <n v="840.54375000000005"/>
    <n v="415.55624999999998"/>
    <n v="0"/>
    <n v="1161.0181210646419"/>
    <n v="450.95941999843683"/>
  </r>
  <r>
    <s v="Regular"/>
    <x v="2"/>
    <x v="2"/>
    <x v="2"/>
    <x v="0"/>
    <x v="0"/>
    <x v="0"/>
    <x v="1"/>
    <x v="3"/>
    <n v="0"/>
    <n v="0"/>
    <n v="181.00299999999999"/>
    <n v="181.00299999999999"/>
    <n v="181.00299999999999"/>
    <n v="181.00299999999999"/>
    <n v="1792"/>
    <x v="0"/>
    <n v="0"/>
    <n v="0"/>
    <n v="29"/>
    <n v="66"/>
    <n v="0"/>
    <n v="448.29"/>
    <n v="221.63"/>
    <m/>
    <n v="619.209664567809"/>
    <n v="240.51169066583299"/>
    <n v="0"/>
    <n v="81141.834869999991"/>
    <n v="40115.694889999999"/>
    <n v="0"/>
    <n v="112078.80691576713"/>
    <n v="43533.337545587761"/>
  </r>
  <r>
    <s v="Sistema de Compensação"/>
    <x v="2"/>
    <x v="2"/>
    <x v="2"/>
    <x v="0"/>
    <x v="0"/>
    <x v="0"/>
    <x v="1"/>
    <x v="3"/>
    <n v="0"/>
    <n v="0"/>
    <n v="3.98"/>
    <n v="3.98"/>
    <n v="3.98"/>
    <n v="3.98"/>
    <n v="6"/>
    <x v="0"/>
    <n v="0"/>
    <n v="0"/>
    <n v="29"/>
    <n v="66"/>
    <n v="0"/>
    <n v="448.29"/>
    <n v="221.63"/>
    <m/>
    <n v="619.209664567809"/>
    <n v="240.51169066583299"/>
    <n v="0"/>
    <n v="1784.1942000000001"/>
    <n v="882.0874"/>
    <n v="0"/>
    <n v="2464.45446497988"/>
    <n v="957.23652885001525"/>
  </r>
  <r>
    <s v="Regular"/>
    <x v="2"/>
    <x v="2"/>
    <x v="2"/>
    <x v="0"/>
    <x v="0"/>
    <x v="0"/>
    <x v="1"/>
    <x v="4"/>
    <n v="0"/>
    <n v="0"/>
    <n v="186.982"/>
    <n v="186.982"/>
    <n v="186.982"/>
    <n v="186.982"/>
    <n v="1778"/>
    <x v="0"/>
    <n v="0"/>
    <n v="0"/>
    <n v="29"/>
    <n v="66"/>
    <n v="0"/>
    <n v="448.29"/>
    <n v="221.63"/>
    <m/>
    <n v="619.209664567809"/>
    <n v="240.51169066583299"/>
    <n v="0"/>
    <n v="83822.160780000006"/>
    <n v="41440.820659999998"/>
    <n v="0"/>
    <n v="115781.06150021806"/>
    <n v="44971.356944078783"/>
  </r>
  <r>
    <s v="Sistema de Compensação"/>
    <x v="2"/>
    <x v="2"/>
    <x v="2"/>
    <x v="0"/>
    <x v="0"/>
    <x v="0"/>
    <x v="1"/>
    <x v="4"/>
    <n v="0"/>
    <n v="0"/>
    <n v="3.367"/>
    <n v="3.367"/>
    <n v="3.367"/>
    <n v="3.367"/>
    <n v="7"/>
    <x v="0"/>
    <n v="0"/>
    <n v="0"/>
    <n v="29"/>
    <n v="66"/>
    <n v="0"/>
    <n v="448.29"/>
    <n v="221.63"/>
    <m/>
    <n v="619.209664567809"/>
    <n v="240.51169066583299"/>
    <n v="0"/>
    <n v="1509.3924300000001"/>
    <n v="746.22820999999999"/>
    <n v="0"/>
    <n v="2084.8789405998127"/>
    <n v="809.80286247185961"/>
  </r>
  <r>
    <s v="Regular"/>
    <x v="2"/>
    <x v="2"/>
    <x v="2"/>
    <x v="0"/>
    <x v="0"/>
    <x v="0"/>
    <x v="1"/>
    <x v="5"/>
    <n v="0"/>
    <n v="0"/>
    <n v="193.477"/>
    <n v="193.477"/>
    <n v="193.477"/>
    <n v="193.477"/>
    <n v="1761"/>
    <x v="0"/>
    <n v="0"/>
    <n v="0"/>
    <n v="29"/>
    <n v="66"/>
    <n v="0"/>
    <n v="448.29"/>
    <n v="221.63"/>
    <m/>
    <n v="619.209664567809"/>
    <n v="240.51169066583299"/>
    <n v="0"/>
    <n v="86733.804329999999"/>
    <n v="42880.307509999999"/>
    <n v="0"/>
    <n v="119802.82827158598"/>
    <n v="46533.480374953368"/>
  </r>
  <r>
    <s v="Sistema de Compensação"/>
    <x v="2"/>
    <x v="2"/>
    <x v="2"/>
    <x v="0"/>
    <x v="0"/>
    <x v="0"/>
    <x v="1"/>
    <x v="5"/>
    <n v="0"/>
    <n v="0"/>
    <n v="1.6419999999999999"/>
    <n v="1.6419999999999999"/>
    <n v="1.6419999999999999"/>
    <n v="1.6419999999999999"/>
    <n v="7"/>
    <x v="0"/>
    <n v="0"/>
    <n v="0"/>
    <n v="29"/>
    <n v="66"/>
    <n v="0"/>
    <n v="448.29"/>
    <n v="221.63"/>
    <m/>
    <n v="619.209664567809"/>
    <n v="240.51169066583299"/>
    <n v="0"/>
    <n v="736.09217999999998"/>
    <n v="363.91645999999997"/>
    <n v="0"/>
    <n v="1016.7422692203423"/>
    <n v="394.92019607329775"/>
  </r>
  <r>
    <s v="Regular"/>
    <x v="2"/>
    <x v="2"/>
    <x v="2"/>
    <x v="0"/>
    <x v="0"/>
    <x v="0"/>
    <x v="1"/>
    <x v="6"/>
    <n v="0"/>
    <n v="0"/>
    <n v="233.98599999999999"/>
    <n v="233.98599999999999"/>
    <n v="233.98599999999999"/>
    <n v="233.98599999999999"/>
    <n v="1752"/>
    <x v="0"/>
    <n v="0"/>
    <n v="0"/>
    <n v="29"/>
    <n v="66"/>
    <n v="0"/>
    <n v="448.29"/>
    <n v="221.63"/>
    <m/>
    <n v="619.209664567809"/>
    <n v="240.51169066583299"/>
    <n v="0"/>
    <n v="104893.58394"/>
    <n v="51858.317179999998"/>
    <n v="0"/>
    <n v="144886.39257356335"/>
    <n v="56276.368452135597"/>
  </r>
  <r>
    <s v="Sistema de Compensação"/>
    <x v="2"/>
    <x v="2"/>
    <x v="2"/>
    <x v="0"/>
    <x v="0"/>
    <x v="0"/>
    <x v="1"/>
    <x v="6"/>
    <n v="0"/>
    <n v="0"/>
    <n v="5.5339999999999998"/>
    <n v="5.5339999999999998"/>
    <n v="5.5339999999999998"/>
    <n v="5.5339999999999998"/>
    <n v="7"/>
    <x v="0"/>
    <n v="0"/>
    <n v="0"/>
    <n v="29"/>
    <n v="66"/>
    <n v="0"/>
    <n v="448.29"/>
    <n v="221.63"/>
    <m/>
    <n v="619.209664567809"/>
    <n v="240.51169066583299"/>
    <n v="0"/>
    <n v="2480.8368599999999"/>
    <n v="1226.5004199999998"/>
    <n v="0"/>
    <n v="3426.7062837182548"/>
    <n v="1330.9916961447198"/>
  </r>
  <r>
    <s v="Regular"/>
    <x v="2"/>
    <x v="2"/>
    <x v="2"/>
    <x v="0"/>
    <x v="0"/>
    <x v="0"/>
    <x v="1"/>
    <x v="7"/>
    <n v="0"/>
    <n v="0"/>
    <n v="212.27"/>
    <n v="212.27"/>
    <n v="212.27"/>
    <n v="212.27"/>
    <n v="1736"/>
    <x v="0"/>
    <n v="0"/>
    <n v="0"/>
    <n v="29"/>
    <n v="66"/>
    <n v="0"/>
    <n v="448.29"/>
    <n v="221.63"/>
    <m/>
    <n v="619.209664567809"/>
    <n v="240.51169066583299"/>
    <n v="0"/>
    <n v="95158.518300000011"/>
    <n v="47045.400099999999"/>
    <n v="0"/>
    <n v="131439.63549780883"/>
    <n v="51053.416577636373"/>
  </r>
  <r>
    <s v="Sistema de Compensação"/>
    <x v="2"/>
    <x v="2"/>
    <x v="2"/>
    <x v="0"/>
    <x v="0"/>
    <x v="0"/>
    <x v="1"/>
    <x v="7"/>
    <n v="0"/>
    <n v="0"/>
    <n v="0.88800000000000001"/>
    <n v="0.88800000000000001"/>
    <n v="0.88800000000000001"/>
    <n v="0.88800000000000001"/>
    <n v="8"/>
    <x v="0"/>
    <n v="0"/>
    <n v="0"/>
    <n v="29"/>
    <n v="66"/>
    <n v="0"/>
    <n v="448.29"/>
    <n v="221.63"/>
    <m/>
    <n v="619.209664567809"/>
    <n v="240.51169066583299"/>
    <n v="0"/>
    <n v="398.08152000000001"/>
    <n v="196.80743999999999"/>
    <n v="0"/>
    <n v="549.8581821362144"/>
    <n v="213.57438131125969"/>
  </r>
  <r>
    <s v="Regular"/>
    <x v="2"/>
    <x v="2"/>
    <x v="2"/>
    <x v="0"/>
    <x v="0"/>
    <x v="0"/>
    <x v="1"/>
    <x v="8"/>
    <n v="0"/>
    <n v="0"/>
    <n v="196.99100000000001"/>
    <n v="196.99100000000001"/>
    <n v="196.99100000000001"/>
    <n v="196.99100000000001"/>
    <n v="1715"/>
    <x v="0"/>
    <n v="0"/>
    <n v="0"/>
    <n v="29"/>
    <n v="66"/>
    <n v="0"/>
    <n v="448.29"/>
    <n v="221.63"/>
    <m/>
    <n v="619.209664567809"/>
    <n v="240.51169066583299"/>
    <n v="0"/>
    <n v="88309.095390000017"/>
    <n v="43659.115330000001"/>
    <n v="0"/>
    <n v="121978.73103287727"/>
    <n v="47378.638455953107"/>
  </r>
  <r>
    <s v="Sistema de Compensação"/>
    <x v="2"/>
    <x v="2"/>
    <x v="2"/>
    <x v="0"/>
    <x v="0"/>
    <x v="0"/>
    <x v="1"/>
    <x v="8"/>
    <n v="0"/>
    <n v="0"/>
    <n v="8.8620000000000001"/>
    <n v="8.8620000000000001"/>
    <n v="8.8620000000000001"/>
    <n v="8.8620000000000001"/>
    <n v="8"/>
    <x v="0"/>
    <n v="0"/>
    <n v="0"/>
    <n v="29"/>
    <n v="66"/>
    <n v="0"/>
    <n v="448.29"/>
    <n v="221.63"/>
    <m/>
    <n v="619.209664567809"/>
    <n v="240.51169066583299"/>
    <n v="0"/>
    <n v="3972.7459800000001"/>
    <n v="1964.0850599999999"/>
    <n v="0"/>
    <n v="5487.4360473999232"/>
    <n v="2131.414602680612"/>
  </r>
  <r>
    <s v="Regular"/>
    <x v="2"/>
    <x v="2"/>
    <x v="2"/>
    <x v="0"/>
    <x v="0"/>
    <x v="0"/>
    <x v="1"/>
    <x v="9"/>
    <n v="0"/>
    <n v="0"/>
    <n v="194.405"/>
    <n v="194.405"/>
    <n v="194.405"/>
    <n v="194.405"/>
    <n v="1596"/>
    <x v="0"/>
    <n v="0"/>
    <n v="0"/>
    <n v="29"/>
    <n v="66"/>
    <n v="0"/>
    <n v="448.29"/>
    <n v="221.63"/>
    <m/>
    <n v="619.209664567809"/>
    <n v="240.51169066583299"/>
    <n v="0"/>
    <n v="87149.817450000002"/>
    <n v="43085.980149999996"/>
    <n v="0"/>
    <n v="120377.45484030491"/>
    <n v="46756.67522389126"/>
  </r>
  <r>
    <s v="Sistema de Compensação"/>
    <x v="2"/>
    <x v="2"/>
    <x v="2"/>
    <x v="0"/>
    <x v="0"/>
    <x v="0"/>
    <x v="1"/>
    <x v="9"/>
    <n v="0"/>
    <n v="0"/>
    <n v="10.568"/>
    <n v="10.568"/>
    <n v="10.568"/>
    <n v="10.568"/>
    <n v="8"/>
    <x v="0"/>
    <n v="0"/>
    <n v="0"/>
    <n v="29"/>
    <n v="66"/>
    <n v="0"/>
    <n v="448.29"/>
    <n v="221.63"/>
    <m/>
    <n v="619.209664567809"/>
    <n v="240.51169066583299"/>
    <n v="0"/>
    <n v="4737.5287200000002"/>
    <n v="2342.1858399999996"/>
    <n v="0"/>
    <n v="6543.8077351526053"/>
    <n v="2541.7275469565229"/>
  </r>
  <r>
    <s v="Regular"/>
    <x v="2"/>
    <x v="2"/>
    <x v="2"/>
    <x v="0"/>
    <x v="0"/>
    <x v="0"/>
    <x v="1"/>
    <x v="10"/>
    <n v="0"/>
    <n v="0"/>
    <n v="211.785"/>
    <n v="211.785"/>
    <n v="211.785"/>
    <n v="211.785"/>
    <n v="1573"/>
    <x v="0"/>
    <n v="0"/>
    <n v="0"/>
    <n v="29"/>
    <n v="66"/>
    <n v="0"/>
    <n v="448.29"/>
    <n v="221.63"/>
    <m/>
    <n v="619.209664567809"/>
    <n v="240.51169066583299"/>
    <n v="0"/>
    <n v="94941.097649999996"/>
    <n v="46937.909549999997"/>
    <n v="0"/>
    <n v="131139.31881049342"/>
    <n v="50936.76840766344"/>
  </r>
  <r>
    <s v="Sistema de Compensação"/>
    <x v="2"/>
    <x v="2"/>
    <x v="2"/>
    <x v="0"/>
    <x v="0"/>
    <x v="0"/>
    <x v="1"/>
    <x v="10"/>
    <n v="0"/>
    <n v="0"/>
    <n v="1.1879999999999999"/>
    <n v="1.1879999999999999"/>
    <n v="1.1879999999999999"/>
    <n v="1.1879999999999999"/>
    <n v="8"/>
    <x v="0"/>
    <n v="0"/>
    <n v="0"/>
    <n v="29"/>
    <n v="66"/>
    <n v="0"/>
    <n v="448.29"/>
    <n v="221.63"/>
    <m/>
    <n v="619.209664567809"/>
    <n v="240.51169066583299"/>
    <n v="0"/>
    <n v="532.56852000000003"/>
    <n v="263.29643999999996"/>
    <n v="0"/>
    <n v="735.62108150655706"/>
    <n v="285.72788851100955"/>
  </r>
  <r>
    <s v="Regular"/>
    <x v="2"/>
    <x v="2"/>
    <x v="2"/>
    <x v="0"/>
    <x v="0"/>
    <x v="0"/>
    <x v="1"/>
    <x v="11"/>
    <n v="0"/>
    <n v="0"/>
    <n v="184.376"/>
    <n v="184.376"/>
    <n v="184.376"/>
    <n v="184.376"/>
    <n v="1537"/>
    <x v="0"/>
    <n v="0"/>
    <n v="0"/>
    <n v="29"/>
    <n v="66"/>
    <n v="0"/>
    <n v="448.29"/>
    <n v="221.63"/>
    <m/>
    <n v="619.209664567809"/>
    <n v="240.51169066583299"/>
    <n v="0"/>
    <n v="82653.91704"/>
    <n v="40863.25288"/>
    <n v="0"/>
    <n v="114167.40111435436"/>
    <n v="44344.583478203625"/>
  </r>
  <r>
    <s v="Sistema de Compensação"/>
    <x v="2"/>
    <x v="2"/>
    <x v="2"/>
    <x v="0"/>
    <x v="0"/>
    <x v="0"/>
    <x v="1"/>
    <x v="11"/>
    <n v="0"/>
    <n v="0"/>
    <n v="12.340999999999999"/>
    <n v="12.340999999999999"/>
    <n v="12.340999999999999"/>
    <n v="12.340999999999999"/>
    <n v="7"/>
    <x v="0"/>
    <n v="0"/>
    <n v="0"/>
    <n v="29"/>
    <n v="66"/>
    <n v="0"/>
    <n v="448.29"/>
    <n v="221.63"/>
    <m/>
    <n v="619.209664567809"/>
    <n v="240.51169066583299"/>
    <n v="0"/>
    <n v="5532.3468899999998"/>
    <n v="2735.1358299999997"/>
    <n v="0"/>
    <n v="7641.6664704313307"/>
    <n v="2968.1547745070447"/>
  </r>
  <r>
    <s v="Regular"/>
    <x v="3"/>
    <x v="1"/>
    <x v="3"/>
    <x v="0"/>
    <x v="0"/>
    <x v="0"/>
    <x v="0"/>
    <x v="0"/>
    <n v="0"/>
    <n v="0"/>
    <n v="0.32700000000000001"/>
    <n v="0.32700000000000001"/>
    <n v="0.32700000000000001"/>
    <n v="0.32700000000000001"/>
    <n v="0"/>
    <x v="0"/>
    <n v="0"/>
    <n v="0"/>
    <n v="43"/>
    <n v="80"/>
    <n v="0"/>
    <n v="356"/>
    <n v="251.85"/>
    <m/>
    <n v="461.49292643192632"/>
    <n v="255.86350070833299"/>
    <n v="0"/>
    <n v="116.41200000000001"/>
    <n v="82.354950000000002"/>
    <n v="0"/>
    <n v="150.90818694323991"/>
    <n v="83.667364731624886"/>
  </r>
  <r>
    <s v="Regular"/>
    <x v="3"/>
    <x v="1"/>
    <x v="3"/>
    <x v="0"/>
    <x v="0"/>
    <x v="0"/>
    <x v="0"/>
    <x v="1"/>
    <n v="0"/>
    <n v="0"/>
    <n v="0.25700000000000001"/>
    <n v="0.25700000000000001"/>
    <n v="0.25700000000000001"/>
    <n v="0.25700000000000001"/>
    <n v="0"/>
    <x v="0"/>
    <n v="0"/>
    <n v="0"/>
    <n v="43"/>
    <n v="80"/>
    <n v="0"/>
    <n v="356"/>
    <n v="251.85"/>
    <m/>
    <n v="461.49292643192632"/>
    <n v="255.86350070833299"/>
    <n v="0"/>
    <n v="91.492000000000004"/>
    <n v="64.725449999999995"/>
    <n v="0"/>
    <n v="118.60368209300506"/>
    <n v="65.756919682041584"/>
  </r>
  <r>
    <s v="Regular"/>
    <x v="3"/>
    <x v="1"/>
    <x v="3"/>
    <x v="0"/>
    <x v="0"/>
    <x v="0"/>
    <x v="0"/>
    <x v="2"/>
    <n v="0"/>
    <n v="0"/>
    <n v="0.34399999999999997"/>
    <n v="0.34399999999999997"/>
    <n v="0.34399999999999997"/>
    <n v="0.34399999999999997"/>
    <n v="0"/>
    <x v="0"/>
    <n v="0"/>
    <n v="0"/>
    <n v="43"/>
    <n v="80"/>
    <n v="0"/>
    <n v="356"/>
    <n v="251.85"/>
    <m/>
    <n v="461.49292643192632"/>
    <n v="255.86350070833299"/>
    <n v="0"/>
    <n v="122.46399999999998"/>
    <n v="86.636399999999995"/>
    <n v="0"/>
    <n v="158.75356669258264"/>
    <n v="88.017044243666547"/>
  </r>
  <r>
    <s v="Regular"/>
    <x v="3"/>
    <x v="1"/>
    <x v="3"/>
    <x v="0"/>
    <x v="0"/>
    <x v="0"/>
    <x v="0"/>
    <x v="3"/>
    <n v="0"/>
    <n v="0"/>
    <n v="0.47299999999999998"/>
    <n v="0.47299999999999998"/>
    <n v="0.47299999999999998"/>
    <n v="0.47299999999999998"/>
    <n v="0"/>
    <x v="0"/>
    <n v="0"/>
    <n v="0"/>
    <n v="43"/>
    <n v="80"/>
    <n v="0"/>
    <n v="356"/>
    <n v="251.85"/>
    <m/>
    <n v="461.49292643192632"/>
    <n v="255.86350070833299"/>
    <n v="0"/>
    <n v="168.38800000000001"/>
    <n v="119.12504999999999"/>
    <n v="0"/>
    <n v="218.28615420230113"/>
    <n v="121.0234358350415"/>
  </r>
  <r>
    <s v="Regular"/>
    <x v="3"/>
    <x v="1"/>
    <x v="3"/>
    <x v="0"/>
    <x v="0"/>
    <x v="0"/>
    <x v="0"/>
    <x v="4"/>
    <n v="0"/>
    <n v="0"/>
    <n v="0.52200000000000002"/>
    <n v="0.52200000000000002"/>
    <n v="0.52200000000000002"/>
    <n v="0.52200000000000002"/>
    <n v="0"/>
    <x v="0"/>
    <n v="0"/>
    <n v="0"/>
    <n v="43"/>
    <n v="80"/>
    <n v="0"/>
    <n v="356"/>
    <n v="251.85"/>
    <m/>
    <n v="461.49292643192632"/>
    <n v="255.86350070833299"/>
    <n v="0"/>
    <n v="185.83199999999999"/>
    <n v="131.4657"/>
    <n v="0"/>
    <n v="240.89930759746554"/>
    <n v="133.56074736974983"/>
  </r>
  <r>
    <s v="Regular"/>
    <x v="3"/>
    <x v="1"/>
    <x v="3"/>
    <x v="0"/>
    <x v="0"/>
    <x v="0"/>
    <x v="0"/>
    <x v="5"/>
    <n v="0"/>
    <n v="0"/>
    <n v="0.501"/>
    <n v="0.501"/>
    <n v="0.501"/>
    <n v="0.501"/>
    <n v="0"/>
    <x v="0"/>
    <n v="0"/>
    <n v="0"/>
    <n v="43"/>
    <n v="80"/>
    <n v="0"/>
    <n v="356"/>
    <n v="251.85"/>
    <m/>
    <n v="461.49292643192632"/>
    <n v="255.86350070833299"/>
    <n v="0"/>
    <n v="178.35599999999999"/>
    <n v="126.17685"/>
    <n v="0"/>
    <n v="231.20795614239509"/>
    <n v="128.18761385487483"/>
  </r>
  <r>
    <s v="Regular"/>
    <x v="3"/>
    <x v="1"/>
    <x v="3"/>
    <x v="0"/>
    <x v="0"/>
    <x v="0"/>
    <x v="0"/>
    <x v="6"/>
    <n v="0"/>
    <n v="0"/>
    <n v="0.53900000000000003"/>
    <n v="0.53900000000000003"/>
    <n v="0.53900000000000003"/>
    <n v="0.53900000000000003"/>
    <n v="0"/>
    <x v="0"/>
    <n v="0"/>
    <n v="0"/>
    <n v="43"/>
    <n v="80"/>
    <n v="0"/>
    <n v="356"/>
    <n v="251.85"/>
    <m/>
    <n v="461.49292643192632"/>
    <n v="255.86350070833299"/>
    <n v="0"/>
    <n v="191.88400000000001"/>
    <n v="135.74715"/>
    <n v="0"/>
    <n v="248.74468734680829"/>
    <n v="137.91042688179149"/>
  </r>
  <r>
    <s v="Regular"/>
    <x v="3"/>
    <x v="1"/>
    <x v="3"/>
    <x v="0"/>
    <x v="0"/>
    <x v="0"/>
    <x v="0"/>
    <x v="7"/>
    <n v="0"/>
    <n v="0"/>
    <n v="0.56599999999999995"/>
    <n v="0.56599999999999995"/>
    <n v="0.56599999999999995"/>
    <n v="0.56599999999999995"/>
    <n v="0"/>
    <x v="0"/>
    <n v="0"/>
    <n v="0"/>
    <n v="43"/>
    <n v="80"/>
    <n v="0"/>
    <n v="356"/>
    <n v="251.85"/>
    <m/>
    <n v="461.49292643192632"/>
    <n v="255.86350070833299"/>
    <n v="0"/>
    <n v="201.49599999999998"/>
    <n v="142.54709999999997"/>
    <n v="0"/>
    <n v="261.20499636047026"/>
    <n v="144.81874140091645"/>
  </r>
  <r>
    <s v="Regular"/>
    <x v="3"/>
    <x v="1"/>
    <x v="3"/>
    <x v="0"/>
    <x v="0"/>
    <x v="0"/>
    <x v="0"/>
    <x v="8"/>
    <n v="0"/>
    <n v="0"/>
    <n v="0.39500000000000002"/>
    <n v="0.39500000000000002"/>
    <n v="0.39500000000000002"/>
    <n v="0.39500000000000002"/>
    <n v="0"/>
    <x v="0"/>
    <n v="0"/>
    <n v="0"/>
    <n v="43"/>
    <n v="80"/>
    <n v="0"/>
    <n v="356"/>
    <n v="251.85"/>
    <m/>
    <n v="461.49292643192632"/>
    <n v="255.86350070833299"/>
    <n v="0"/>
    <n v="140.62"/>
    <n v="99.48075"/>
    <n v="0"/>
    <n v="182.2897059406109"/>
    <n v="101.06608277979154"/>
  </r>
  <r>
    <s v="Regular"/>
    <x v="3"/>
    <x v="1"/>
    <x v="3"/>
    <x v="0"/>
    <x v="0"/>
    <x v="0"/>
    <x v="0"/>
    <x v="9"/>
    <n v="0"/>
    <n v="0"/>
    <n v="0.35899999999999999"/>
    <n v="0.35899999999999999"/>
    <n v="0.35899999999999999"/>
    <n v="0.35899999999999999"/>
    <n v="0"/>
    <x v="0"/>
    <n v="0"/>
    <n v="0"/>
    <n v="43"/>
    <n v="80"/>
    <n v="0"/>
    <n v="356"/>
    <n v="251.85"/>
    <m/>
    <n v="461.49292643192632"/>
    <n v="255.86350070833299"/>
    <n v="0"/>
    <n v="127.804"/>
    <n v="90.414149999999992"/>
    <n v="0"/>
    <n v="165.67596058906153"/>
    <n v="91.854996754291534"/>
  </r>
  <r>
    <s v="Regular"/>
    <x v="3"/>
    <x v="1"/>
    <x v="3"/>
    <x v="0"/>
    <x v="0"/>
    <x v="0"/>
    <x v="0"/>
    <x v="10"/>
    <n v="0"/>
    <n v="0"/>
    <n v="0.41099999999999998"/>
    <n v="0.41099999999999998"/>
    <n v="0.41099999999999998"/>
    <n v="0.41099999999999998"/>
    <n v="0"/>
    <x v="0"/>
    <n v="0"/>
    <n v="0"/>
    <n v="43"/>
    <n v="80"/>
    <n v="0"/>
    <n v="356"/>
    <n v="251.85"/>
    <m/>
    <n v="461.49292643192632"/>
    <n v="255.86350070833299"/>
    <n v="0"/>
    <n v="146.316"/>
    <n v="103.51034999999999"/>
    <n v="0"/>
    <n v="189.6735927635217"/>
    <n v="105.15989879112486"/>
  </r>
  <r>
    <s v="Regular"/>
    <x v="3"/>
    <x v="1"/>
    <x v="3"/>
    <x v="0"/>
    <x v="0"/>
    <x v="0"/>
    <x v="0"/>
    <x v="11"/>
    <n v="0"/>
    <n v="0"/>
    <n v="0.378"/>
    <n v="0.378"/>
    <n v="0.378"/>
    <n v="0.378"/>
    <n v="0"/>
    <x v="0"/>
    <n v="0"/>
    <n v="0"/>
    <n v="43"/>
    <n v="80"/>
    <n v="0"/>
    <n v="356"/>
    <n v="251.85"/>
    <m/>
    <n v="461.49292643192632"/>
    <n v="255.86350070833299"/>
    <n v="0"/>
    <n v="134.56800000000001"/>
    <n v="95.199299999999994"/>
    <n v="0"/>
    <n v="174.44432619126815"/>
    <n v="96.716403267749868"/>
  </r>
  <r>
    <s v="Regular"/>
    <x v="3"/>
    <x v="1"/>
    <x v="3"/>
    <x v="0"/>
    <x v="0"/>
    <x v="0"/>
    <x v="3"/>
    <x v="0"/>
    <n v="0"/>
    <n v="0"/>
    <n v="1.0999999999999999E-2"/>
    <n v="1.0999999999999999E-2"/>
    <n v="1.0999999999999999E-2"/>
    <n v="1.0999999999999999E-2"/>
    <n v="0"/>
    <x v="0"/>
    <n v="0"/>
    <n v="0"/>
    <n v="42"/>
    <n v="79"/>
    <n v="0"/>
    <n v="925.88"/>
    <n v="251.85"/>
    <m/>
    <n v="1194.108628193562"/>
    <n v="255.86350070833299"/>
    <n v="0"/>
    <n v="10.18468"/>
    <n v="2.7703499999999996"/>
    <n v="0"/>
    <n v="13.135194910129181"/>
    <n v="2.8144985077916629"/>
  </r>
  <r>
    <s v="Regular"/>
    <x v="3"/>
    <x v="1"/>
    <x v="3"/>
    <x v="0"/>
    <x v="0"/>
    <x v="0"/>
    <x v="3"/>
    <x v="1"/>
    <n v="0"/>
    <n v="0"/>
    <n v="8.9999999999999993E-3"/>
    <n v="8.9999999999999993E-3"/>
    <n v="8.9999999999999993E-3"/>
    <n v="8.9999999999999993E-3"/>
    <n v="0"/>
    <x v="0"/>
    <n v="0"/>
    <n v="0"/>
    <n v="42"/>
    <n v="79"/>
    <n v="0"/>
    <n v="925.88"/>
    <n v="251.85"/>
    <m/>
    <n v="1194.108628193562"/>
    <n v="255.86350070833299"/>
    <n v="0"/>
    <n v="8.3329199999999997"/>
    <n v="2.2666499999999998"/>
    <n v="0"/>
    <n v="10.746977653742057"/>
    <n v="2.3027715063749969"/>
  </r>
  <r>
    <s v="Regular"/>
    <x v="3"/>
    <x v="1"/>
    <x v="3"/>
    <x v="0"/>
    <x v="0"/>
    <x v="0"/>
    <x v="3"/>
    <x v="2"/>
    <n v="0"/>
    <n v="0"/>
    <n v="1.9E-2"/>
    <n v="1.9E-2"/>
    <n v="1.9E-2"/>
    <n v="1.9E-2"/>
    <n v="0"/>
    <x v="0"/>
    <n v="0"/>
    <n v="0"/>
    <n v="42"/>
    <n v="79"/>
    <n v="0"/>
    <n v="925.88"/>
    <n v="251.85"/>
    <m/>
    <n v="1194.108628193562"/>
    <n v="255.86350070833299"/>
    <n v="0"/>
    <n v="17.591719999999999"/>
    <n v="4.7851499999999998"/>
    <n v="0"/>
    <n v="22.688063935677679"/>
    <n v="4.8614065134583271"/>
  </r>
  <r>
    <s v="Regular"/>
    <x v="3"/>
    <x v="1"/>
    <x v="3"/>
    <x v="0"/>
    <x v="0"/>
    <x v="0"/>
    <x v="3"/>
    <x v="3"/>
    <n v="0"/>
    <n v="0"/>
    <n v="1.2999999999999999E-2"/>
    <n v="1.2999999999999999E-2"/>
    <n v="1.2999999999999999E-2"/>
    <n v="1.2999999999999999E-2"/>
    <n v="0"/>
    <x v="0"/>
    <n v="0"/>
    <n v="0"/>
    <n v="42"/>
    <n v="79"/>
    <n v="0"/>
    <n v="925.88"/>
    <n v="251.85"/>
    <m/>
    <n v="1194.108628193562"/>
    <n v="255.86350070833299"/>
    <n v="0"/>
    <n v="12.036439999999999"/>
    <n v="3.2740499999999999"/>
    <n v="0"/>
    <n v="15.523412166516305"/>
    <n v="3.3262255092083288"/>
  </r>
  <r>
    <s v="Regular"/>
    <x v="3"/>
    <x v="1"/>
    <x v="3"/>
    <x v="0"/>
    <x v="0"/>
    <x v="0"/>
    <x v="3"/>
    <x v="4"/>
    <n v="0"/>
    <n v="0"/>
    <n v="1.2E-2"/>
    <n v="1.2E-2"/>
    <n v="1.2E-2"/>
    <n v="1.2E-2"/>
    <n v="0"/>
    <x v="0"/>
    <n v="0"/>
    <n v="0"/>
    <n v="42"/>
    <n v="79"/>
    <n v="0"/>
    <n v="925.88"/>
    <n v="251.85"/>
    <m/>
    <n v="1194.108628193562"/>
    <n v="255.86350070833299"/>
    <n v="0"/>
    <n v="11.11056"/>
    <n v="3.0221999999999998"/>
    <n v="0"/>
    <n v="14.329303538322744"/>
    <n v="3.0703620084999961"/>
  </r>
  <r>
    <s v="Regular"/>
    <x v="3"/>
    <x v="1"/>
    <x v="3"/>
    <x v="0"/>
    <x v="0"/>
    <x v="0"/>
    <x v="3"/>
    <x v="5"/>
    <n v="0"/>
    <n v="0"/>
    <n v="1.0999999999999999E-2"/>
    <n v="1.0999999999999999E-2"/>
    <n v="1.0999999999999999E-2"/>
    <n v="1.0999999999999999E-2"/>
    <n v="0"/>
    <x v="0"/>
    <n v="0"/>
    <n v="0"/>
    <n v="42"/>
    <n v="79"/>
    <n v="0"/>
    <n v="925.88"/>
    <n v="251.85"/>
    <m/>
    <n v="1194.108628193562"/>
    <n v="255.86350070833299"/>
    <n v="0"/>
    <n v="10.18468"/>
    <n v="2.7703499999999996"/>
    <n v="0"/>
    <n v="13.135194910129181"/>
    <n v="2.8144985077916629"/>
  </r>
  <r>
    <s v="Regular"/>
    <x v="3"/>
    <x v="1"/>
    <x v="3"/>
    <x v="0"/>
    <x v="0"/>
    <x v="0"/>
    <x v="3"/>
    <x v="6"/>
    <n v="0"/>
    <n v="0"/>
    <n v="1.9E-2"/>
    <n v="1.9E-2"/>
    <n v="1.9E-2"/>
    <n v="1.9E-2"/>
    <n v="0"/>
    <x v="0"/>
    <n v="0"/>
    <n v="0"/>
    <n v="42"/>
    <n v="79"/>
    <n v="0"/>
    <n v="925.88"/>
    <n v="251.85"/>
    <m/>
    <n v="1194.108628193562"/>
    <n v="255.86350070833299"/>
    <n v="0"/>
    <n v="17.591719999999999"/>
    <n v="4.7851499999999998"/>
    <n v="0"/>
    <n v="22.688063935677679"/>
    <n v="4.8614065134583271"/>
  </r>
  <r>
    <s v="Regular"/>
    <x v="3"/>
    <x v="1"/>
    <x v="3"/>
    <x v="0"/>
    <x v="0"/>
    <x v="0"/>
    <x v="3"/>
    <x v="7"/>
    <n v="0"/>
    <n v="0"/>
    <n v="0.02"/>
    <n v="0.02"/>
    <n v="0.02"/>
    <n v="0.02"/>
    <n v="0"/>
    <x v="0"/>
    <n v="0"/>
    <n v="0"/>
    <n v="42"/>
    <n v="79"/>
    <n v="0"/>
    <n v="925.88"/>
    <n v="251.85"/>
    <m/>
    <n v="1194.108628193562"/>
    <n v="255.86350070833299"/>
    <n v="0"/>
    <n v="18.517600000000002"/>
    <n v="5.0369999999999999"/>
    <n v="0"/>
    <n v="23.88217256387124"/>
    <n v="5.1172700141666603"/>
  </r>
  <r>
    <s v="Regular"/>
    <x v="3"/>
    <x v="1"/>
    <x v="3"/>
    <x v="0"/>
    <x v="0"/>
    <x v="0"/>
    <x v="3"/>
    <x v="8"/>
    <n v="0"/>
    <n v="0"/>
    <n v="1.2999999999999999E-2"/>
    <n v="1.2999999999999999E-2"/>
    <n v="1.2999999999999999E-2"/>
    <n v="1.2999999999999999E-2"/>
    <n v="0"/>
    <x v="0"/>
    <n v="0"/>
    <n v="0"/>
    <n v="42"/>
    <n v="79"/>
    <n v="0"/>
    <n v="925.88"/>
    <n v="251.85"/>
    <m/>
    <n v="1194.108628193562"/>
    <n v="255.86350070833299"/>
    <n v="0"/>
    <n v="12.036439999999999"/>
    <n v="3.2740499999999999"/>
    <n v="0"/>
    <n v="15.523412166516305"/>
    <n v="3.3262255092083288"/>
  </r>
  <r>
    <s v="Regular"/>
    <x v="3"/>
    <x v="1"/>
    <x v="3"/>
    <x v="0"/>
    <x v="0"/>
    <x v="0"/>
    <x v="3"/>
    <x v="9"/>
    <n v="0"/>
    <n v="0"/>
    <n v="1.2E-2"/>
    <n v="1.2E-2"/>
    <n v="1.2E-2"/>
    <n v="1.2E-2"/>
    <n v="0"/>
    <x v="0"/>
    <n v="0"/>
    <n v="0"/>
    <n v="42"/>
    <n v="79"/>
    <n v="0"/>
    <n v="925.88"/>
    <n v="251.85"/>
    <m/>
    <n v="1194.108628193562"/>
    <n v="255.86350070833299"/>
    <n v="0"/>
    <n v="11.11056"/>
    <n v="3.0221999999999998"/>
    <n v="0"/>
    <n v="14.329303538322744"/>
    <n v="3.0703620084999961"/>
  </r>
  <r>
    <s v="Regular"/>
    <x v="3"/>
    <x v="1"/>
    <x v="3"/>
    <x v="0"/>
    <x v="0"/>
    <x v="0"/>
    <x v="3"/>
    <x v="10"/>
    <n v="0"/>
    <n v="0"/>
    <n v="1.4E-2"/>
    <n v="1.4E-2"/>
    <n v="1.4E-2"/>
    <n v="1.4E-2"/>
    <n v="0"/>
    <x v="0"/>
    <n v="0"/>
    <n v="0"/>
    <n v="42"/>
    <n v="79"/>
    <n v="0"/>
    <n v="925.88"/>
    <n v="251.85"/>
    <m/>
    <n v="1194.108628193562"/>
    <n v="255.86350070833299"/>
    <n v="0"/>
    <n v="12.96232"/>
    <n v="3.5259"/>
    <n v="0"/>
    <n v="16.71752079470987"/>
    <n v="3.582089009916662"/>
  </r>
  <r>
    <s v="Regular"/>
    <x v="3"/>
    <x v="1"/>
    <x v="3"/>
    <x v="0"/>
    <x v="0"/>
    <x v="0"/>
    <x v="3"/>
    <x v="11"/>
    <n v="0"/>
    <n v="0"/>
    <n v="1.0999999999999999E-2"/>
    <n v="1.0999999999999999E-2"/>
    <n v="1.0999999999999999E-2"/>
    <n v="1.0999999999999999E-2"/>
    <n v="0"/>
    <x v="0"/>
    <n v="0"/>
    <n v="0"/>
    <n v="42"/>
    <n v="79"/>
    <n v="0"/>
    <n v="925.88"/>
    <n v="251.85"/>
    <m/>
    <n v="1194.108628193562"/>
    <n v="255.86350070833299"/>
    <n v="0"/>
    <n v="10.18468"/>
    <n v="2.7703499999999996"/>
    <n v="0"/>
    <n v="13.135194910129181"/>
    <n v="2.8144985077916629"/>
  </r>
  <r>
    <s v="Regular"/>
    <x v="3"/>
    <x v="1"/>
    <x v="3"/>
    <x v="0"/>
    <x v="0"/>
    <x v="0"/>
    <x v="2"/>
    <x v="0"/>
    <n v="0"/>
    <n v="0"/>
    <n v="8.9999999999999993E-3"/>
    <n v="8.9999999999999993E-3"/>
    <n v="8.9999999999999993E-3"/>
    <n v="8.9999999999999993E-3"/>
    <n v="0"/>
    <x v="0"/>
    <n v="0"/>
    <n v="0"/>
    <n v="41"/>
    <n v="78"/>
    <n v="0"/>
    <n v="1495.77"/>
    <n v="251.85"/>
    <m/>
    <n v="1926.7218207583514"/>
    <n v="255.86350070833299"/>
    <n v="0"/>
    <n v="13.461929999999999"/>
    <n v="2.2666499999999998"/>
    <n v="0"/>
    <n v="17.340496386825162"/>
    <n v="2.3027715063749969"/>
  </r>
  <r>
    <s v="Regular"/>
    <x v="3"/>
    <x v="1"/>
    <x v="3"/>
    <x v="0"/>
    <x v="0"/>
    <x v="0"/>
    <x v="2"/>
    <x v="1"/>
    <n v="0"/>
    <n v="0"/>
    <n v="1.2E-2"/>
    <n v="1.2E-2"/>
    <n v="1.2E-2"/>
    <n v="1.2E-2"/>
    <n v="0"/>
    <x v="0"/>
    <n v="0"/>
    <n v="0"/>
    <n v="41"/>
    <n v="78"/>
    <n v="0"/>
    <n v="1495.77"/>
    <n v="251.85"/>
    <m/>
    <n v="1926.7218207583514"/>
    <n v="255.86350070833299"/>
    <n v="0"/>
    <n v="17.94924"/>
    <n v="3.0221999999999998"/>
    <n v="0"/>
    <n v="23.120661849100216"/>
    <n v="3.0703620084999961"/>
  </r>
  <r>
    <s v="Regular"/>
    <x v="3"/>
    <x v="1"/>
    <x v="3"/>
    <x v="0"/>
    <x v="0"/>
    <x v="0"/>
    <x v="2"/>
    <x v="2"/>
    <n v="0"/>
    <n v="0"/>
    <n v="1.4E-2"/>
    <n v="1.4E-2"/>
    <n v="1.4E-2"/>
    <n v="1.4E-2"/>
    <n v="0"/>
    <x v="0"/>
    <n v="0"/>
    <n v="0"/>
    <n v="41"/>
    <n v="78"/>
    <n v="0"/>
    <n v="1495.77"/>
    <n v="251.85"/>
    <m/>
    <n v="1926.7218207583514"/>
    <n v="255.86350070833299"/>
    <n v="0"/>
    <n v="20.94078"/>
    <n v="3.5259"/>
    <n v="0"/>
    <n v="26.974105490616921"/>
    <n v="3.582089009916662"/>
  </r>
  <r>
    <s v="Regular"/>
    <x v="3"/>
    <x v="1"/>
    <x v="3"/>
    <x v="0"/>
    <x v="0"/>
    <x v="0"/>
    <x v="2"/>
    <x v="3"/>
    <n v="0"/>
    <n v="0"/>
    <n v="1.4999999999999999E-2"/>
    <n v="1.4999999999999999E-2"/>
    <n v="1.4999999999999999E-2"/>
    <n v="1.4999999999999999E-2"/>
    <n v="0"/>
    <x v="0"/>
    <n v="0"/>
    <n v="0"/>
    <n v="41"/>
    <n v="78"/>
    <n v="0"/>
    <n v="1495.77"/>
    <n v="251.85"/>
    <m/>
    <n v="1926.7218207583514"/>
    <n v="255.86350070833299"/>
    <n v="0"/>
    <n v="22.43655"/>
    <n v="3.7777499999999997"/>
    <n v="0"/>
    <n v="28.90082731137527"/>
    <n v="3.8379525106249948"/>
  </r>
  <r>
    <s v="Regular"/>
    <x v="3"/>
    <x v="1"/>
    <x v="3"/>
    <x v="0"/>
    <x v="0"/>
    <x v="0"/>
    <x v="2"/>
    <x v="4"/>
    <n v="0"/>
    <n v="0"/>
    <n v="1.2E-2"/>
    <n v="1.2E-2"/>
    <n v="1.2E-2"/>
    <n v="1.2E-2"/>
    <n v="0"/>
    <x v="0"/>
    <n v="0"/>
    <n v="0"/>
    <n v="41"/>
    <n v="78"/>
    <n v="0"/>
    <n v="1495.77"/>
    <n v="251.85"/>
    <m/>
    <n v="1926.7218207583514"/>
    <n v="255.86350070833299"/>
    <n v="0"/>
    <n v="17.94924"/>
    <n v="3.0221999999999998"/>
    <n v="0"/>
    <n v="23.120661849100216"/>
    <n v="3.0703620084999961"/>
  </r>
  <r>
    <s v="Regular"/>
    <x v="3"/>
    <x v="1"/>
    <x v="3"/>
    <x v="0"/>
    <x v="0"/>
    <x v="0"/>
    <x v="2"/>
    <x v="5"/>
    <n v="0"/>
    <n v="0"/>
    <n v="1.2999999999999999E-2"/>
    <n v="1.2999999999999999E-2"/>
    <n v="1.2999999999999999E-2"/>
    <n v="1.2999999999999999E-2"/>
    <n v="0"/>
    <x v="0"/>
    <n v="0"/>
    <n v="0"/>
    <n v="41"/>
    <n v="78"/>
    <n v="0"/>
    <n v="1495.77"/>
    <n v="251.85"/>
    <m/>
    <n v="1926.7218207583514"/>
    <n v="255.86350070833299"/>
    <n v="0"/>
    <n v="19.44501"/>
    <n v="3.2740499999999999"/>
    <n v="0"/>
    <n v="25.047383669858569"/>
    <n v="3.3262255092083288"/>
  </r>
  <r>
    <s v="Regular"/>
    <x v="3"/>
    <x v="1"/>
    <x v="3"/>
    <x v="0"/>
    <x v="0"/>
    <x v="0"/>
    <x v="2"/>
    <x v="6"/>
    <n v="0"/>
    <n v="0"/>
    <n v="1.2E-2"/>
    <n v="1.2E-2"/>
    <n v="1.2E-2"/>
    <n v="1.2E-2"/>
    <n v="0"/>
    <x v="0"/>
    <n v="0"/>
    <n v="0"/>
    <n v="41"/>
    <n v="78"/>
    <n v="0"/>
    <n v="1495.77"/>
    <n v="251.85"/>
    <m/>
    <n v="1926.7218207583514"/>
    <n v="255.86350070833299"/>
    <n v="0"/>
    <n v="17.94924"/>
    <n v="3.0221999999999998"/>
    <n v="0"/>
    <n v="23.120661849100216"/>
    <n v="3.0703620084999961"/>
  </r>
  <r>
    <s v="Regular"/>
    <x v="3"/>
    <x v="1"/>
    <x v="3"/>
    <x v="0"/>
    <x v="0"/>
    <x v="0"/>
    <x v="2"/>
    <x v="7"/>
    <n v="0"/>
    <n v="0"/>
    <n v="1.7000000000000001E-2"/>
    <n v="1.7000000000000001E-2"/>
    <n v="1.7000000000000001E-2"/>
    <n v="1.7000000000000001E-2"/>
    <n v="0"/>
    <x v="0"/>
    <n v="0"/>
    <n v="0"/>
    <n v="41"/>
    <n v="78"/>
    <n v="0"/>
    <n v="1495.77"/>
    <n v="251.85"/>
    <m/>
    <n v="1926.7218207583514"/>
    <n v="255.86350070833299"/>
    <n v="0"/>
    <n v="25.428090000000001"/>
    <n v="4.2814500000000004"/>
    <n v="0"/>
    <n v="32.754270952891979"/>
    <n v="4.3496795120416616"/>
  </r>
  <r>
    <s v="Regular"/>
    <x v="3"/>
    <x v="1"/>
    <x v="3"/>
    <x v="0"/>
    <x v="0"/>
    <x v="0"/>
    <x v="2"/>
    <x v="8"/>
    <n v="0"/>
    <n v="0"/>
    <n v="7.0000000000000001E-3"/>
    <n v="7.0000000000000001E-3"/>
    <n v="7.0000000000000001E-3"/>
    <n v="7.0000000000000001E-3"/>
    <n v="0"/>
    <x v="0"/>
    <n v="0"/>
    <n v="0"/>
    <n v="41"/>
    <n v="78"/>
    <n v="0"/>
    <n v="1495.77"/>
    <n v="251.85"/>
    <m/>
    <n v="1926.7218207583514"/>
    <n v="255.86350070833299"/>
    <n v="0"/>
    <n v="10.47039"/>
    <n v="1.76295"/>
    <n v="0"/>
    <n v="13.487052745308461"/>
    <n v="1.791044504958331"/>
  </r>
  <r>
    <s v="Regular"/>
    <x v="3"/>
    <x v="1"/>
    <x v="3"/>
    <x v="0"/>
    <x v="0"/>
    <x v="0"/>
    <x v="2"/>
    <x v="9"/>
    <n v="0"/>
    <n v="0"/>
    <n v="5.0000000000000001E-3"/>
    <n v="5.0000000000000001E-3"/>
    <n v="5.0000000000000001E-3"/>
    <n v="5.0000000000000001E-3"/>
    <n v="0"/>
    <x v="0"/>
    <n v="0"/>
    <n v="0"/>
    <n v="41"/>
    <n v="78"/>
    <n v="0"/>
    <n v="1495.77"/>
    <n v="251.85"/>
    <m/>
    <n v="1926.7218207583514"/>
    <n v="255.86350070833299"/>
    <n v="0"/>
    <n v="7.4788500000000004"/>
    <n v="1.25925"/>
    <n v="0"/>
    <n v="9.6336091037917573"/>
    <n v="1.2793175035416651"/>
  </r>
  <r>
    <s v="Regular"/>
    <x v="3"/>
    <x v="1"/>
    <x v="3"/>
    <x v="0"/>
    <x v="0"/>
    <x v="0"/>
    <x v="2"/>
    <x v="10"/>
    <n v="0"/>
    <n v="0"/>
    <n v="1.2E-2"/>
    <n v="1.2E-2"/>
    <n v="1.2E-2"/>
    <n v="1.2E-2"/>
    <n v="0"/>
    <x v="0"/>
    <n v="0"/>
    <n v="0"/>
    <n v="41"/>
    <n v="78"/>
    <n v="0"/>
    <n v="1495.77"/>
    <n v="251.85"/>
    <m/>
    <n v="1926.7218207583514"/>
    <n v="255.86350070833299"/>
    <n v="0"/>
    <n v="17.94924"/>
    <n v="3.0221999999999998"/>
    <n v="0"/>
    <n v="23.120661849100216"/>
    <n v="3.0703620084999961"/>
  </r>
  <r>
    <s v="Regular"/>
    <x v="3"/>
    <x v="1"/>
    <x v="3"/>
    <x v="0"/>
    <x v="0"/>
    <x v="0"/>
    <x v="2"/>
    <x v="11"/>
    <n v="0"/>
    <n v="0"/>
    <n v="8.0000000000000002E-3"/>
    <n v="8.0000000000000002E-3"/>
    <n v="8.0000000000000002E-3"/>
    <n v="8.0000000000000002E-3"/>
    <n v="0"/>
    <x v="0"/>
    <n v="0"/>
    <n v="0"/>
    <n v="41"/>
    <n v="78"/>
    <n v="0"/>
    <n v="1495.77"/>
    <n v="251.85"/>
    <m/>
    <n v="1926.7218207583514"/>
    <n v="255.86350070833299"/>
    <n v="0"/>
    <n v="11.96616"/>
    <n v="2.0148000000000001"/>
    <n v="0"/>
    <n v="15.413774566066811"/>
    <n v="2.0469080056666642"/>
  </r>
  <r>
    <s v="Regular"/>
    <x v="3"/>
    <x v="2"/>
    <x v="3"/>
    <x v="0"/>
    <x v="0"/>
    <x v="0"/>
    <x v="1"/>
    <x v="0"/>
    <n v="0"/>
    <n v="0"/>
    <n v="62.146000000000001"/>
    <n v="62.146000000000001"/>
    <n v="62.146000000000001"/>
    <n v="62.146000000000001"/>
    <n v="208"/>
    <x v="0"/>
    <n v="0"/>
    <n v="0"/>
    <n v="44"/>
    <n v="81"/>
    <n v="0"/>
    <n v="509.43"/>
    <n v="251.85"/>
    <m/>
    <n v="658.73368571043511"/>
    <n v="255.86350070833299"/>
    <n v="0"/>
    <n v="31659.036780000002"/>
    <n v="15651.4701"/>
    <n v="0"/>
    <n v="40937.6636321607"/>
    <n v="15900.893115020062"/>
  </r>
  <r>
    <s v="Sistema de Compensação"/>
    <x v="3"/>
    <x v="2"/>
    <x v="3"/>
    <x v="0"/>
    <x v="0"/>
    <x v="0"/>
    <x v="1"/>
    <x v="0"/>
    <n v="0"/>
    <n v="0"/>
    <n v="5.3890000000000002"/>
    <n v="5.3890000000000002"/>
    <n v="5.3890000000000002"/>
    <n v="5.3890000000000002"/>
    <n v="6"/>
    <x v="0"/>
    <n v="0"/>
    <n v="0"/>
    <n v="44"/>
    <n v="81"/>
    <n v="0"/>
    <n v="509.43"/>
    <n v="251.85"/>
    <m/>
    <n v="658.73368571043511"/>
    <n v="255.86350070833299"/>
    <n v="0"/>
    <n v="2745.3182700000002"/>
    <n v="1357.21965"/>
    <n v="0"/>
    <n v="3549.915832293535"/>
    <n v="1378.8484053172065"/>
  </r>
  <r>
    <s v="Regular"/>
    <x v="3"/>
    <x v="2"/>
    <x v="3"/>
    <x v="0"/>
    <x v="0"/>
    <x v="0"/>
    <x v="1"/>
    <x v="1"/>
    <n v="0"/>
    <n v="0"/>
    <n v="54.484000000000002"/>
    <n v="54.484000000000002"/>
    <n v="54.484000000000002"/>
    <n v="54.484000000000002"/>
    <n v="210"/>
    <x v="0"/>
    <n v="0"/>
    <n v="0"/>
    <n v="44"/>
    <n v="81"/>
    <n v="0"/>
    <n v="509.43"/>
    <n v="251.85"/>
    <m/>
    <n v="658.73368571043511"/>
    <n v="255.86350070833299"/>
    <n v="0"/>
    <n v="27755.78412"/>
    <n v="13721.795400000001"/>
    <n v="0"/>
    <n v="35890.446132247351"/>
    <n v="13940.466972592816"/>
  </r>
  <r>
    <s v="Sistema de Compensação"/>
    <x v="3"/>
    <x v="2"/>
    <x v="3"/>
    <x v="0"/>
    <x v="0"/>
    <x v="0"/>
    <x v="1"/>
    <x v="1"/>
    <n v="0"/>
    <n v="0"/>
    <n v="4.8170000000000002"/>
    <n v="4.8170000000000002"/>
    <n v="4.8170000000000002"/>
    <n v="4.8170000000000002"/>
    <n v="6"/>
    <x v="0"/>
    <n v="0"/>
    <n v="0"/>
    <n v="44"/>
    <n v="81"/>
    <n v="0"/>
    <n v="509.43"/>
    <n v="251.85"/>
    <m/>
    <n v="658.73368571043511"/>
    <n v="255.86350070833299"/>
    <n v="0"/>
    <n v="2453.9243100000003"/>
    <n v="1213.1614500000001"/>
    <n v="0"/>
    <n v="3173.1201640671661"/>
    <n v="1232.49448291204"/>
  </r>
  <r>
    <s v="Regular"/>
    <x v="3"/>
    <x v="2"/>
    <x v="3"/>
    <x v="0"/>
    <x v="0"/>
    <x v="0"/>
    <x v="1"/>
    <x v="2"/>
    <n v="0"/>
    <n v="0"/>
    <n v="51.213000000000001"/>
    <n v="51.213000000000001"/>
    <n v="51.213000000000001"/>
    <n v="51.213000000000001"/>
    <n v="207"/>
    <x v="0"/>
    <n v="0"/>
    <n v="0"/>
    <n v="44"/>
    <n v="81"/>
    <n v="0"/>
    <n v="509.43"/>
    <n v="251.85"/>
    <m/>
    <n v="658.73368571043511"/>
    <n v="255.86350070833299"/>
    <n v="0"/>
    <n v="26089.438590000002"/>
    <n v="12897.994049999999"/>
    <n v="0"/>
    <n v="33735.728246288512"/>
    <n v="13103.537461775857"/>
  </r>
  <r>
    <s v="Sistema de Compensação"/>
    <x v="3"/>
    <x v="2"/>
    <x v="3"/>
    <x v="0"/>
    <x v="0"/>
    <x v="0"/>
    <x v="1"/>
    <x v="2"/>
    <n v="0"/>
    <n v="0"/>
    <n v="6.415"/>
    <n v="6.415"/>
    <n v="6.415"/>
    <n v="6.415"/>
    <n v="6"/>
    <x v="0"/>
    <n v="0"/>
    <n v="0"/>
    <n v="44"/>
    <n v="81"/>
    <n v="0"/>
    <n v="509.43"/>
    <n v="251.85"/>
    <m/>
    <n v="658.73368571043511"/>
    <n v="255.86350070833299"/>
    <n v="0"/>
    <n v="3267.9934499999999"/>
    <n v="1615.6177499999999"/>
    <n v="0"/>
    <n v="4225.776593832441"/>
    <n v="1641.3643570439563"/>
  </r>
  <r>
    <s v="Regular"/>
    <x v="3"/>
    <x v="2"/>
    <x v="3"/>
    <x v="0"/>
    <x v="0"/>
    <x v="0"/>
    <x v="1"/>
    <x v="3"/>
    <n v="0"/>
    <n v="0"/>
    <n v="54.72"/>
    <n v="54.72"/>
    <n v="54.72"/>
    <n v="54.72"/>
    <n v="205"/>
    <x v="0"/>
    <n v="0"/>
    <n v="0"/>
    <n v="44"/>
    <n v="81"/>
    <n v="0"/>
    <n v="509.43"/>
    <n v="251.85"/>
    <m/>
    <n v="658.73368571043511"/>
    <n v="255.86350070833299"/>
    <n v="0"/>
    <n v="27876.009600000001"/>
    <n v="13781.232"/>
    <n v="0"/>
    <n v="36045.907282075008"/>
    <n v="14000.850758759982"/>
  </r>
  <r>
    <s v="Sistema de Compensação"/>
    <x v="3"/>
    <x v="2"/>
    <x v="3"/>
    <x v="0"/>
    <x v="0"/>
    <x v="0"/>
    <x v="1"/>
    <x v="3"/>
    <n v="0"/>
    <n v="0"/>
    <n v="3.36"/>
    <n v="3.36"/>
    <n v="3.36"/>
    <n v="3.36"/>
    <n v="6"/>
    <x v="0"/>
    <n v="0"/>
    <n v="0"/>
    <n v="44"/>
    <n v="81"/>
    <n v="0"/>
    <n v="509.43"/>
    <n v="251.85"/>
    <m/>
    <n v="658.73368571043511"/>
    <n v="255.86350070833299"/>
    <n v="0"/>
    <n v="1711.6848"/>
    <n v="846.21599999999989"/>
    <n v="0"/>
    <n v="2213.3451839870618"/>
    <n v="859.70136237999884"/>
  </r>
  <r>
    <s v="Regular"/>
    <x v="3"/>
    <x v="2"/>
    <x v="3"/>
    <x v="0"/>
    <x v="0"/>
    <x v="0"/>
    <x v="1"/>
    <x v="4"/>
    <n v="0"/>
    <n v="0"/>
    <n v="57.223999999999997"/>
    <n v="57.223999999999997"/>
    <n v="57.223999999999997"/>
    <n v="57.223999999999997"/>
    <n v="208"/>
    <x v="0"/>
    <n v="0"/>
    <n v="0"/>
    <n v="44"/>
    <n v="81"/>
    <n v="0"/>
    <n v="509.43"/>
    <n v="251.85"/>
    <m/>
    <n v="658.73368571043511"/>
    <n v="255.86350070833299"/>
    <n v="0"/>
    <n v="29151.622319999999"/>
    <n v="14411.864399999999"/>
    <n v="0"/>
    <n v="37695.376431093937"/>
    <n v="14641.532964533646"/>
  </r>
  <r>
    <s v="Sistema de Compensação"/>
    <x v="3"/>
    <x v="2"/>
    <x v="3"/>
    <x v="0"/>
    <x v="0"/>
    <x v="0"/>
    <x v="1"/>
    <x v="4"/>
    <n v="0"/>
    <n v="0"/>
    <n v="3.1739999999999999"/>
    <n v="3.1739999999999999"/>
    <n v="3.1739999999999999"/>
    <n v="3.1739999999999999"/>
    <n v="6"/>
    <x v="0"/>
    <n v="0"/>
    <n v="0"/>
    <n v="44"/>
    <n v="81"/>
    <n v="0"/>
    <n v="509.43"/>
    <n v="251.85"/>
    <m/>
    <n v="658.73368571043511"/>
    <n v="255.86350070833299"/>
    <n v="0"/>
    <n v="1616.93082"/>
    <n v="799.37189999999998"/>
    <n v="0"/>
    <n v="2090.8207184449211"/>
    <n v="812.1107512482489"/>
  </r>
  <r>
    <s v="Regular"/>
    <x v="3"/>
    <x v="2"/>
    <x v="3"/>
    <x v="0"/>
    <x v="0"/>
    <x v="0"/>
    <x v="1"/>
    <x v="5"/>
    <n v="0"/>
    <n v="0"/>
    <n v="61.203000000000003"/>
    <n v="61.203000000000003"/>
    <n v="61.203000000000003"/>
    <n v="61.203000000000003"/>
    <n v="209"/>
    <x v="0"/>
    <n v="0"/>
    <n v="0"/>
    <n v="44"/>
    <n v="81"/>
    <n v="0"/>
    <n v="509.43"/>
    <n v="251.85"/>
    <m/>
    <n v="658.73368571043511"/>
    <n v="255.86350070833299"/>
    <n v="0"/>
    <n v="31178.64429"/>
    <n v="15413.975550000001"/>
    <n v="0"/>
    <n v="40316.477766535761"/>
    <n v="15659.613833852105"/>
  </r>
  <r>
    <s v="Sistema de Compensação"/>
    <x v="3"/>
    <x v="2"/>
    <x v="3"/>
    <x v="0"/>
    <x v="0"/>
    <x v="0"/>
    <x v="1"/>
    <x v="5"/>
    <n v="0"/>
    <n v="0"/>
    <n v="3.6379999999999999"/>
    <n v="3.6379999999999999"/>
    <n v="3.6379999999999999"/>
    <n v="3.6379999999999999"/>
    <n v="6"/>
    <x v="0"/>
    <n v="0"/>
    <n v="0"/>
    <n v="44"/>
    <n v="81"/>
    <n v="0"/>
    <n v="509.43"/>
    <n v="251.85"/>
    <m/>
    <n v="658.73368571043511"/>
    <n v="255.86350070833299"/>
    <n v="0"/>
    <n v="1853.3063399999999"/>
    <n v="916.23029999999994"/>
    <n v="0"/>
    <n v="2396.4731486145629"/>
    <n v="930.83141557691545"/>
  </r>
  <r>
    <s v="Regular"/>
    <x v="3"/>
    <x v="2"/>
    <x v="3"/>
    <x v="0"/>
    <x v="0"/>
    <x v="0"/>
    <x v="1"/>
    <x v="6"/>
    <n v="0"/>
    <n v="0"/>
    <n v="69.272000000000006"/>
    <n v="69.272000000000006"/>
    <n v="69.272000000000006"/>
    <n v="69.272000000000006"/>
    <n v="210"/>
    <x v="0"/>
    <n v="0"/>
    <n v="0"/>
    <n v="44"/>
    <n v="81"/>
    <n v="0"/>
    <n v="509.43"/>
    <n v="251.85"/>
    <m/>
    <n v="658.73368571043511"/>
    <n v="255.86350070833299"/>
    <n v="0"/>
    <n v="35289.234960000002"/>
    <n v="17446.153200000001"/>
    <n v="0"/>
    <n v="45631.799876533267"/>
    <n v="17724.176421067645"/>
  </r>
  <r>
    <s v="Sistema de Compensação"/>
    <x v="3"/>
    <x v="2"/>
    <x v="3"/>
    <x v="0"/>
    <x v="0"/>
    <x v="0"/>
    <x v="1"/>
    <x v="6"/>
    <n v="0"/>
    <n v="0"/>
    <n v="5.8289999999999997"/>
    <n v="5.8289999999999997"/>
    <n v="5.8289999999999997"/>
    <n v="5.8289999999999997"/>
    <n v="6"/>
    <x v="0"/>
    <n v="0"/>
    <n v="0"/>
    <n v="44"/>
    <n v="81"/>
    <n v="0"/>
    <n v="509.43"/>
    <n v="251.85"/>
    <m/>
    <n v="658.73368571043511"/>
    <n v="255.86350070833299"/>
    <n v="0"/>
    <n v="2969.46747"/>
    <n v="1468.0336499999999"/>
    <n v="0"/>
    <n v="3839.7586540061261"/>
    <n v="1491.4283456288729"/>
  </r>
  <r>
    <s v="Regular"/>
    <x v="3"/>
    <x v="2"/>
    <x v="3"/>
    <x v="0"/>
    <x v="0"/>
    <x v="0"/>
    <x v="1"/>
    <x v="7"/>
    <n v="0"/>
    <n v="0"/>
    <n v="66.42"/>
    <n v="66.42"/>
    <n v="66.42"/>
    <n v="66.42"/>
    <n v="210"/>
    <x v="0"/>
    <n v="0"/>
    <n v="0"/>
    <n v="44"/>
    <n v="81"/>
    <n v="0"/>
    <n v="509.43"/>
    <n v="251.85"/>
    <m/>
    <n v="658.73368571043511"/>
    <n v="255.86350070833299"/>
    <n v="0"/>
    <n v="33836.340600000003"/>
    <n v="16727.877"/>
    <n v="0"/>
    <n v="43753.091404887098"/>
    <n v="16994.45371704748"/>
  </r>
  <r>
    <s v="Sistema de Compensação"/>
    <x v="3"/>
    <x v="2"/>
    <x v="3"/>
    <x v="0"/>
    <x v="0"/>
    <x v="0"/>
    <x v="1"/>
    <x v="7"/>
    <n v="0"/>
    <n v="0"/>
    <n v="5.5060000000000002"/>
    <n v="5.5060000000000002"/>
    <n v="5.5060000000000002"/>
    <n v="5.5060000000000002"/>
    <n v="6"/>
    <x v="0"/>
    <n v="0"/>
    <n v="0"/>
    <n v="44"/>
    <n v="81"/>
    <n v="0"/>
    <n v="509.43"/>
    <n v="251.85"/>
    <m/>
    <n v="658.73368571043511"/>
    <n v="255.86350070833299"/>
    <n v="0"/>
    <n v="2804.9215800000002"/>
    <n v="1386.6861000000001"/>
    <n v="0"/>
    <n v="3626.9876735216558"/>
    <n v="1408.7844349000816"/>
  </r>
  <r>
    <s v="Regular"/>
    <x v="3"/>
    <x v="2"/>
    <x v="3"/>
    <x v="0"/>
    <x v="0"/>
    <x v="0"/>
    <x v="1"/>
    <x v="8"/>
    <n v="0"/>
    <n v="0"/>
    <n v="66.722999999999999"/>
    <n v="66.722999999999999"/>
    <n v="66.722999999999999"/>
    <n v="66.722999999999999"/>
    <n v="208"/>
    <x v="0"/>
    <n v="0"/>
    <n v="0"/>
    <n v="44"/>
    <n v="81"/>
    <n v="0"/>
    <n v="509.43"/>
    <n v="251.85"/>
    <m/>
    <n v="658.73368571043511"/>
    <n v="255.86350070833299"/>
    <n v="0"/>
    <n v="33990.697890000003"/>
    <n v="16804.187549999999"/>
    <n v="0"/>
    <n v="43952.68771165736"/>
    <n v="17071.980357762102"/>
  </r>
  <r>
    <s v="Sistema de Compensação"/>
    <x v="3"/>
    <x v="2"/>
    <x v="3"/>
    <x v="0"/>
    <x v="0"/>
    <x v="0"/>
    <x v="1"/>
    <x v="8"/>
    <n v="0"/>
    <n v="0"/>
    <n v="9.18"/>
    <n v="9.18"/>
    <n v="9.18"/>
    <n v="9.18"/>
    <n v="6"/>
    <x v="0"/>
    <n v="0"/>
    <n v="0"/>
    <n v="44"/>
    <n v="81"/>
    <n v="0"/>
    <n v="509.43"/>
    <n v="251.85"/>
    <m/>
    <n v="658.73368571043511"/>
    <n v="255.86350070833299"/>
    <n v="0"/>
    <n v="4676.5673999999999"/>
    <n v="2311.9829999999997"/>
    <n v="0"/>
    <n v="6047.1752348217942"/>
    <n v="2348.8269365024967"/>
  </r>
  <r>
    <s v="Regular"/>
    <x v="3"/>
    <x v="2"/>
    <x v="3"/>
    <x v="0"/>
    <x v="0"/>
    <x v="0"/>
    <x v="1"/>
    <x v="9"/>
    <n v="0"/>
    <n v="0"/>
    <n v="61.658000000000001"/>
    <n v="61.658000000000001"/>
    <n v="61.658000000000001"/>
    <n v="61.658000000000001"/>
    <n v="206"/>
    <x v="0"/>
    <n v="0"/>
    <n v="0"/>
    <n v="44"/>
    <n v="81"/>
    <n v="0"/>
    <n v="509.43"/>
    <n v="251.85"/>
    <m/>
    <n v="658.73368571043511"/>
    <n v="255.86350070833299"/>
    <n v="0"/>
    <n v="31410.434940000003"/>
    <n v="15528.567300000001"/>
    <n v="0"/>
    <n v="40616.20159353401"/>
    <n v="15776.031726674397"/>
  </r>
  <r>
    <s v="Sistema de Compensação"/>
    <x v="3"/>
    <x v="2"/>
    <x v="3"/>
    <x v="0"/>
    <x v="0"/>
    <x v="0"/>
    <x v="1"/>
    <x v="9"/>
    <n v="0"/>
    <n v="0"/>
    <n v="6.5590000000000002"/>
    <n v="6.5590000000000002"/>
    <n v="6.5590000000000002"/>
    <n v="6.5590000000000002"/>
    <n v="6"/>
    <x v="0"/>
    <n v="0"/>
    <n v="0"/>
    <n v="44"/>
    <n v="81"/>
    <n v="0"/>
    <n v="509.43"/>
    <n v="251.85"/>
    <m/>
    <n v="658.73368571043511"/>
    <n v="255.86350070833299"/>
    <n v="0"/>
    <n v="3341.3513700000003"/>
    <n v="1651.8841500000001"/>
    <n v="0"/>
    <n v="4320.6342445747441"/>
    <n v="1678.2087011459562"/>
  </r>
  <r>
    <s v="Regular"/>
    <x v="3"/>
    <x v="2"/>
    <x v="3"/>
    <x v="0"/>
    <x v="0"/>
    <x v="0"/>
    <x v="1"/>
    <x v="10"/>
    <n v="0"/>
    <n v="0"/>
    <n v="65.599000000000004"/>
    <n v="65.599000000000004"/>
    <n v="65.599000000000004"/>
    <n v="65.599000000000004"/>
    <n v="208"/>
    <x v="0"/>
    <n v="0"/>
    <n v="0"/>
    <n v="44"/>
    <n v="81"/>
    <n v="0"/>
    <n v="509.43"/>
    <n v="251.85"/>
    <m/>
    <n v="658.73368571043511"/>
    <n v="255.86350070833299"/>
    <n v="0"/>
    <n v="33418.098570000002"/>
    <n v="16521.10815"/>
    <n v="0"/>
    <n v="43212.271048918832"/>
    <n v="16784.389782965936"/>
  </r>
  <r>
    <s v="Sistema de Compensação"/>
    <x v="3"/>
    <x v="2"/>
    <x v="3"/>
    <x v="0"/>
    <x v="0"/>
    <x v="0"/>
    <x v="1"/>
    <x v="10"/>
    <n v="0"/>
    <n v="0"/>
    <n v="6.6639999999999997"/>
    <n v="6.6639999999999997"/>
    <n v="6.6639999999999997"/>
    <n v="6.6639999999999997"/>
    <n v="7"/>
    <x v="0"/>
    <n v="0"/>
    <n v="0"/>
    <n v="44"/>
    <n v="81"/>
    <n v="0"/>
    <n v="509.43"/>
    <n v="251.85"/>
    <m/>
    <n v="658.73368571043511"/>
    <n v="255.86350070833299"/>
    <n v="0"/>
    <n v="3394.8415199999999"/>
    <n v="1678.3283999999999"/>
    <n v="0"/>
    <n v="4389.8012815743396"/>
    <n v="1705.074368720331"/>
  </r>
  <r>
    <s v="Regular"/>
    <x v="3"/>
    <x v="2"/>
    <x v="3"/>
    <x v="0"/>
    <x v="0"/>
    <x v="0"/>
    <x v="1"/>
    <x v="11"/>
    <n v="0"/>
    <n v="0"/>
    <n v="60.774000000000001"/>
    <n v="60.774000000000001"/>
    <n v="60.774000000000001"/>
    <n v="60.774000000000001"/>
    <n v="207"/>
    <x v="0"/>
    <n v="0"/>
    <n v="0"/>
    <n v="44"/>
    <n v="81"/>
    <n v="0"/>
    <n v="509.43"/>
    <n v="251.85"/>
    <m/>
    <n v="658.73368571043511"/>
    <n v="255.86350070833299"/>
    <n v="0"/>
    <n v="30960.098819999999"/>
    <n v="15305.9319"/>
    <n v="0"/>
    <n v="40033.881015365987"/>
    <n v="15549.84839204823"/>
  </r>
  <r>
    <s v="Sistema de Compensação"/>
    <x v="3"/>
    <x v="2"/>
    <x v="3"/>
    <x v="0"/>
    <x v="0"/>
    <x v="0"/>
    <x v="1"/>
    <x v="11"/>
    <n v="0"/>
    <n v="0"/>
    <n v="4.4989999999999997"/>
    <n v="4.4989999999999997"/>
    <n v="4.4989999999999997"/>
    <n v="4.4989999999999997"/>
    <n v="7"/>
    <x v="0"/>
    <n v="0"/>
    <n v="0"/>
    <n v="44"/>
    <n v="81"/>
    <n v="0"/>
    <n v="509.43"/>
    <n v="251.85"/>
    <m/>
    <n v="658.73368571043511"/>
    <n v="255.86350070833299"/>
    <n v="0"/>
    <n v="2291.9255699999999"/>
    <n v="1133.0731499999999"/>
    <n v="0"/>
    <n v="2963.6428520112472"/>
    <n v="1151.12988968679"/>
  </r>
  <r>
    <s v="Regular"/>
    <x v="3"/>
    <x v="2"/>
    <x v="4"/>
    <x v="0"/>
    <x v="0"/>
    <x v="0"/>
    <x v="1"/>
    <x v="0"/>
    <n v="0"/>
    <n v="0"/>
    <n v="2.827"/>
    <n v="2.827"/>
    <n v="2.827"/>
    <n v="2.827"/>
    <n v="3"/>
    <x v="0"/>
    <n v="0"/>
    <n v="0"/>
    <n v="44"/>
    <n v="81"/>
    <n v="0"/>
    <n v="509.43"/>
    <n v="251.85"/>
    <m/>
    <n v="658.73368571043511"/>
    <n v="255.86350070833299"/>
    <n v="0"/>
    <n v="1440.15861"/>
    <n v="711.97994999999992"/>
    <n v="0"/>
    <n v="1862.2401295034001"/>
    <n v="723.32611650245735"/>
  </r>
  <r>
    <s v="Regular"/>
    <x v="3"/>
    <x v="2"/>
    <x v="4"/>
    <x v="0"/>
    <x v="0"/>
    <x v="0"/>
    <x v="1"/>
    <x v="1"/>
    <n v="0"/>
    <n v="0"/>
    <n v="2.3570000000000002"/>
    <n v="2.3570000000000002"/>
    <n v="2.3570000000000002"/>
    <n v="2.3570000000000002"/>
    <n v="3"/>
    <x v="0"/>
    <n v="0"/>
    <n v="0"/>
    <n v="44"/>
    <n v="81"/>
    <n v="0"/>
    <n v="509.43"/>
    <n v="251.85"/>
    <m/>
    <n v="658.73368571043511"/>
    <n v="255.86350070833299"/>
    <n v="0"/>
    <n v="1200.7265100000002"/>
    <n v="593.61045000000001"/>
    <n v="0"/>
    <n v="1552.6352972194957"/>
    <n v="603.07027116954089"/>
  </r>
  <r>
    <s v="Regular"/>
    <x v="3"/>
    <x v="2"/>
    <x v="4"/>
    <x v="0"/>
    <x v="0"/>
    <x v="0"/>
    <x v="1"/>
    <x v="2"/>
    <n v="0"/>
    <n v="0"/>
    <n v="2.1869999999999998"/>
    <n v="2.1869999999999998"/>
    <n v="2.1869999999999998"/>
    <n v="2.1869999999999998"/>
    <n v="4"/>
    <x v="0"/>
    <n v="0"/>
    <n v="0"/>
    <n v="44"/>
    <n v="81"/>
    <n v="0"/>
    <n v="509.43"/>
    <n v="251.85"/>
    <m/>
    <n v="658.73368571043511"/>
    <n v="255.86350070833299"/>
    <n v="0"/>
    <n v="1114.1234099999999"/>
    <n v="550.79594999999995"/>
    <n v="0"/>
    <n v="1440.6505706487214"/>
    <n v="559.57347604912422"/>
  </r>
  <r>
    <s v="Regular"/>
    <x v="3"/>
    <x v="2"/>
    <x v="4"/>
    <x v="0"/>
    <x v="0"/>
    <x v="0"/>
    <x v="1"/>
    <x v="3"/>
    <n v="0"/>
    <n v="0"/>
    <n v="2.0830000000000002"/>
    <n v="2.0830000000000002"/>
    <n v="2.0830000000000002"/>
    <n v="2.0830000000000002"/>
    <n v="3"/>
    <x v="0"/>
    <n v="0"/>
    <n v="0"/>
    <n v="44"/>
    <n v="81"/>
    <n v="0"/>
    <n v="509.43"/>
    <n v="251.85"/>
    <m/>
    <n v="658.73368571043511"/>
    <n v="255.86350070833299"/>
    <n v="0"/>
    <n v="1061.1426900000001"/>
    <n v="524.60355000000004"/>
    <n v="0"/>
    <n v="1372.1422673348366"/>
    <n v="532.96367197545771"/>
  </r>
  <r>
    <s v="Regular"/>
    <x v="3"/>
    <x v="2"/>
    <x v="4"/>
    <x v="0"/>
    <x v="0"/>
    <x v="0"/>
    <x v="1"/>
    <x v="4"/>
    <n v="0"/>
    <n v="0"/>
    <n v="2.347"/>
    <n v="2.347"/>
    <n v="2.347"/>
    <n v="2.347"/>
    <n v="3"/>
    <x v="0"/>
    <n v="0"/>
    <n v="0"/>
    <n v="44"/>
    <n v="81"/>
    <n v="0"/>
    <n v="509.43"/>
    <n v="251.85"/>
    <m/>
    <n v="658.73368571043511"/>
    <n v="255.86350070833299"/>
    <n v="0"/>
    <n v="1195.63221"/>
    <n v="591.09195"/>
    <n v="0"/>
    <n v="1546.0479603623912"/>
    <n v="600.51163616245753"/>
  </r>
  <r>
    <s v="Regular"/>
    <x v="3"/>
    <x v="2"/>
    <x v="4"/>
    <x v="0"/>
    <x v="0"/>
    <x v="0"/>
    <x v="1"/>
    <x v="5"/>
    <n v="0"/>
    <n v="0"/>
    <n v="3.274"/>
    <n v="3.274"/>
    <n v="3.274"/>
    <n v="3.274"/>
    <n v="3"/>
    <x v="0"/>
    <n v="0"/>
    <n v="0"/>
    <n v="44"/>
    <n v="81"/>
    <n v="0"/>
    <n v="509.43"/>
    <n v="251.85"/>
    <m/>
    <n v="658.73368571043511"/>
    <n v="255.86350070833299"/>
    <n v="0"/>
    <n v="1667.87382"/>
    <n v="824.55690000000004"/>
    <n v="0"/>
    <n v="2156.6940870159647"/>
    <n v="837.69710131908221"/>
  </r>
  <r>
    <s v="Regular"/>
    <x v="3"/>
    <x v="2"/>
    <x v="4"/>
    <x v="0"/>
    <x v="0"/>
    <x v="0"/>
    <x v="1"/>
    <x v="6"/>
    <n v="0"/>
    <n v="0"/>
    <n v="3.4620000000000002"/>
    <n v="3.4620000000000002"/>
    <n v="3.4620000000000002"/>
    <n v="3.4620000000000002"/>
    <n v="3"/>
    <x v="0"/>
    <n v="0"/>
    <n v="0"/>
    <n v="44"/>
    <n v="81"/>
    <n v="0"/>
    <n v="509.43"/>
    <n v="251.85"/>
    <m/>
    <n v="658.73368571043511"/>
    <n v="255.86350070833299"/>
    <n v="0"/>
    <n v="1763.6466600000001"/>
    <n v="871.90470000000005"/>
    <n v="0"/>
    <n v="2280.5360199295264"/>
    <n v="885.79943945224886"/>
  </r>
  <r>
    <s v="Regular"/>
    <x v="3"/>
    <x v="2"/>
    <x v="4"/>
    <x v="0"/>
    <x v="0"/>
    <x v="0"/>
    <x v="1"/>
    <x v="7"/>
    <n v="0"/>
    <n v="0"/>
    <n v="4.07"/>
    <n v="4.07"/>
    <n v="4.07"/>
    <n v="4.07"/>
    <n v="3"/>
    <x v="0"/>
    <n v="0"/>
    <n v="0"/>
    <n v="44"/>
    <n v="81"/>
    <n v="0"/>
    <n v="509.43"/>
    <n v="251.85"/>
    <m/>
    <n v="658.73368571043511"/>
    <n v="255.86350070833299"/>
    <n v="0"/>
    <n v="2073.3801000000003"/>
    <n v="1025.0295000000001"/>
    <n v="0"/>
    <n v="2681.0461008414709"/>
    <n v="1041.3644478829153"/>
  </r>
  <r>
    <s v="Regular"/>
    <x v="3"/>
    <x v="2"/>
    <x v="4"/>
    <x v="0"/>
    <x v="0"/>
    <x v="0"/>
    <x v="1"/>
    <x v="8"/>
    <n v="0"/>
    <n v="0"/>
    <n v="3.7850000000000001"/>
    <n v="3.7850000000000001"/>
    <n v="3.7850000000000001"/>
    <n v="3.7850000000000001"/>
    <n v="3"/>
    <x v="0"/>
    <n v="0"/>
    <n v="0"/>
    <n v="44"/>
    <n v="81"/>
    <n v="0"/>
    <n v="509.43"/>
    <n v="251.85"/>
    <m/>
    <n v="658.73368571043511"/>
    <n v="255.86350070833299"/>
    <n v="0"/>
    <n v="1928.1925500000002"/>
    <n v="953.25225"/>
    <n v="0"/>
    <n v="2493.3070004139968"/>
    <n v="968.44335018104039"/>
  </r>
  <r>
    <s v="Regular"/>
    <x v="3"/>
    <x v="2"/>
    <x v="4"/>
    <x v="0"/>
    <x v="0"/>
    <x v="0"/>
    <x v="1"/>
    <x v="9"/>
    <n v="0"/>
    <n v="0"/>
    <n v="3.6960000000000002"/>
    <n v="3.6960000000000002"/>
    <n v="3.6960000000000002"/>
    <n v="3.6960000000000002"/>
    <n v="3"/>
    <x v="0"/>
    <n v="0"/>
    <n v="0"/>
    <n v="44"/>
    <n v="81"/>
    <n v="0"/>
    <n v="509.43"/>
    <n v="251.85"/>
    <m/>
    <n v="658.73368571043511"/>
    <n v="255.86350070833299"/>
    <n v="0"/>
    <n v="1882.85328"/>
    <n v="930.83760000000007"/>
    <n v="0"/>
    <n v="2434.6797023857685"/>
    <n v="945.67149861799874"/>
  </r>
  <r>
    <s v="Regular"/>
    <x v="3"/>
    <x v="2"/>
    <x v="4"/>
    <x v="0"/>
    <x v="0"/>
    <x v="0"/>
    <x v="1"/>
    <x v="10"/>
    <n v="0"/>
    <n v="0"/>
    <n v="3.9830000000000001"/>
    <n v="3.9830000000000001"/>
    <n v="3.9830000000000001"/>
    <n v="3.9830000000000001"/>
    <n v="3"/>
    <x v="0"/>
    <n v="0"/>
    <n v="0"/>
    <n v="44"/>
    <n v="81"/>
    <n v="0"/>
    <n v="509.43"/>
    <n v="251.85"/>
    <m/>
    <n v="658.73368571043511"/>
    <n v="255.86350070833299"/>
    <n v="0"/>
    <n v="2029.05969"/>
    <n v="1003.11855"/>
    <n v="0"/>
    <n v="2623.7362701846632"/>
    <n v="1019.1043233212903"/>
  </r>
  <r>
    <s v="Regular"/>
    <x v="3"/>
    <x v="2"/>
    <x v="4"/>
    <x v="0"/>
    <x v="0"/>
    <x v="0"/>
    <x v="1"/>
    <x v="11"/>
    <n v="0"/>
    <n v="0"/>
    <n v="3.556"/>
    <n v="3.556"/>
    <n v="3.556"/>
    <n v="3.556"/>
    <n v="3"/>
    <x v="0"/>
    <n v="0"/>
    <n v="0"/>
    <n v="44"/>
    <n v="81"/>
    <n v="0"/>
    <n v="509.43"/>
    <n v="251.85"/>
    <m/>
    <n v="658.73368571043511"/>
    <n v="255.86350070833299"/>
    <n v="0"/>
    <n v="1811.5330800000002"/>
    <n v="895.57859999999994"/>
    <n v="0"/>
    <n v="2342.4569863863071"/>
    <n v="909.85060851883213"/>
  </r>
  <r>
    <s v="Regular"/>
    <x v="3"/>
    <x v="2"/>
    <x v="0"/>
    <x v="0"/>
    <x v="0"/>
    <x v="0"/>
    <x v="1"/>
    <x v="0"/>
    <n v="0"/>
    <n v="0"/>
    <n v="0.35"/>
    <n v="0.35"/>
    <n v="0.35"/>
    <n v="0.35"/>
    <n v="3"/>
    <x v="0"/>
    <n v="0"/>
    <n v="0"/>
    <n v="44"/>
    <n v="81"/>
    <n v="0"/>
    <n v="509.43"/>
    <n v="251.85"/>
    <m/>
    <n v="658.73368571043511"/>
    <n v="255.86350070833299"/>
    <n v="0"/>
    <n v="178.3005"/>
    <n v="88.147499999999994"/>
    <n v="0"/>
    <n v="230.55678999865228"/>
    <n v="89.552225247916539"/>
  </r>
  <r>
    <s v="Regular"/>
    <x v="3"/>
    <x v="2"/>
    <x v="0"/>
    <x v="0"/>
    <x v="0"/>
    <x v="0"/>
    <x v="1"/>
    <x v="1"/>
    <n v="0"/>
    <n v="0"/>
    <n v="0.36299999999999999"/>
    <n v="0.36299999999999999"/>
    <n v="0.36299999999999999"/>
    <n v="0.36299999999999999"/>
    <n v="3"/>
    <x v="0"/>
    <n v="0"/>
    <n v="0"/>
    <n v="44"/>
    <n v="81"/>
    <n v="0"/>
    <n v="509.43"/>
    <n v="251.85"/>
    <m/>
    <n v="658.73368571043511"/>
    <n v="255.86350070833299"/>
    <n v="0"/>
    <n v="184.92309"/>
    <n v="91.421549999999996"/>
    <n v="0"/>
    <n v="239.12032791288794"/>
    <n v="92.878450757124867"/>
  </r>
  <r>
    <s v="Regular"/>
    <x v="3"/>
    <x v="2"/>
    <x v="0"/>
    <x v="0"/>
    <x v="0"/>
    <x v="0"/>
    <x v="1"/>
    <x v="2"/>
    <n v="0"/>
    <n v="0"/>
    <n v="0.35699999999999998"/>
    <n v="0.35699999999999998"/>
    <n v="0.35699999999999998"/>
    <n v="0.35699999999999998"/>
    <n v="3"/>
    <x v="0"/>
    <n v="0"/>
    <n v="0"/>
    <n v="44"/>
    <n v="81"/>
    <n v="0"/>
    <n v="509.43"/>
    <n v="251.85"/>
    <m/>
    <n v="658.73368571043511"/>
    <n v="255.86350070833299"/>
    <n v="0"/>
    <n v="181.86651000000001"/>
    <n v="89.910449999999997"/>
    <n v="0"/>
    <n v="235.16792579862533"/>
    <n v="91.343269752874875"/>
  </r>
  <r>
    <s v="Regular"/>
    <x v="3"/>
    <x v="2"/>
    <x v="0"/>
    <x v="0"/>
    <x v="0"/>
    <x v="0"/>
    <x v="1"/>
    <x v="3"/>
    <n v="0"/>
    <n v="0"/>
    <n v="0.39"/>
    <n v="0.39"/>
    <n v="0.39"/>
    <n v="0.39"/>
    <n v="3"/>
    <x v="0"/>
    <n v="0"/>
    <n v="0"/>
    <n v="44"/>
    <n v="81"/>
    <n v="0"/>
    <n v="509.43"/>
    <n v="251.85"/>
    <m/>
    <n v="658.73368571043511"/>
    <n v="255.86350070833299"/>
    <n v="0"/>
    <n v="198.67770000000002"/>
    <n v="98.221500000000006"/>
    <n v="0"/>
    <n v="256.90613742706972"/>
    <n v="99.786765276249866"/>
  </r>
  <r>
    <s v="Regular"/>
    <x v="3"/>
    <x v="2"/>
    <x v="0"/>
    <x v="0"/>
    <x v="0"/>
    <x v="0"/>
    <x v="1"/>
    <x v="4"/>
    <n v="0"/>
    <n v="0"/>
    <n v="0.41199999999999998"/>
    <n v="0.41199999999999998"/>
    <n v="0.41199999999999998"/>
    <n v="0.41199999999999998"/>
    <n v="3"/>
    <x v="0"/>
    <n v="0"/>
    <n v="0"/>
    <n v="44"/>
    <n v="81"/>
    <n v="0"/>
    <n v="509.43"/>
    <n v="251.85"/>
    <m/>
    <n v="658.73368571043511"/>
    <n v="255.86350070833299"/>
    <n v="0"/>
    <n v="209.88515999999998"/>
    <n v="103.76219999999999"/>
    <n v="0"/>
    <n v="271.39827851269928"/>
    <n v="105.41576229183319"/>
  </r>
  <r>
    <s v="Regular"/>
    <x v="3"/>
    <x v="2"/>
    <x v="0"/>
    <x v="0"/>
    <x v="0"/>
    <x v="0"/>
    <x v="1"/>
    <x v="5"/>
    <n v="0"/>
    <n v="0"/>
    <n v="0.437"/>
    <n v="0.437"/>
    <n v="0.437"/>
    <n v="0.437"/>
    <n v="3"/>
    <x v="0"/>
    <n v="0"/>
    <n v="0"/>
    <n v="44"/>
    <n v="81"/>
    <n v="0"/>
    <n v="509.43"/>
    <n v="251.85"/>
    <m/>
    <n v="658.73368571043511"/>
    <n v="255.86350070833299"/>
    <n v="0"/>
    <n v="222.62091000000001"/>
    <n v="110.05844999999999"/>
    <n v="0"/>
    <n v="287.86662065546017"/>
    <n v="111.81234980954152"/>
  </r>
  <r>
    <s v="Regular"/>
    <x v="3"/>
    <x v="2"/>
    <x v="0"/>
    <x v="0"/>
    <x v="0"/>
    <x v="0"/>
    <x v="1"/>
    <x v="6"/>
    <n v="0"/>
    <n v="0"/>
    <n v="0.44600000000000001"/>
    <n v="0.44600000000000001"/>
    <n v="0.44600000000000001"/>
    <n v="0.44600000000000001"/>
    <n v="3"/>
    <x v="0"/>
    <n v="0"/>
    <n v="0"/>
    <n v="44"/>
    <n v="81"/>
    <n v="0"/>
    <n v="509.43"/>
    <n v="251.85"/>
    <m/>
    <n v="658.73368571043511"/>
    <n v="255.86350070833299"/>
    <n v="0"/>
    <n v="227.20578"/>
    <n v="112.32510000000001"/>
    <n v="0"/>
    <n v="293.79522382685406"/>
    <n v="114.11512131591651"/>
  </r>
  <r>
    <s v="Regular"/>
    <x v="3"/>
    <x v="2"/>
    <x v="0"/>
    <x v="0"/>
    <x v="0"/>
    <x v="0"/>
    <x v="1"/>
    <x v="7"/>
    <n v="0"/>
    <n v="0"/>
    <n v="0.44600000000000001"/>
    <n v="0.44600000000000001"/>
    <n v="0.44600000000000001"/>
    <n v="0.44600000000000001"/>
    <n v="3"/>
    <x v="0"/>
    <n v="0"/>
    <n v="0"/>
    <n v="44"/>
    <n v="81"/>
    <n v="0"/>
    <n v="509.43"/>
    <n v="251.85"/>
    <m/>
    <n v="658.73368571043511"/>
    <n v="255.86350070833299"/>
    <n v="0"/>
    <n v="227.20578"/>
    <n v="112.32510000000001"/>
    <n v="0"/>
    <n v="293.79522382685406"/>
    <n v="114.11512131591651"/>
  </r>
  <r>
    <s v="Regular"/>
    <x v="3"/>
    <x v="2"/>
    <x v="0"/>
    <x v="0"/>
    <x v="0"/>
    <x v="0"/>
    <x v="1"/>
    <x v="8"/>
    <n v="0"/>
    <n v="0"/>
    <n v="0.435"/>
    <n v="0.435"/>
    <n v="0.435"/>
    <n v="0.435"/>
    <n v="3"/>
    <x v="0"/>
    <n v="0"/>
    <n v="0"/>
    <n v="44"/>
    <n v="81"/>
    <n v="0"/>
    <n v="509.43"/>
    <n v="251.85"/>
    <m/>
    <n v="658.73368571043511"/>
    <n v="255.86350070833299"/>
    <n v="0"/>
    <n v="221.60204999999999"/>
    <n v="109.55475"/>
    <n v="0"/>
    <n v="286.54915328403928"/>
    <n v="111.30062280812486"/>
  </r>
  <r>
    <s v="Regular"/>
    <x v="3"/>
    <x v="2"/>
    <x v="0"/>
    <x v="0"/>
    <x v="0"/>
    <x v="0"/>
    <x v="1"/>
    <x v="9"/>
    <n v="0"/>
    <n v="0"/>
    <n v="0.39400000000000002"/>
    <n v="0.39400000000000002"/>
    <n v="0.39400000000000002"/>
    <n v="0.39400000000000002"/>
    <n v="3"/>
    <x v="0"/>
    <n v="0"/>
    <n v="0"/>
    <n v="44"/>
    <n v="81"/>
    <n v="0"/>
    <n v="509.43"/>
    <n v="251.85"/>
    <m/>
    <n v="658.73368571043511"/>
    <n v="255.86350070833299"/>
    <n v="0"/>
    <n v="200.71542000000002"/>
    <n v="99.228899999999996"/>
    <n v="0"/>
    <n v="259.54107216991144"/>
    <n v="100.8102192790832"/>
  </r>
  <r>
    <s v="Regular"/>
    <x v="3"/>
    <x v="2"/>
    <x v="0"/>
    <x v="0"/>
    <x v="0"/>
    <x v="0"/>
    <x v="1"/>
    <x v="10"/>
    <n v="0"/>
    <n v="0"/>
    <n v="1.3620000000000001"/>
    <n v="1.3620000000000001"/>
    <n v="1.3620000000000001"/>
    <n v="1.3620000000000001"/>
    <n v="4"/>
    <x v="0"/>
    <n v="0"/>
    <n v="0"/>
    <n v="44"/>
    <n v="81"/>
    <n v="0"/>
    <n v="509.43"/>
    <n v="251.85"/>
    <m/>
    <n v="658.73368571043511"/>
    <n v="255.86350070833299"/>
    <n v="0"/>
    <n v="693.84366000000011"/>
    <n v="343.0197"/>
    <n v="0"/>
    <n v="897.19527993761267"/>
    <n v="348.48608796474957"/>
  </r>
  <r>
    <s v="Regular"/>
    <x v="3"/>
    <x v="2"/>
    <x v="0"/>
    <x v="0"/>
    <x v="0"/>
    <x v="0"/>
    <x v="1"/>
    <x v="11"/>
    <n v="0"/>
    <n v="0"/>
    <n v="1.321"/>
    <n v="1.321"/>
    <n v="1.321"/>
    <n v="1.321"/>
    <n v="4"/>
    <x v="0"/>
    <n v="0"/>
    <n v="0"/>
    <n v="44"/>
    <n v="81"/>
    <n v="0"/>
    <n v="509.43"/>
    <n v="251.85"/>
    <m/>
    <n v="658.73368571043511"/>
    <n v="255.86350070833299"/>
    <n v="0"/>
    <n v="672.95703000000003"/>
    <n v="332.69385"/>
    <n v="0"/>
    <n v="870.18719882348478"/>
    <n v="337.99568443570786"/>
  </r>
  <r>
    <s v="Regular"/>
    <x v="3"/>
    <x v="2"/>
    <x v="5"/>
    <x v="0"/>
    <x v="0"/>
    <x v="0"/>
    <x v="1"/>
    <x v="0"/>
    <n v="0"/>
    <n v="0"/>
    <n v="15.272"/>
    <n v="15.272"/>
    <n v="15.272"/>
    <n v="15.272"/>
    <n v="30"/>
    <x v="0"/>
    <n v="0"/>
    <n v="0"/>
    <n v="44"/>
    <n v="81"/>
    <n v="0"/>
    <n v="509.43"/>
    <n v="251.85"/>
    <m/>
    <n v="658.73368571043511"/>
    <n v="255.86350070833299"/>
    <n v="0"/>
    <n v="7780.0149600000004"/>
    <n v="3846.2532000000001"/>
    <n v="0"/>
    <n v="10060.180848169764"/>
    <n v="3907.5473828176614"/>
  </r>
  <r>
    <s v="Regular"/>
    <x v="3"/>
    <x v="2"/>
    <x v="5"/>
    <x v="0"/>
    <x v="0"/>
    <x v="0"/>
    <x v="1"/>
    <x v="1"/>
    <n v="0"/>
    <n v="0"/>
    <n v="13.058999999999999"/>
    <n v="13.058999999999999"/>
    <n v="13.058999999999999"/>
    <n v="13.058999999999999"/>
    <n v="30"/>
    <x v="0"/>
    <n v="0"/>
    <n v="0"/>
    <n v="44"/>
    <n v="81"/>
    <n v="0"/>
    <n v="509.43"/>
    <n v="251.85"/>
    <m/>
    <n v="658.73368571043511"/>
    <n v="255.86350070833299"/>
    <n v="0"/>
    <n v="6652.6463699999995"/>
    <n v="3288.90915"/>
    <n v="0"/>
    <n v="8602.4032016925721"/>
    <n v="3341.3214557501205"/>
  </r>
  <r>
    <s v="Regular"/>
    <x v="3"/>
    <x v="2"/>
    <x v="5"/>
    <x v="0"/>
    <x v="0"/>
    <x v="0"/>
    <x v="1"/>
    <x v="2"/>
    <n v="0"/>
    <n v="0"/>
    <n v="13.198"/>
    <n v="13.198"/>
    <n v="13.198"/>
    <n v="13.198"/>
    <n v="30"/>
    <x v="0"/>
    <n v="0"/>
    <n v="0"/>
    <n v="44"/>
    <n v="81"/>
    <n v="0"/>
    <n v="509.43"/>
    <n v="251.85"/>
    <m/>
    <n v="658.73368571043511"/>
    <n v="255.86350070833299"/>
    <n v="0"/>
    <n v="6723.4571400000004"/>
    <n v="3323.9162999999999"/>
    <n v="0"/>
    <n v="8693.967184006322"/>
    <n v="3376.8864823485787"/>
  </r>
  <r>
    <s v="Regular"/>
    <x v="3"/>
    <x v="2"/>
    <x v="5"/>
    <x v="0"/>
    <x v="0"/>
    <x v="0"/>
    <x v="1"/>
    <x v="3"/>
    <n v="0"/>
    <n v="0"/>
    <n v="17.021999999999998"/>
    <n v="17.021999999999998"/>
    <n v="17.021999999999998"/>
    <n v="17.021999999999998"/>
    <n v="31"/>
    <x v="0"/>
    <n v="0"/>
    <n v="0"/>
    <n v="44"/>
    <n v="81"/>
    <n v="0"/>
    <n v="509.43"/>
    <n v="251.85"/>
    <m/>
    <n v="658.73368571043511"/>
    <n v="255.86350070833299"/>
    <n v="0"/>
    <n v="8671.5174599999991"/>
    <n v="4286.9906999999994"/>
    <n v="0"/>
    <n v="11212.964798163026"/>
    <n v="4355.308509057244"/>
  </r>
  <r>
    <s v="Regular"/>
    <x v="3"/>
    <x v="2"/>
    <x v="5"/>
    <x v="0"/>
    <x v="0"/>
    <x v="0"/>
    <x v="1"/>
    <x v="4"/>
    <n v="0"/>
    <n v="0"/>
    <n v="16.433"/>
    <n v="16.433"/>
    <n v="16.433"/>
    <n v="16.433"/>
    <n v="31"/>
    <x v="0"/>
    <n v="0"/>
    <n v="0"/>
    <n v="44"/>
    <n v="81"/>
    <n v="0"/>
    <n v="509.43"/>
    <n v="251.85"/>
    <m/>
    <n v="658.73368571043511"/>
    <n v="255.86350070833299"/>
    <n v="0"/>
    <n v="8371.4631900000004"/>
    <n v="4138.6510499999995"/>
    <n v="0"/>
    <n v="10824.97065727958"/>
    <n v="4204.6049071400357"/>
  </r>
  <r>
    <s v="Regular"/>
    <x v="3"/>
    <x v="2"/>
    <x v="5"/>
    <x v="0"/>
    <x v="0"/>
    <x v="0"/>
    <x v="1"/>
    <x v="5"/>
    <n v="0"/>
    <n v="0"/>
    <n v="13.925000000000001"/>
    <n v="13.925000000000001"/>
    <n v="13.925000000000001"/>
    <n v="13.925000000000001"/>
    <n v="30"/>
    <x v="0"/>
    <n v="0"/>
    <n v="0"/>
    <n v="44"/>
    <n v="81"/>
    <n v="0"/>
    <n v="509.43"/>
    <n v="251.85"/>
    <m/>
    <n v="658.73368571043511"/>
    <n v="255.86350070833299"/>
    <n v="0"/>
    <n v="7093.8127500000001"/>
    <n v="3507.01125"/>
    <n v="0"/>
    <n v="9172.8665735178092"/>
    <n v="3562.8992473635371"/>
  </r>
  <r>
    <s v="Regular"/>
    <x v="3"/>
    <x v="2"/>
    <x v="5"/>
    <x v="0"/>
    <x v="0"/>
    <x v="0"/>
    <x v="1"/>
    <x v="6"/>
    <n v="0"/>
    <n v="0"/>
    <n v="18.533999999999999"/>
    <n v="18.533999999999999"/>
    <n v="18.533999999999999"/>
    <n v="18.533999999999999"/>
    <n v="30"/>
    <x v="0"/>
    <n v="0"/>
    <n v="0"/>
    <n v="44"/>
    <n v="81"/>
    <n v="0"/>
    <n v="509.43"/>
    <n v="251.85"/>
    <m/>
    <n v="658.73368571043511"/>
    <n v="255.86350070833299"/>
    <n v="0"/>
    <n v="9441.7756200000003"/>
    <n v="4667.7878999999994"/>
    <n v="0"/>
    <n v="12208.970130957203"/>
    <n v="4742.1741221282437"/>
  </r>
  <r>
    <s v="Regular"/>
    <x v="3"/>
    <x v="2"/>
    <x v="5"/>
    <x v="0"/>
    <x v="0"/>
    <x v="0"/>
    <x v="1"/>
    <x v="7"/>
    <n v="0"/>
    <n v="0"/>
    <n v="19.696000000000002"/>
    <n v="19.696000000000002"/>
    <n v="19.696000000000002"/>
    <n v="19.696000000000002"/>
    <n v="30"/>
    <x v="0"/>
    <n v="0"/>
    <n v="0"/>
    <n v="44"/>
    <n v="81"/>
    <n v="0"/>
    <n v="509.43"/>
    <n v="251.85"/>
    <m/>
    <n v="658.73368571043511"/>
    <n v="255.86350070833299"/>
    <n v="0"/>
    <n v="10033.73328"/>
    <n v="4960.4376000000002"/>
    <n v="0"/>
    <n v="12974.418673752731"/>
    <n v="5039.4875099513274"/>
  </r>
  <r>
    <s v="Regular"/>
    <x v="3"/>
    <x v="2"/>
    <x v="5"/>
    <x v="0"/>
    <x v="0"/>
    <x v="0"/>
    <x v="1"/>
    <x v="8"/>
    <n v="0"/>
    <n v="0"/>
    <n v="16.475000000000001"/>
    <n v="16.475000000000001"/>
    <n v="16.475000000000001"/>
    <n v="16.475000000000001"/>
    <n v="30"/>
    <x v="0"/>
    <n v="0"/>
    <n v="0"/>
    <n v="44"/>
    <n v="81"/>
    <n v="0"/>
    <n v="509.43"/>
    <n v="251.85"/>
    <m/>
    <n v="658.73368571043511"/>
    <n v="255.86350070833299"/>
    <n v="0"/>
    <n v="8392.8592500000013"/>
    <n v="4149.2287500000002"/>
    <n v="0"/>
    <n v="10852.637472079419"/>
    <n v="4215.3511741697866"/>
  </r>
  <r>
    <s v="Regular"/>
    <x v="3"/>
    <x v="2"/>
    <x v="5"/>
    <x v="0"/>
    <x v="0"/>
    <x v="0"/>
    <x v="1"/>
    <x v="9"/>
    <n v="0"/>
    <n v="0"/>
    <n v="16.347999999999999"/>
    <n v="16.347999999999999"/>
    <n v="16.347999999999999"/>
    <n v="16.347999999999999"/>
    <n v="30"/>
    <x v="0"/>
    <n v="0"/>
    <n v="0"/>
    <n v="44"/>
    <n v="81"/>
    <n v="0"/>
    <n v="509.43"/>
    <n v="251.85"/>
    <m/>
    <n v="658.73368571043511"/>
    <n v="255.86350070833299"/>
    <n v="0"/>
    <n v="8328.1616400000003"/>
    <n v="4117.2437999999993"/>
    <n v="0"/>
    <n v="10768.978293994192"/>
    <n v="4182.8565095798276"/>
  </r>
  <r>
    <s v="Regular"/>
    <x v="3"/>
    <x v="2"/>
    <x v="5"/>
    <x v="0"/>
    <x v="0"/>
    <x v="0"/>
    <x v="1"/>
    <x v="10"/>
    <n v="0"/>
    <n v="0"/>
    <n v="20.091000000000001"/>
    <n v="20.091000000000001"/>
    <n v="20.091000000000001"/>
    <n v="20.091000000000001"/>
    <n v="30"/>
    <x v="0"/>
    <n v="0"/>
    <n v="0"/>
    <n v="44"/>
    <n v="81"/>
    <n v="0"/>
    <n v="509.43"/>
    <n v="251.85"/>
    <m/>
    <n v="658.73368571043511"/>
    <n v="255.86350070833299"/>
    <n v="0"/>
    <n v="10234.958130000001"/>
    <n v="5059.9183499999999"/>
    <n v="0"/>
    <n v="13234.618479608353"/>
    <n v="5140.5535927311184"/>
  </r>
  <r>
    <s v="Regular"/>
    <x v="3"/>
    <x v="2"/>
    <x v="5"/>
    <x v="0"/>
    <x v="0"/>
    <x v="0"/>
    <x v="1"/>
    <x v="11"/>
    <n v="0"/>
    <n v="0"/>
    <n v="20.172999999999998"/>
    <n v="20.172999999999998"/>
    <n v="20.172999999999998"/>
    <n v="20.172999999999998"/>
    <n v="30"/>
    <x v="0"/>
    <n v="0"/>
    <n v="0"/>
    <n v="44"/>
    <n v="81"/>
    <n v="0"/>
    <n v="509.43"/>
    <n v="251.85"/>
    <m/>
    <n v="658.73368571043511"/>
    <n v="255.86350070833299"/>
    <n v="0"/>
    <n v="10276.731389999999"/>
    <n v="5080.5700499999994"/>
    <n v="0"/>
    <n v="13288.634641836607"/>
    <n v="5161.5343997892014"/>
  </r>
  <r>
    <s v="Regular"/>
    <x v="3"/>
    <x v="2"/>
    <x v="6"/>
    <x v="7"/>
    <x v="0"/>
    <x v="0"/>
    <x v="1"/>
    <x v="0"/>
    <n v="0"/>
    <n v="0"/>
    <n v="60.37"/>
    <n v="56.747799999999991"/>
    <n v="60.37"/>
    <n v="56.747799999999991"/>
    <n v="9"/>
    <x v="0"/>
    <n v="0"/>
    <n v="0"/>
    <n v="44"/>
    <n v="81"/>
    <n v="0"/>
    <n v="509.43"/>
    <n v="251.85"/>
    <m/>
    <n v="658.73368571043511"/>
    <n v="255.86350070833299"/>
    <n v="0"/>
    <n v="28909.031753999996"/>
    <n v="14291.933429999997"/>
    <n v="0"/>
    <n v="37381.687449958627"/>
    <n v="14519.690765496336"/>
  </r>
  <r>
    <s v="Regular"/>
    <x v="3"/>
    <x v="2"/>
    <x v="6"/>
    <x v="7"/>
    <x v="0"/>
    <x v="0"/>
    <x v="1"/>
    <x v="1"/>
    <n v="0"/>
    <n v="0"/>
    <n v="66.103999999999999"/>
    <n v="62.137759999999993"/>
    <n v="66.103999999999999"/>
    <n v="62.137759999999993"/>
    <n v="9"/>
    <x v="0"/>
    <n v="0"/>
    <n v="0"/>
    <n v="44"/>
    <n v="81"/>
    <n v="0"/>
    <n v="509.43"/>
    <n v="251.85"/>
    <m/>
    <n v="658.73368571043511"/>
    <n v="255.86350070833299"/>
    <n v="0"/>
    <n v="31654.839076799995"/>
    <n v="15649.394855999997"/>
    <n v="0"/>
    <n v="40932.235666590444"/>
    <n v="15898.784799774223"/>
  </r>
  <r>
    <s v="Regular"/>
    <x v="3"/>
    <x v="2"/>
    <x v="6"/>
    <x v="7"/>
    <x v="0"/>
    <x v="0"/>
    <x v="1"/>
    <x v="2"/>
    <n v="0"/>
    <n v="0"/>
    <n v="64.19"/>
    <n v="60.3386"/>
    <n v="64.19"/>
    <n v="60.3386"/>
    <n v="9"/>
    <x v="0"/>
    <n v="0"/>
    <n v="0"/>
    <n v="44"/>
    <n v="81"/>
    <n v="0"/>
    <n v="509.43"/>
    <n v="251.85"/>
    <m/>
    <n v="658.73368571043511"/>
    <n v="255.86350070833299"/>
    <n v="0"/>
    <n v="30738.292998000001"/>
    <n v="15196.27641"/>
    <n v="0"/>
    <n v="39747.068368607659"/>
    <n v="15438.445423839821"/>
  </r>
  <r>
    <s v="Regular"/>
    <x v="3"/>
    <x v="2"/>
    <x v="6"/>
    <x v="7"/>
    <x v="0"/>
    <x v="0"/>
    <x v="1"/>
    <x v="3"/>
    <n v="0"/>
    <n v="0"/>
    <n v="55.654000000000003"/>
    <n v="52.31476"/>
    <n v="55.654000000000003"/>
    <n v="52.31476"/>
    <n v="9"/>
    <x v="0"/>
    <n v="0"/>
    <n v="0"/>
    <n v="44"/>
    <n v="81"/>
    <n v="0"/>
    <n v="509.43"/>
    <n v="251.85"/>
    <m/>
    <n v="658.73368571043511"/>
    <n v="255.86350070833299"/>
    <n v="0"/>
    <n v="26650.708186799999"/>
    <n v="13175.472306"/>
    <n v="0"/>
    <n v="34461.494671856839"/>
    <n v="13385.437632316271"/>
  </r>
  <r>
    <s v="Regular"/>
    <x v="3"/>
    <x v="2"/>
    <x v="6"/>
    <x v="7"/>
    <x v="0"/>
    <x v="0"/>
    <x v="1"/>
    <x v="4"/>
    <n v="0"/>
    <n v="0"/>
    <n v="65.501999999999995"/>
    <n v="61.57188"/>
    <n v="65.501999999999995"/>
    <n v="61.57188"/>
    <n v="9"/>
    <x v="0"/>
    <n v="0"/>
    <n v="0"/>
    <n v="44"/>
    <n v="81"/>
    <n v="0"/>
    <n v="509.43"/>
    <n v="251.85"/>
    <m/>
    <n v="658.73368571043511"/>
    <n v="255.86350070833299"/>
    <n v="0"/>
    <n v="31366.562828400001"/>
    <n v="15506.877978"/>
    <n v="0"/>
    <n v="40559.471448520628"/>
    <n v="15753.996761993394"/>
  </r>
  <r>
    <s v="Regular"/>
    <x v="3"/>
    <x v="2"/>
    <x v="6"/>
    <x v="7"/>
    <x v="0"/>
    <x v="0"/>
    <x v="1"/>
    <x v="5"/>
    <n v="0"/>
    <n v="0"/>
    <n v="57.7"/>
    <n v="54.238"/>
    <n v="57.7"/>
    <n v="54.238"/>
    <n v="9"/>
    <x v="0"/>
    <n v="0"/>
    <n v="0"/>
    <n v="44"/>
    <n v="81"/>
    <n v="0"/>
    <n v="509.43"/>
    <n v="251.85"/>
    <m/>
    <n v="658.73368571043511"/>
    <n v="255.86350070833299"/>
    <n v="0"/>
    <n v="27630.464339999999"/>
    <n v="13659.8403"/>
    <n v="0"/>
    <n v="35728.397645562582"/>
    <n v="13877.524551418564"/>
  </r>
  <r>
    <s v="Regular"/>
    <x v="3"/>
    <x v="2"/>
    <x v="6"/>
    <x v="7"/>
    <x v="0"/>
    <x v="0"/>
    <x v="1"/>
    <x v="6"/>
    <n v="0"/>
    <n v="0"/>
    <n v="66.826999999999998"/>
    <n v="62.81738"/>
    <n v="66.826999999999998"/>
    <n v="62.81738"/>
    <n v="9"/>
    <x v="0"/>
    <n v="0"/>
    <n v="0"/>
    <n v="44"/>
    <n v="81"/>
    <n v="0"/>
    <n v="509.43"/>
    <n v="251.85"/>
    <m/>
    <n v="658.73368571043511"/>
    <n v="255.86350070833299"/>
    <n v="0"/>
    <n v="32001.0578934"/>
    <n v="15820.557153"/>
    <n v="0"/>
    <n v="41379.924254072976"/>
    <n v="16072.674752125622"/>
  </r>
  <r>
    <s v="Regular"/>
    <x v="3"/>
    <x v="2"/>
    <x v="6"/>
    <x v="7"/>
    <x v="0"/>
    <x v="0"/>
    <x v="1"/>
    <x v="7"/>
    <n v="0"/>
    <n v="0"/>
    <n v="65.108999999999995"/>
    <n v="61.202460000000002"/>
    <n v="65.108999999999995"/>
    <n v="61.202460000000002"/>
    <n v="9"/>
    <x v="0"/>
    <n v="0"/>
    <n v="0"/>
    <n v="44"/>
    <n v="81"/>
    <n v="0"/>
    <n v="509.43"/>
    <n v="251.85"/>
    <m/>
    <n v="658.73368571043511"/>
    <n v="255.86350070833299"/>
    <n v="0"/>
    <n v="31178.369197800002"/>
    <n v="15413.839551000001"/>
    <n v="0"/>
    <n v="40316.122050345475"/>
    <n v="15659.475667561723"/>
  </r>
  <r>
    <s v="Regular"/>
    <x v="3"/>
    <x v="2"/>
    <x v="6"/>
    <x v="7"/>
    <x v="0"/>
    <x v="0"/>
    <x v="1"/>
    <x v="8"/>
    <n v="0"/>
    <n v="0"/>
    <n v="55.542000000000002"/>
    <n v="52.209479999999999"/>
    <n v="55.542000000000002"/>
    <n v="52.209479999999999"/>
    <n v="9"/>
    <x v="0"/>
    <n v="0"/>
    <n v="0"/>
    <n v="44"/>
    <n v="81"/>
    <n v="0"/>
    <n v="509.43"/>
    <n v="251.85"/>
    <m/>
    <n v="658.73368571043511"/>
    <n v="255.86350070833299"/>
    <n v="0"/>
    <n v="26597.0753964"/>
    <n v="13148.957537999999"/>
    <n v="0"/>
    <n v="34392.143189425246"/>
    <n v="13358.500322961698"/>
  </r>
  <r>
    <s v="Regular"/>
    <x v="3"/>
    <x v="2"/>
    <x v="6"/>
    <x v="7"/>
    <x v="0"/>
    <x v="0"/>
    <x v="1"/>
    <x v="9"/>
    <n v="0"/>
    <n v="0"/>
    <n v="56.944000000000003"/>
    <n v="53.527360000000002"/>
    <n v="56.944000000000003"/>
    <n v="53.527360000000002"/>
    <n v="9"/>
    <x v="0"/>
    <n v="0"/>
    <n v="0"/>
    <n v="44"/>
    <n v="81"/>
    <n v="0"/>
    <n v="509.43"/>
    <n v="251.85"/>
    <m/>
    <n v="658.73368571043511"/>
    <n v="255.86350070833299"/>
    <n v="0"/>
    <n v="27268.443004799999"/>
    <n v="13480.865616000001"/>
    <n v="0"/>
    <n v="35260.275139149315"/>
    <n v="13695.697713275196"/>
  </r>
  <r>
    <s v="Regular"/>
    <x v="3"/>
    <x v="2"/>
    <x v="6"/>
    <x v="7"/>
    <x v="0"/>
    <x v="0"/>
    <x v="1"/>
    <x v="10"/>
    <n v="0"/>
    <n v="0"/>
    <n v="61.503999999999998"/>
    <n v="57.813760000000002"/>
    <n v="61.503999999999998"/>
    <n v="57.813760000000002"/>
    <n v="9"/>
    <x v="0"/>
    <n v="0"/>
    <n v="0"/>
    <n v="44"/>
    <n v="81"/>
    <n v="0"/>
    <n v="509.43"/>
    <n v="251.85"/>
    <m/>
    <n v="658.73368571043511"/>
    <n v="255.86350070833299"/>
    <n v="0"/>
    <n v="29452.063756800002"/>
    <n v="14560.395456"/>
    <n v="0"/>
    <n v="38083.871209578523"/>
    <n v="14792.431022711395"/>
  </r>
  <r>
    <s v="Regular"/>
    <x v="3"/>
    <x v="2"/>
    <x v="6"/>
    <x v="7"/>
    <x v="0"/>
    <x v="0"/>
    <x v="1"/>
    <x v="11"/>
    <n v="0"/>
    <n v="0"/>
    <n v="74.944000000000003"/>
    <n v="70.447360000000003"/>
    <n v="74.944000000000003"/>
    <n v="70.447360000000003"/>
    <n v="9"/>
    <x v="0"/>
    <n v="0"/>
    <n v="0"/>
    <n v="44"/>
    <n v="81"/>
    <n v="0"/>
    <n v="509.43"/>
    <n v="251.85"/>
    <m/>
    <n v="658.73368571043511"/>
    <n v="255.86350070833299"/>
    <n v="0"/>
    <n v="35887.998604799999"/>
    <n v="17742.167615999999"/>
    <n v="0"/>
    <n v="46406.049101369877"/>
    <n v="18024.908145260189"/>
  </r>
  <r>
    <s v="Regular"/>
    <x v="4"/>
    <x v="2"/>
    <x v="7"/>
    <x v="8"/>
    <x v="0"/>
    <x v="0"/>
    <x v="1"/>
    <x v="0"/>
    <n v="0"/>
    <n v="0"/>
    <n v="132.27799999999999"/>
    <n v="132.27799999999999"/>
    <n v="132.27799999999999"/>
    <n v="132.27799999999999"/>
    <n v="5"/>
    <x v="0"/>
    <n v="0"/>
    <n v="0"/>
    <n v="46"/>
    <n v="83"/>
    <n v="0"/>
    <n v="280.18"/>
    <n v="138.52000000000001"/>
    <m/>
    <n v="362.30352714073939"/>
    <n v="140.72492538958315"/>
    <n v="0"/>
    <n v="37061.65004"/>
    <n v="18323.148560000001"/>
    <n v="0"/>
    <n v="47924.785963122726"/>
    <n v="18614.811680683277"/>
  </r>
  <r>
    <s v="Regular"/>
    <x v="4"/>
    <x v="2"/>
    <x v="7"/>
    <x v="8"/>
    <x v="0"/>
    <x v="0"/>
    <x v="1"/>
    <x v="1"/>
    <n v="0"/>
    <n v="0"/>
    <n v="124.815"/>
    <n v="124.815"/>
    <n v="124.815"/>
    <n v="124.815"/>
    <n v="5"/>
    <x v="0"/>
    <n v="0"/>
    <n v="0"/>
    <n v="46"/>
    <n v="83"/>
    <n v="0"/>
    <n v="280.18"/>
    <n v="138.52000000000001"/>
    <m/>
    <n v="362.30352714073939"/>
    <n v="140.72492538958315"/>
    <n v="0"/>
    <n v="34970.666700000002"/>
    <n v="17289.373800000001"/>
    <n v="0"/>
    <n v="45220.914740071385"/>
    <n v="17564.581562500822"/>
  </r>
  <r>
    <s v="Regular"/>
    <x v="4"/>
    <x v="2"/>
    <x v="7"/>
    <x v="8"/>
    <x v="0"/>
    <x v="0"/>
    <x v="1"/>
    <x v="2"/>
    <n v="0"/>
    <n v="0"/>
    <n v="135.209"/>
    <n v="135.209"/>
    <n v="135.209"/>
    <n v="135.209"/>
    <n v="5"/>
    <x v="0"/>
    <n v="0"/>
    <n v="0"/>
    <n v="46"/>
    <n v="83"/>
    <n v="0"/>
    <n v="280.18"/>
    <n v="138.52000000000001"/>
    <m/>
    <n v="362.30352714073939"/>
    <n v="140.72492538958315"/>
    <n v="0"/>
    <n v="37882.857620000002"/>
    <n v="18729.150680000002"/>
    <n v="0"/>
    <n v="48986.697601172236"/>
    <n v="19027.27643700015"/>
  </r>
  <r>
    <s v="Regular"/>
    <x v="4"/>
    <x v="2"/>
    <x v="7"/>
    <x v="8"/>
    <x v="0"/>
    <x v="0"/>
    <x v="1"/>
    <x v="3"/>
    <n v="0"/>
    <n v="0"/>
    <n v="127.328"/>
    <n v="127.328"/>
    <n v="127.328"/>
    <n v="127.328"/>
    <n v="5"/>
    <x v="0"/>
    <n v="0"/>
    <n v="0"/>
    <n v="46"/>
    <n v="83"/>
    <n v="0"/>
    <n v="280.18"/>
    <n v="138.52000000000001"/>
    <m/>
    <n v="362.30352714073939"/>
    <n v="140.72492538958315"/>
    <n v="0"/>
    <n v="35674.759040000004"/>
    <n v="17637.474560000002"/>
    <n v="0"/>
    <n v="46131.383503776065"/>
    <n v="17918.223300004844"/>
  </r>
  <r>
    <s v="Regular"/>
    <x v="4"/>
    <x v="2"/>
    <x v="7"/>
    <x v="8"/>
    <x v="0"/>
    <x v="0"/>
    <x v="1"/>
    <x v="4"/>
    <n v="0"/>
    <n v="0"/>
    <n v="127.422"/>
    <n v="127.422"/>
    <n v="127.422"/>
    <n v="127.422"/>
    <n v="5"/>
    <x v="0"/>
    <n v="0"/>
    <n v="0"/>
    <n v="46"/>
    <n v="83"/>
    <n v="0"/>
    <n v="280.18"/>
    <n v="138.52000000000001"/>
    <m/>
    <n v="362.30352714073939"/>
    <n v="140.72492538958315"/>
    <n v="0"/>
    <n v="35701.095959999999"/>
    <n v="17650.495440000002"/>
    <n v="0"/>
    <n v="46165.440035327294"/>
    <n v="17931.451442991463"/>
  </r>
  <r>
    <s v="Regular"/>
    <x v="4"/>
    <x v="2"/>
    <x v="7"/>
    <x v="8"/>
    <x v="0"/>
    <x v="0"/>
    <x v="1"/>
    <x v="5"/>
    <n v="0"/>
    <n v="0"/>
    <n v="129.19499999999999"/>
    <n v="129.19499999999999"/>
    <n v="129.19499999999999"/>
    <n v="129.19499999999999"/>
    <n v="5"/>
    <x v="0"/>
    <n v="0"/>
    <n v="0"/>
    <n v="46"/>
    <n v="83"/>
    <n v="0"/>
    <n v="280.18"/>
    <n v="138.52000000000001"/>
    <m/>
    <n v="362.30352714073939"/>
    <n v="140.72492538958315"/>
    <n v="0"/>
    <n v="36197.855100000001"/>
    <n v="17896.091400000001"/>
    <n v="0"/>
    <n v="46807.804188947826"/>
    <n v="18180.956735707194"/>
  </r>
  <r>
    <s v="Regular"/>
    <x v="4"/>
    <x v="2"/>
    <x v="7"/>
    <x v="8"/>
    <x v="0"/>
    <x v="0"/>
    <x v="1"/>
    <x v="6"/>
    <n v="0"/>
    <n v="0"/>
    <n v="122.45399999999999"/>
    <n v="122.45399999999999"/>
    <n v="122.45399999999999"/>
    <n v="122.45399999999999"/>
    <n v="5"/>
    <x v="0"/>
    <n v="0"/>
    <n v="0"/>
    <n v="46"/>
    <n v="83"/>
    <n v="0"/>
    <n v="280.18"/>
    <n v="138.52000000000001"/>
    <m/>
    <n v="362.30352714073939"/>
    <n v="140.72492538958315"/>
    <n v="0"/>
    <n v="34309.161719999996"/>
    <n v="16962.328079999999"/>
    <n v="0"/>
    <n v="44365.5161124921"/>
    <n v="17232.330013656014"/>
  </r>
  <r>
    <s v="Regular"/>
    <x v="4"/>
    <x v="2"/>
    <x v="7"/>
    <x v="8"/>
    <x v="0"/>
    <x v="0"/>
    <x v="1"/>
    <x v="7"/>
    <n v="0"/>
    <n v="0"/>
    <n v="128.922"/>
    <n v="128.922"/>
    <n v="128.922"/>
    <n v="128.922"/>
    <n v="5"/>
    <x v="0"/>
    <n v="0"/>
    <n v="0"/>
    <n v="46"/>
    <n v="83"/>
    <n v="0"/>
    <n v="280.18"/>
    <n v="138.52000000000001"/>
    <m/>
    <n v="362.30352714073939"/>
    <n v="140.72492538958315"/>
    <n v="0"/>
    <n v="36121.365960000003"/>
    <n v="17858.275440000001"/>
    <n v="0"/>
    <n v="46708.895326038401"/>
    <n v="18142.538831075839"/>
  </r>
  <r>
    <s v="Regular"/>
    <x v="4"/>
    <x v="2"/>
    <x v="7"/>
    <x v="8"/>
    <x v="0"/>
    <x v="0"/>
    <x v="1"/>
    <x v="8"/>
    <n v="0"/>
    <n v="0"/>
    <n v="132.09399999999999"/>
    <n v="132.09399999999999"/>
    <n v="132.09399999999999"/>
    <n v="132.09399999999999"/>
    <n v="5"/>
    <x v="0"/>
    <n v="0"/>
    <n v="0"/>
    <n v="46"/>
    <n v="83"/>
    <n v="0"/>
    <n v="280.18"/>
    <n v="138.52000000000001"/>
    <m/>
    <n v="362.30352714073939"/>
    <n v="140.72492538958315"/>
    <n v="0"/>
    <n v="37010.096919999996"/>
    <n v="18297.660879999999"/>
    <n v="0"/>
    <n v="47858.122114128826"/>
    <n v="18588.918294411596"/>
  </r>
  <r>
    <s v="Regular"/>
    <x v="4"/>
    <x v="2"/>
    <x v="7"/>
    <x v="8"/>
    <x v="0"/>
    <x v="0"/>
    <x v="1"/>
    <x v="9"/>
    <n v="0"/>
    <n v="0"/>
    <n v="114.63"/>
    <n v="114.63"/>
    <n v="114.63"/>
    <n v="114.63"/>
    <n v="5"/>
    <x v="0"/>
    <n v="0"/>
    <n v="0"/>
    <n v="46"/>
    <n v="83"/>
    <n v="0"/>
    <n v="280.18"/>
    <n v="138.52000000000001"/>
    <m/>
    <n v="362.30352714073939"/>
    <n v="140.72492538958315"/>
    <n v="0"/>
    <n v="32117.0334"/>
    <n v="15878.5476"/>
    <n v="0"/>
    <n v="41530.853316142951"/>
    <n v="16131.298197407916"/>
  </r>
  <r>
    <s v="Regular"/>
    <x v="4"/>
    <x v="2"/>
    <x v="7"/>
    <x v="8"/>
    <x v="0"/>
    <x v="0"/>
    <x v="1"/>
    <x v="10"/>
    <n v="0"/>
    <n v="0"/>
    <n v="127.53400000000001"/>
    <n v="127.53400000000001"/>
    <n v="127.53400000000001"/>
    <n v="127.53400000000001"/>
    <n v="5"/>
    <x v="0"/>
    <n v="0"/>
    <n v="0"/>
    <n v="46"/>
    <n v="83"/>
    <n v="0"/>
    <n v="280.18"/>
    <n v="138.52000000000001"/>
    <m/>
    <n v="362.30352714073939"/>
    <n v="140.72492538958315"/>
    <n v="0"/>
    <n v="35732.476119999999"/>
    <n v="17666.009680000003"/>
    <n v="0"/>
    <n v="46206.018030367057"/>
    <n v="17947.2126346351"/>
  </r>
  <r>
    <s v="Regular"/>
    <x v="4"/>
    <x v="2"/>
    <x v="7"/>
    <x v="8"/>
    <x v="0"/>
    <x v="0"/>
    <x v="1"/>
    <x v="11"/>
    <n v="0"/>
    <n v="0"/>
    <n v="116.187"/>
    <n v="116.187"/>
    <n v="116.187"/>
    <n v="116.187"/>
    <n v="5"/>
    <x v="0"/>
    <n v="0"/>
    <n v="0"/>
    <n v="46"/>
    <n v="83"/>
    <n v="0"/>
    <n v="280.18"/>
    <n v="138.52000000000001"/>
    <m/>
    <n v="362.30352714073939"/>
    <n v="140.72492538958315"/>
    <n v="0"/>
    <n v="32553.273659999999"/>
    <n v="16094.223240000001"/>
    <n v="0"/>
    <n v="42094.959907901088"/>
    <n v="16350.40690623949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6">
  <r>
    <s v="Regular"/>
    <x v="0"/>
    <x v="0"/>
    <x v="0"/>
    <x v="0"/>
    <x v="0"/>
    <x v="0"/>
    <x v="0"/>
    <x v="0"/>
    <n v="0"/>
    <n v="0"/>
    <n v="211.17099999999999"/>
    <n v="211.17099999999999"/>
    <n v="211.17099999999999"/>
    <n v="211.17099999999999"/>
    <n v="1979"/>
    <s v="CATIVO"/>
    <n v="0"/>
    <n v="0"/>
    <n v="16"/>
    <n v="53"/>
    <n v="0"/>
    <n v="509.43"/>
    <n v="251.85"/>
    <m/>
    <n v="658.73368571043511"/>
    <n v="255.86350070833299"/>
    <n v="0"/>
    <n v="0"/>
    <n v="0"/>
    <n v="0"/>
    <x v="0"/>
  </r>
  <r>
    <s v="Regular"/>
    <x v="0"/>
    <x v="0"/>
    <x v="0"/>
    <x v="1"/>
    <x v="0"/>
    <x v="0"/>
    <x v="0"/>
    <x v="0"/>
    <n v="0"/>
    <n v="0"/>
    <n v="59.46"/>
    <n v="59.46"/>
    <n v="59.46"/>
    <n v="59.46"/>
    <n v="128"/>
    <s v="CATIVO"/>
    <n v="0"/>
    <n v="0"/>
    <n v="17"/>
    <n v="54"/>
    <n v="0"/>
    <n v="166.1"/>
    <n v="88.15"/>
    <m/>
    <n v="211.03577911604813"/>
    <n v="89.552225247916539"/>
    <n v="0"/>
    <n v="28075.228199999998"/>
    <n v="0"/>
    <n v="33192.645087608202"/>
    <x v="1"/>
  </r>
  <r>
    <s v="Regular"/>
    <x v="0"/>
    <x v="0"/>
    <x v="0"/>
    <x v="1"/>
    <x v="0"/>
    <x v="0"/>
    <x v="0"/>
    <x v="1"/>
    <n v="0"/>
    <n v="0"/>
    <n v="59.97"/>
    <n v="59.97"/>
    <n v="59.97"/>
    <n v="59.97"/>
    <n v="145"/>
    <s v="CATIVO"/>
    <n v="0"/>
    <n v="0"/>
    <n v="17"/>
    <n v="54"/>
    <n v="0"/>
    <n v="166.1"/>
    <n v="88.15"/>
    <m/>
    <n v="211.03577911604813"/>
    <n v="89.552225247916539"/>
    <n v="0"/>
    <n v="28316.034899999999"/>
    <n v="0"/>
    <n v="33477.344868884349"/>
    <x v="1"/>
  </r>
  <r>
    <s v="Regular"/>
    <x v="0"/>
    <x v="0"/>
    <x v="0"/>
    <x v="1"/>
    <x v="0"/>
    <x v="0"/>
    <x v="0"/>
    <x v="2"/>
    <n v="0"/>
    <n v="0"/>
    <n v="60.3"/>
    <n v="60.3"/>
    <n v="60.3"/>
    <n v="60.3"/>
    <n v="148"/>
    <s v="CATIVO"/>
    <n v="0"/>
    <n v="0"/>
    <n v="17"/>
    <n v="54"/>
    <n v="0"/>
    <n v="166.1"/>
    <n v="88.15"/>
    <m/>
    <n v="211.03577911604813"/>
    <n v="89.552225247916539"/>
    <n v="0"/>
    <n v="28471.850999999995"/>
    <n v="0"/>
    <n v="33661.562374415982"/>
    <x v="1"/>
  </r>
  <r>
    <s v="Regular"/>
    <x v="0"/>
    <x v="0"/>
    <x v="0"/>
    <x v="1"/>
    <x v="0"/>
    <x v="0"/>
    <x v="0"/>
    <x v="3"/>
    <n v="0"/>
    <n v="0"/>
    <n v="60.9"/>
    <n v="60.9"/>
    <n v="60.9"/>
    <n v="60.9"/>
    <n v="150"/>
    <s v="CATIVO"/>
    <n v="0"/>
    <n v="0"/>
    <n v="17"/>
    <n v="54"/>
    <n v="0"/>
    <n v="166.1"/>
    <n v="88.15"/>
    <m/>
    <n v="211.03577911604813"/>
    <n v="89.552225247916539"/>
    <n v="0"/>
    <n v="28755.152999999998"/>
    <n v="0"/>
    <n v="33996.503293564398"/>
    <x v="1"/>
  </r>
  <r>
    <s v="Regular"/>
    <x v="0"/>
    <x v="0"/>
    <x v="0"/>
    <x v="1"/>
    <x v="0"/>
    <x v="0"/>
    <x v="0"/>
    <x v="4"/>
    <n v="0"/>
    <n v="0"/>
    <n v="61.23"/>
    <n v="61.23"/>
    <n v="61.23"/>
    <n v="61.23"/>
    <n v="138"/>
    <s v="CATIVO"/>
    <n v="0"/>
    <n v="0"/>
    <n v="17"/>
    <n v="54"/>
    <n v="0"/>
    <n v="166.1"/>
    <n v="88.15"/>
    <m/>
    <n v="211.03577911604813"/>
    <n v="89.552225247916539"/>
    <n v="0"/>
    <n v="28910.969099999995"/>
    <n v="0"/>
    <n v="34180.720799096031"/>
    <x v="1"/>
  </r>
  <r>
    <s v="Regular"/>
    <x v="0"/>
    <x v="0"/>
    <x v="0"/>
    <x v="1"/>
    <x v="0"/>
    <x v="0"/>
    <x v="0"/>
    <x v="5"/>
    <n v="0"/>
    <n v="0"/>
    <n v="61.98"/>
    <n v="61.98"/>
    <n v="61.98"/>
    <n v="61.98"/>
    <n v="150"/>
    <s v="CATIVO"/>
    <n v="0"/>
    <n v="0"/>
    <n v="17"/>
    <n v="54"/>
    <n v="0"/>
    <n v="166.1"/>
    <n v="88.15"/>
    <m/>
    <n v="211.03577911604813"/>
    <n v="89.552225247916539"/>
    <n v="0"/>
    <n v="29265.096599999997"/>
    <n v="0"/>
    <n v="34599.39694803155"/>
    <x v="1"/>
  </r>
  <r>
    <s v="Regular"/>
    <x v="0"/>
    <x v="0"/>
    <x v="0"/>
    <x v="1"/>
    <x v="0"/>
    <x v="0"/>
    <x v="0"/>
    <x v="6"/>
    <n v="0"/>
    <n v="0"/>
    <n v="62.91"/>
    <n v="62.91"/>
    <n v="62.91"/>
    <n v="62.91"/>
    <n v="133"/>
    <s v="CATIVO"/>
    <n v="0"/>
    <n v="0"/>
    <n v="17"/>
    <n v="54"/>
    <n v="0"/>
    <n v="166.1"/>
    <n v="88.15"/>
    <m/>
    <n v="211.03577911604813"/>
    <n v="89.552225247916539"/>
    <n v="0"/>
    <n v="29704.214699999997"/>
    <n v="0"/>
    <n v="35118.555372711598"/>
    <x v="1"/>
  </r>
  <r>
    <s v="Regular"/>
    <x v="0"/>
    <x v="0"/>
    <x v="0"/>
    <x v="1"/>
    <x v="0"/>
    <x v="0"/>
    <x v="0"/>
    <x v="7"/>
    <n v="0"/>
    <n v="0"/>
    <n v="64.77"/>
    <n v="64.77"/>
    <n v="64.77"/>
    <n v="64.77"/>
    <n v="151"/>
    <s v="CATIVO"/>
    <n v="0"/>
    <n v="0"/>
    <n v="17"/>
    <n v="54"/>
    <n v="0"/>
    <n v="166.1"/>
    <n v="88.15"/>
    <m/>
    <n v="211.03577911604813"/>
    <n v="89.552225247916539"/>
    <n v="0"/>
    <n v="30582.450899999996"/>
    <n v="0"/>
    <n v="36156.872222071695"/>
    <x v="1"/>
  </r>
  <r>
    <s v="Regular"/>
    <x v="0"/>
    <x v="0"/>
    <x v="0"/>
    <x v="1"/>
    <x v="0"/>
    <x v="0"/>
    <x v="0"/>
    <x v="8"/>
    <n v="0"/>
    <n v="0"/>
    <n v="64.92"/>
    <n v="64.92"/>
    <n v="64.92"/>
    <n v="64.92"/>
    <n v="142"/>
    <s v="CATIVO"/>
    <n v="0"/>
    <n v="0"/>
    <n v="17"/>
    <n v="54"/>
    <n v="0"/>
    <n v="166.1"/>
    <n v="88.15"/>
    <m/>
    <n v="211.03577911604813"/>
    <n v="89.552225247916539"/>
    <n v="0"/>
    <n v="30653.276399999999"/>
    <n v="0"/>
    <n v="36240.607451858799"/>
    <x v="1"/>
  </r>
  <r>
    <s v="Regular"/>
    <x v="0"/>
    <x v="0"/>
    <x v="0"/>
    <x v="1"/>
    <x v="0"/>
    <x v="0"/>
    <x v="0"/>
    <x v="9"/>
    <n v="0"/>
    <n v="0"/>
    <n v="73.319999999999993"/>
    <n v="73.319999999999993"/>
    <n v="73.319999999999993"/>
    <n v="73.319999999999993"/>
    <n v="186"/>
    <s v="CATIVO"/>
    <n v="0"/>
    <n v="0"/>
    <n v="17"/>
    <n v="54"/>
    <n v="0"/>
    <n v="166.1"/>
    <n v="88.15"/>
    <m/>
    <n v="211.03577911604813"/>
    <n v="89.552225247916539"/>
    <n v="0"/>
    <n v="34619.504399999991"/>
    <n v="0"/>
    <n v="40929.780319936646"/>
    <x v="1"/>
  </r>
  <r>
    <s v="Regular"/>
    <x v="0"/>
    <x v="0"/>
    <x v="0"/>
    <x v="1"/>
    <x v="0"/>
    <x v="0"/>
    <x v="0"/>
    <x v="10"/>
    <n v="0"/>
    <n v="0"/>
    <n v="75.36"/>
    <n v="75.36"/>
    <n v="75.36"/>
    <n v="75.36"/>
    <n v="172"/>
    <s v="CATIVO"/>
    <n v="0"/>
    <n v="0"/>
    <n v="17"/>
    <n v="54"/>
    <n v="0"/>
    <n v="166.1"/>
    <n v="88.15"/>
    <m/>
    <n v="211.03577911604813"/>
    <n v="89.552225247916539"/>
    <n v="0"/>
    <n v="35582.731199999995"/>
    <n v="0"/>
    <n v="42068.579445041265"/>
    <x v="1"/>
  </r>
  <r>
    <s v="Regular"/>
    <x v="0"/>
    <x v="0"/>
    <x v="0"/>
    <x v="1"/>
    <x v="0"/>
    <x v="0"/>
    <x v="0"/>
    <x v="11"/>
    <n v="0"/>
    <n v="0"/>
    <n v="77.040000000000006"/>
    <n v="77.040000000000006"/>
    <n v="77.040000000000006"/>
    <n v="77.040000000000006"/>
    <n v="170"/>
    <s v="CATIVO"/>
    <n v="0"/>
    <n v="0"/>
    <n v="17"/>
    <n v="54"/>
    <n v="0"/>
    <n v="166.1"/>
    <n v="88.15"/>
    <m/>
    <n v="211.03577911604813"/>
    <n v="89.552225247916539"/>
    <n v="0"/>
    <n v="36375.976799999997"/>
    <n v="0"/>
    <n v="43006.41401865684"/>
    <x v="1"/>
  </r>
  <r>
    <s v="Regular"/>
    <x v="0"/>
    <x v="0"/>
    <x v="0"/>
    <x v="2"/>
    <x v="0"/>
    <x v="0"/>
    <x v="0"/>
    <x v="0"/>
    <n v="0"/>
    <n v="0"/>
    <n v="94.608000000000004"/>
    <n v="94.608000000000004"/>
    <n v="94.608000000000004"/>
    <n v="94.608000000000004"/>
    <n v="1169"/>
    <s v="CATIVO"/>
    <n v="0"/>
    <n v="0"/>
    <n v="18"/>
    <n v="55"/>
    <n v="0"/>
    <n v="284.74"/>
    <n v="151.11000000000001"/>
    <m/>
    <n v="361.77562134179681"/>
    <n v="153.5181004249998"/>
    <n v="0"/>
    <n v="27490.246559999996"/>
    <n v="0"/>
    <n v="32500.605619275397"/>
    <x v="1"/>
  </r>
  <r>
    <s v="Regular"/>
    <x v="0"/>
    <x v="0"/>
    <x v="0"/>
    <x v="2"/>
    <x v="0"/>
    <x v="0"/>
    <x v="0"/>
    <x v="1"/>
    <n v="0"/>
    <n v="0"/>
    <n v="89.388000000000005"/>
    <n v="89.388000000000005"/>
    <n v="89.388000000000005"/>
    <n v="89.388000000000005"/>
    <n v="1243"/>
    <s v="CATIVO"/>
    <n v="0"/>
    <n v="0"/>
    <n v="18"/>
    <n v="55"/>
    <n v="0"/>
    <n v="284.74"/>
    <n v="151.11000000000001"/>
    <m/>
    <n v="361.77562134179681"/>
    <n v="153.5181004249998"/>
    <n v="0"/>
    <n v="25973.471159999997"/>
    <n v="0"/>
    <n v="30707.383467526943"/>
    <x v="1"/>
  </r>
  <r>
    <s v="Regular"/>
    <x v="0"/>
    <x v="0"/>
    <x v="0"/>
    <x v="2"/>
    <x v="0"/>
    <x v="0"/>
    <x v="0"/>
    <x v="2"/>
    <n v="0"/>
    <n v="0"/>
    <n v="87.186000000000007"/>
    <n v="87.186000000000007"/>
    <n v="87.186000000000007"/>
    <n v="87.186000000000007"/>
    <n v="1310"/>
    <s v="CATIVO"/>
    <n v="0"/>
    <n v="0"/>
    <n v="18"/>
    <n v="55"/>
    <n v="0"/>
    <n v="284.74"/>
    <n v="151.11000000000001"/>
    <m/>
    <n v="361.77562134179681"/>
    <n v="153.5181004249998"/>
    <n v="0"/>
    <n v="25333.636019999998"/>
    <n v="0"/>
    <n v="29950.932283973289"/>
    <x v="1"/>
  </r>
  <r>
    <s v="Regular"/>
    <x v="0"/>
    <x v="0"/>
    <x v="0"/>
    <x v="2"/>
    <x v="0"/>
    <x v="0"/>
    <x v="0"/>
    <x v="3"/>
    <n v="0"/>
    <n v="0"/>
    <n v="88.462999999999994"/>
    <n v="88.462999999999994"/>
    <n v="88.462999999999994"/>
    <n v="88.462999999999994"/>
    <n v="1317"/>
    <s v="CATIVO"/>
    <n v="0"/>
    <n v="0"/>
    <n v="18"/>
    <n v="55"/>
    <n v="0"/>
    <n v="284.74"/>
    <n v="151.11000000000001"/>
    <m/>
    <n v="361.77562134179681"/>
    <n v="153.5181004249998"/>
    <n v="0"/>
    <n v="25704.693909999991"/>
    <n v="0"/>
    <n v="30389.61900577075"/>
    <x v="1"/>
  </r>
  <r>
    <s v="Regular"/>
    <x v="0"/>
    <x v="0"/>
    <x v="0"/>
    <x v="2"/>
    <x v="0"/>
    <x v="0"/>
    <x v="0"/>
    <x v="4"/>
    <n v="0"/>
    <n v="0"/>
    <n v="91.117999999999995"/>
    <n v="91.117999999999995"/>
    <n v="91.117999999999995"/>
    <n v="91.117999999999995"/>
    <n v="1289"/>
    <s v="CATIVO"/>
    <n v="0"/>
    <n v="0"/>
    <n v="18"/>
    <n v="55"/>
    <n v="0"/>
    <n v="284.74"/>
    <n v="151.11000000000001"/>
    <m/>
    <n v="361.77562134179681"/>
    <n v="153.5181004249998"/>
    <n v="0"/>
    <n v="26476.157259999993"/>
    <n v="0"/>
    <n v="31301.688893297978"/>
    <x v="1"/>
  </r>
  <r>
    <s v="Regular"/>
    <x v="0"/>
    <x v="0"/>
    <x v="0"/>
    <x v="2"/>
    <x v="0"/>
    <x v="0"/>
    <x v="0"/>
    <x v="5"/>
    <n v="0"/>
    <n v="0"/>
    <n v="92.147999999999996"/>
    <n v="92.147999999999996"/>
    <n v="92.147999999999996"/>
    <n v="92.147999999999996"/>
    <n v="1289"/>
    <s v="CATIVO"/>
    <n v="0"/>
    <n v="0"/>
    <n v="18"/>
    <n v="55"/>
    <n v="0"/>
    <n v="284.74"/>
    <n v="151.11000000000001"/>
    <m/>
    <n v="361.77562134179681"/>
    <n v="153.5181004249998"/>
    <n v="0"/>
    <n v="26775.444359999994"/>
    <n v="0"/>
    <n v="31655.523915577847"/>
    <x v="1"/>
  </r>
  <r>
    <s v="Regular"/>
    <x v="0"/>
    <x v="0"/>
    <x v="0"/>
    <x v="2"/>
    <x v="0"/>
    <x v="0"/>
    <x v="0"/>
    <x v="6"/>
    <n v="0"/>
    <n v="0"/>
    <n v="108.404"/>
    <n v="108.404"/>
    <n v="108.404"/>
    <n v="108.404"/>
    <n v="1049"/>
    <s v="CATIVO"/>
    <n v="0"/>
    <n v="0"/>
    <n v="18"/>
    <n v="55"/>
    <n v="0"/>
    <n v="284.74"/>
    <n v="151.11000000000001"/>
    <m/>
    <n v="361.77562134179681"/>
    <n v="153.5181004249998"/>
    <n v="0"/>
    <n v="31498.950279999994"/>
    <n v="0"/>
    <n v="37239.933742938541"/>
    <x v="1"/>
  </r>
  <r>
    <s v="Regular"/>
    <x v="0"/>
    <x v="0"/>
    <x v="0"/>
    <x v="2"/>
    <x v="0"/>
    <x v="0"/>
    <x v="0"/>
    <x v="7"/>
    <n v="0"/>
    <n v="0"/>
    <n v="105.19199999999999"/>
    <n v="105.19199999999999"/>
    <n v="105.19199999999999"/>
    <n v="105.19199999999999"/>
    <n v="1198"/>
    <s v="CATIVO"/>
    <n v="0"/>
    <n v="0"/>
    <n v="18"/>
    <n v="55"/>
    <n v="0"/>
    <n v="284.74"/>
    <n v="151.11000000000001"/>
    <m/>
    <n v="361.77562134179681"/>
    <n v="153.5181004249998"/>
    <n v="0"/>
    <n v="30565.639439999992"/>
    <n v="0"/>
    <n v="36136.518120061912"/>
    <x v="1"/>
  </r>
  <r>
    <s v="Regular"/>
    <x v="0"/>
    <x v="0"/>
    <x v="0"/>
    <x v="2"/>
    <x v="0"/>
    <x v="0"/>
    <x v="0"/>
    <x v="8"/>
    <n v="0"/>
    <n v="0"/>
    <n v="102.47799999999999"/>
    <n v="102.47799999999999"/>
    <n v="102.47799999999999"/>
    <n v="102.47799999999999"/>
    <n v="1244"/>
    <s v="CATIVO"/>
    <n v="0"/>
    <n v="0"/>
    <n v="18"/>
    <n v="55"/>
    <n v="0"/>
    <n v="284.74"/>
    <n v="151.11000000000001"/>
    <m/>
    <n v="361.77562134179681"/>
    <n v="153.5181004249998"/>
    <n v="0"/>
    <n v="29777.032459999991"/>
    <n v="0"/>
    <n v="35204.180012811848"/>
    <x v="1"/>
  </r>
  <r>
    <s v="Regular"/>
    <x v="0"/>
    <x v="0"/>
    <x v="0"/>
    <x v="2"/>
    <x v="0"/>
    <x v="0"/>
    <x v="0"/>
    <x v="9"/>
    <n v="0"/>
    <n v="0"/>
    <n v="109.57299999999999"/>
    <n v="109.57299999999999"/>
    <n v="109.57299999999999"/>
    <n v="109.57299999999999"/>
    <n v="1496"/>
    <s v="CATIVO"/>
    <n v="0"/>
    <n v="0"/>
    <n v="18"/>
    <n v="55"/>
    <n v="0"/>
    <n v="284.74"/>
    <n v="151.11000000000001"/>
    <m/>
    <n v="361.77562134179681"/>
    <n v="153.5181004249998"/>
    <n v="0"/>
    <n v="31838.626609999992"/>
    <n v="0"/>
    <n v="37641.519316768798"/>
    <x v="1"/>
  </r>
  <r>
    <s v="Regular"/>
    <x v="0"/>
    <x v="0"/>
    <x v="0"/>
    <x v="2"/>
    <x v="0"/>
    <x v="0"/>
    <x v="0"/>
    <x v="10"/>
    <n v="0"/>
    <n v="0"/>
    <n v="122.306"/>
    <n v="122.306"/>
    <n v="122.306"/>
    <n v="122.306"/>
    <n v="1382"/>
    <s v="CATIVO"/>
    <n v="0"/>
    <n v="0"/>
    <n v="18"/>
    <n v="55"/>
    <n v="0"/>
    <n v="284.74"/>
    <n v="151.11000000000001"/>
    <m/>
    <n v="361.77562134179681"/>
    <n v="153.5181004249998"/>
    <n v="0"/>
    <n v="35538.454419999995"/>
    <n v="0"/>
    <n v="42015.675956273211"/>
    <x v="1"/>
  </r>
  <r>
    <s v="Regular"/>
    <x v="0"/>
    <x v="0"/>
    <x v="0"/>
    <x v="2"/>
    <x v="0"/>
    <x v="0"/>
    <x v="0"/>
    <x v="11"/>
    <n v="0"/>
    <n v="0"/>
    <n v="123.492"/>
    <n v="123.492"/>
    <n v="123.492"/>
    <n v="123.492"/>
    <n v="1474"/>
    <s v="CATIVO"/>
    <n v="0"/>
    <n v="0"/>
    <n v="18"/>
    <n v="55"/>
    <n v="0"/>
    <n v="284.74"/>
    <n v="151.11000000000001"/>
    <m/>
    <n v="361.77562134179681"/>
    <n v="153.5181004249998"/>
    <n v="0"/>
    <n v="35883.070439999996"/>
    <n v="0"/>
    <n v="42423.101525616832"/>
    <x v="1"/>
  </r>
  <r>
    <s v="Regular"/>
    <x v="0"/>
    <x v="0"/>
    <x v="0"/>
    <x v="3"/>
    <x v="0"/>
    <x v="0"/>
    <x v="0"/>
    <x v="0"/>
    <n v="0"/>
    <n v="0"/>
    <n v="31.216000000000001"/>
    <n v="31.216000000000001"/>
    <n v="31.216000000000001"/>
    <n v="31.216000000000001"/>
    <n v="630"/>
    <s v="CATIVO"/>
    <n v="0"/>
    <n v="0"/>
    <n v="19"/>
    <n v="56"/>
    <n v="0"/>
    <n v="427.11"/>
    <n v="226.67"/>
    <m/>
    <n v="542.66343201269524"/>
    <n v="230.27715063749969"/>
    <n v="0"/>
    <n v="2267.5302399999987"/>
    <n v="0"/>
    <n v="2680.9014697787188"/>
    <x v="1"/>
  </r>
  <r>
    <s v="Regular"/>
    <x v="0"/>
    <x v="0"/>
    <x v="0"/>
    <x v="3"/>
    <x v="0"/>
    <x v="0"/>
    <x v="0"/>
    <x v="1"/>
    <n v="0"/>
    <n v="0"/>
    <n v="25.992000000000001"/>
    <n v="25.992000000000001"/>
    <n v="25.992000000000001"/>
    <n v="25.992000000000001"/>
    <n v="560"/>
    <s v="CATIVO"/>
    <n v="0"/>
    <n v="0"/>
    <n v="19"/>
    <n v="56"/>
    <n v="0"/>
    <n v="427.11"/>
    <n v="226.67"/>
    <m/>
    <n v="542.66343201269524"/>
    <n v="230.27715063749969"/>
    <n v="0"/>
    <n v="1888.0588799999989"/>
    <n v="0"/>
    <n v="2232.2524026937613"/>
    <x v="1"/>
  </r>
  <r>
    <s v="Regular"/>
    <x v="0"/>
    <x v="0"/>
    <x v="0"/>
    <x v="3"/>
    <x v="0"/>
    <x v="0"/>
    <x v="0"/>
    <x v="2"/>
    <n v="0"/>
    <n v="0"/>
    <n v="23.824999999999999"/>
    <n v="23.824999999999999"/>
    <n v="23.824999999999999"/>
    <n v="23.824999999999999"/>
    <n v="500"/>
    <s v="CATIVO"/>
    <n v="0"/>
    <n v="0"/>
    <n v="19"/>
    <n v="56"/>
    <n v="0"/>
    <n v="427.11"/>
    <n v="226.67"/>
    <m/>
    <n v="542.66343201269524"/>
    <n v="230.27715063749969"/>
    <n v="0"/>
    <n v="1730.647999999999"/>
    <n v="0"/>
    <n v="2046.1454868489866"/>
    <x v="1"/>
  </r>
  <r>
    <s v="Regular"/>
    <x v="0"/>
    <x v="0"/>
    <x v="0"/>
    <x v="3"/>
    <x v="0"/>
    <x v="0"/>
    <x v="0"/>
    <x v="3"/>
    <n v="0"/>
    <n v="0"/>
    <n v="23.878"/>
    <n v="23.878"/>
    <n v="23.878"/>
    <n v="23.878"/>
    <n v="511"/>
    <s v="CATIVO"/>
    <n v="0"/>
    <n v="0"/>
    <n v="19"/>
    <n v="56"/>
    <n v="0"/>
    <n v="427.11"/>
    <n v="226.67"/>
    <m/>
    <n v="542.66343201269524"/>
    <n v="230.27715063749969"/>
    <n v="0"/>
    <n v="1734.4979199999991"/>
    <n v="0"/>
    <n v="2050.6972480579266"/>
    <x v="1"/>
  </r>
  <r>
    <s v="Regular"/>
    <x v="0"/>
    <x v="0"/>
    <x v="0"/>
    <x v="3"/>
    <x v="0"/>
    <x v="0"/>
    <x v="0"/>
    <x v="4"/>
    <n v="0"/>
    <n v="0"/>
    <n v="25.832999999999998"/>
    <n v="25.832999999999998"/>
    <n v="25.832999999999998"/>
    <n v="25.832999999999998"/>
    <n v="562"/>
    <s v="CATIVO"/>
    <n v="0"/>
    <n v="0"/>
    <n v="19"/>
    <n v="56"/>
    <n v="0"/>
    <n v="427.11"/>
    <n v="226.67"/>
    <m/>
    <n v="542.66343201269524"/>
    <n v="230.27715063749969"/>
    <n v="0"/>
    <n v="1876.5091199999988"/>
    <n v="0"/>
    <n v="2218.5971190669411"/>
    <x v="1"/>
  </r>
  <r>
    <s v="Regular"/>
    <x v="0"/>
    <x v="0"/>
    <x v="0"/>
    <x v="3"/>
    <x v="0"/>
    <x v="0"/>
    <x v="0"/>
    <x v="5"/>
    <n v="0"/>
    <n v="0"/>
    <n v="26.504999999999999"/>
    <n v="26.504999999999999"/>
    <n v="26.504999999999999"/>
    <n v="26.504999999999999"/>
    <n v="569"/>
    <s v="CATIVO"/>
    <n v="0"/>
    <n v="0"/>
    <n v="19"/>
    <n v="56"/>
    <n v="0"/>
    <n v="427.11"/>
    <n v="226.67"/>
    <m/>
    <n v="542.66343201269524"/>
    <n v="230.27715063749969"/>
    <n v="0"/>
    <n v="1925.3231999999989"/>
    <n v="0"/>
    <n v="2276.3100159048222"/>
    <x v="1"/>
  </r>
  <r>
    <s v="Regular"/>
    <x v="0"/>
    <x v="0"/>
    <x v="0"/>
    <x v="3"/>
    <x v="0"/>
    <x v="0"/>
    <x v="0"/>
    <x v="6"/>
    <n v="0"/>
    <n v="0"/>
    <n v="45.292999999999999"/>
    <n v="45.292999999999999"/>
    <n v="45.292999999999999"/>
    <n v="45.292999999999999"/>
    <n v="805"/>
    <s v="CATIVO"/>
    <n v="0"/>
    <n v="0"/>
    <n v="19"/>
    <n v="56"/>
    <n v="0"/>
    <n v="427.11"/>
    <n v="226.67"/>
    <m/>
    <n v="542.66343201269524"/>
    <n v="230.27715063749969"/>
    <n v="0"/>
    <n v="3290.0835199999979"/>
    <n v="0"/>
    <n v="3889.8664233305835"/>
    <x v="1"/>
  </r>
  <r>
    <s v="Regular"/>
    <x v="0"/>
    <x v="0"/>
    <x v="0"/>
    <x v="3"/>
    <x v="0"/>
    <x v="0"/>
    <x v="0"/>
    <x v="7"/>
    <n v="0"/>
    <n v="0"/>
    <n v="38.020000000000003"/>
    <n v="38.020000000000003"/>
    <n v="38.020000000000003"/>
    <n v="38.020000000000003"/>
    <n v="726"/>
    <s v="CATIVO"/>
    <n v="0"/>
    <n v="0"/>
    <n v="19"/>
    <n v="56"/>
    <n v="0"/>
    <n v="427.11"/>
    <n v="226.67"/>
    <m/>
    <n v="542.66343201269524"/>
    <n v="230.27715063749969"/>
    <n v="0"/>
    <n v="2761.7727999999988"/>
    <n v="0"/>
    <n v="3265.2445502622659"/>
    <x v="1"/>
  </r>
  <r>
    <s v="Regular"/>
    <x v="0"/>
    <x v="0"/>
    <x v="0"/>
    <x v="3"/>
    <x v="0"/>
    <x v="0"/>
    <x v="0"/>
    <x v="8"/>
    <n v="0"/>
    <n v="0"/>
    <n v="35.238999999999997"/>
    <n v="35.238999999999997"/>
    <n v="35.238999999999997"/>
    <n v="35.238999999999997"/>
    <n v="698"/>
    <s v="CATIVO"/>
    <n v="0"/>
    <n v="0"/>
    <n v="19"/>
    <n v="56"/>
    <n v="0"/>
    <n v="427.11"/>
    <n v="226.67"/>
    <m/>
    <n v="542.66343201269524"/>
    <n v="230.27715063749969"/>
    <n v="0"/>
    <n v="2559.7609599999982"/>
    <n v="0"/>
    <n v="3026.405910223355"/>
    <x v="1"/>
  </r>
  <r>
    <s v="Regular"/>
    <x v="0"/>
    <x v="0"/>
    <x v="0"/>
    <x v="3"/>
    <x v="0"/>
    <x v="0"/>
    <x v="0"/>
    <x v="9"/>
    <n v="0"/>
    <n v="0"/>
    <n v="35.987000000000002"/>
    <n v="35.987000000000002"/>
    <n v="35.987000000000002"/>
    <n v="35.987000000000002"/>
    <n v="690"/>
    <s v="CATIVO"/>
    <n v="0"/>
    <n v="0"/>
    <n v="19"/>
    <n v="56"/>
    <n v="0"/>
    <n v="427.11"/>
    <n v="226.67"/>
    <m/>
    <n v="542.66343201269524"/>
    <n v="230.27715063749969"/>
    <n v="0"/>
    <n v="2614.0956799999985"/>
    <n v="0"/>
    <n v="3090.6458608702828"/>
    <x v="1"/>
  </r>
  <r>
    <s v="Regular"/>
    <x v="0"/>
    <x v="0"/>
    <x v="0"/>
    <x v="3"/>
    <x v="0"/>
    <x v="0"/>
    <x v="0"/>
    <x v="10"/>
    <n v="0"/>
    <n v="0"/>
    <n v="46.878"/>
    <n v="46.878"/>
    <n v="46.878"/>
    <n v="46.878"/>
    <n v="835"/>
    <s v="CATIVO"/>
    <n v="0"/>
    <n v="0"/>
    <n v="19"/>
    <n v="56"/>
    <n v="0"/>
    <n v="427.11"/>
    <n v="226.67"/>
    <m/>
    <n v="542.66343201269524"/>
    <n v="230.27715063749969"/>
    <n v="0"/>
    <n v="3405.2179199999982"/>
    <n v="0"/>
    <n v="4025.9898481639789"/>
    <x v="1"/>
  </r>
  <r>
    <s v="Regular"/>
    <x v="0"/>
    <x v="0"/>
    <x v="0"/>
    <x v="3"/>
    <x v="0"/>
    <x v="0"/>
    <x v="0"/>
    <x v="11"/>
    <n v="0"/>
    <n v="0"/>
    <n v="45.223999999999997"/>
    <n v="45.223999999999997"/>
    <n v="45.223999999999997"/>
    <n v="45.223999999999997"/>
    <n v="818"/>
    <s v="CATIVO"/>
    <n v="0"/>
    <n v="0"/>
    <n v="19"/>
    <n v="56"/>
    <n v="0"/>
    <n v="427.11"/>
    <n v="226.67"/>
    <m/>
    <n v="542.66343201269524"/>
    <n v="230.27715063749969"/>
    <n v="0"/>
    <n v="3285.0713599999976"/>
    <n v="0"/>
    <n v="3883.9405455302654"/>
    <x v="1"/>
  </r>
  <r>
    <s v="Regular"/>
    <x v="0"/>
    <x v="0"/>
    <x v="0"/>
    <x v="4"/>
    <x v="0"/>
    <x v="0"/>
    <x v="0"/>
    <x v="0"/>
    <n v="0"/>
    <n v="0"/>
    <n v="6.4710000000000001"/>
    <n v="6.4710000000000001"/>
    <n v="6.4710000000000001"/>
    <n v="6.4710000000000001"/>
    <n v="55"/>
    <s v="CATIVO"/>
    <n v="0"/>
    <n v="0"/>
    <n v="20"/>
    <n v="57"/>
    <n v="0"/>
    <n v="474.57"/>
    <n v="251.85"/>
    <m/>
    <n v="602.9593689029947"/>
    <n v="255.86350070833299"/>
    <n v="0"/>
    <n v="-1.8391688172414433E-13"/>
    <n v="0"/>
    <n v="-3.6783376344828867E-13"/>
    <x v="1"/>
  </r>
  <r>
    <s v="Regular"/>
    <x v="0"/>
    <x v="0"/>
    <x v="0"/>
    <x v="4"/>
    <x v="0"/>
    <x v="0"/>
    <x v="0"/>
    <x v="1"/>
    <n v="0"/>
    <n v="0"/>
    <n v="5.9880000000000004"/>
    <n v="5.9880000000000004"/>
    <n v="5.9880000000000004"/>
    <n v="5.9880000000000004"/>
    <n v="51"/>
    <s v="CATIVO"/>
    <n v="0"/>
    <n v="0"/>
    <n v="20"/>
    <n v="57"/>
    <n v="0"/>
    <n v="474.57"/>
    <n v="251.85"/>
    <m/>
    <n v="602.9593689029947"/>
    <n v="255.86350070833299"/>
    <n v="0"/>
    <n v="-1.7018919606925921E-13"/>
    <n v="0"/>
    <n v="-3.4037839213851842E-13"/>
    <x v="1"/>
  </r>
  <r>
    <s v="Regular"/>
    <x v="0"/>
    <x v="0"/>
    <x v="0"/>
    <x v="4"/>
    <x v="0"/>
    <x v="0"/>
    <x v="0"/>
    <x v="2"/>
    <n v="0"/>
    <n v="0"/>
    <n v="5.5570000000000004"/>
    <n v="5.5570000000000004"/>
    <n v="5.5570000000000004"/>
    <n v="5.5570000000000004"/>
    <n v="52"/>
    <s v="CATIVO"/>
    <n v="0"/>
    <n v="0"/>
    <n v="20"/>
    <n v="57"/>
    <n v="0"/>
    <n v="474.57"/>
    <n v="251.85"/>
    <m/>
    <n v="602.9593689029947"/>
    <n v="255.86350070833299"/>
    <n v="0"/>
    <n v="-1.5793943930475508E-13"/>
    <n v="0"/>
    <n v="-3.1587887860951016E-13"/>
    <x v="1"/>
  </r>
  <r>
    <s v="Regular"/>
    <x v="0"/>
    <x v="0"/>
    <x v="0"/>
    <x v="4"/>
    <x v="0"/>
    <x v="0"/>
    <x v="0"/>
    <x v="3"/>
    <n v="0"/>
    <n v="0"/>
    <n v="5.3540000000000001"/>
    <n v="5.3540000000000001"/>
    <n v="5.3540000000000001"/>
    <n v="5.3540000000000001"/>
    <n v="52"/>
    <s v="CATIVO"/>
    <n v="0"/>
    <n v="0"/>
    <n v="20"/>
    <n v="57"/>
    <n v="0"/>
    <n v="474.57"/>
    <n v="251.85"/>
    <m/>
    <n v="602.9593689029947"/>
    <n v="255.86350070833299"/>
    <n v="0"/>
    <n v="-1.5216983229038306E-13"/>
    <n v="0"/>
    <n v="-3.0433966458076612E-13"/>
    <x v="1"/>
  </r>
  <r>
    <s v="Regular"/>
    <x v="0"/>
    <x v="0"/>
    <x v="0"/>
    <x v="4"/>
    <x v="0"/>
    <x v="0"/>
    <x v="0"/>
    <x v="4"/>
    <n v="0"/>
    <n v="0"/>
    <n v="5.7149999999999999"/>
    <n v="5.7149999999999999"/>
    <n v="5.7149999999999999"/>
    <n v="5.7149999999999999"/>
    <n v="52"/>
    <s v="CATIVO"/>
    <n v="0"/>
    <n v="0"/>
    <n v="20"/>
    <n v="57"/>
    <n v="0"/>
    <n v="474.57"/>
    <n v="251.85"/>
    <m/>
    <n v="602.9593689029947"/>
    <n v="255.86350070833299"/>
    <n v="0"/>
    <n v="-1.624300693947589E-13"/>
    <n v="0"/>
    <n v="-3.248601387895178E-13"/>
    <x v="1"/>
  </r>
  <r>
    <s v="Regular"/>
    <x v="0"/>
    <x v="0"/>
    <x v="0"/>
    <x v="4"/>
    <x v="0"/>
    <x v="0"/>
    <x v="0"/>
    <x v="5"/>
    <n v="0"/>
    <n v="0"/>
    <n v="6.5549999999999997"/>
    <n v="6.5549999999999997"/>
    <n v="6.5549999999999997"/>
    <n v="6.5549999999999997"/>
    <n v="58"/>
    <s v="CATIVO"/>
    <n v="0"/>
    <n v="0"/>
    <n v="20"/>
    <n v="57"/>
    <n v="0"/>
    <n v="474.57"/>
    <n v="251.85"/>
    <m/>
    <n v="602.9593689029947"/>
    <n v="255.86350070833299"/>
    <n v="0"/>
    <n v="-1.8630430531629826E-13"/>
    <n v="0"/>
    <n v="-3.7260861063259652E-13"/>
    <x v="1"/>
  </r>
  <r>
    <s v="Regular"/>
    <x v="0"/>
    <x v="0"/>
    <x v="0"/>
    <x v="4"/>
    <x v="0"/>
    <x v="0"/>
    <x v="0"/>
    <x v="6"/>
    <n v="0"/>
    <n v="0"/>
    <n v="10.648999999999999"/>
    <n v="10.648999999999999"/>
    <n v="10.648999999999999"/>
    <n v="10.648999999999999"/>
    <n v="110"/>
    <s v="CATIVO"/>
    <n v="0"/>
    <n v="0"/>
    <n v="20"/>
    <n v="57"/>
    <n v="0"/>
    <n v="474.57"/>
    <n v="251.85"/>
    <m/>
    <n v="602.9593689029947"/>
    <n v="255.86350070833299"/>
    <n v="0"/>
    <n v="-3.0266278372437225E-13"/>
    <n v="0"/>
    <n v="-6.053255674487445E-13"/>
    <x v="1"/>
  </r>
  <r>
    <s v="Regular"/>
    <x v="0"/>
    <x v="0"/>
    <x v="0"/>
    <x v="4"/>
    <x v="0"/>
    <x v="0"/>
    <x v="0"/>
    <x v="7"/>
    <n v="0"/>
    <n v="0"/>
    <n v="8.0709999999999997"/>
    <n v="8.0709999999999997"/>
    <n v="8.0709999999999997"/>
    <n v="8.0709999999999997"/>
    <n v="84"/>
    <s v="CATIVO"/>
    <n v="0"/>
    <n v="0"/>
    <n v="20"/>
    <n v="57"/>
    <n v="0"/>
    <n v="474.57"/>
    <n v="251.85"/>
    <m/>
    <n v="602.9593689029947"/>
    <n v="255.86350070833299"/>
    <n v="0"/>
    <n v="-2.2939161681279074E-13"/>
    <n v="0"/>
    <n v="-4.5878323362558147E-13"/>
    <x v="1"/>
  </r>
  <r>
    <s v="Regular"/>
    <x v="0"/>
    <x v="0"/>
    <x v="0"/>
    <x v="4"/>
    <x v="0"/>
    <x v="0"/>
    <x v="0"/>
    <x v="8"/>
    <n v="0"/>
    <n v="0"/>
    <n v="8.3030000000000008"/>
    <n v="8.3030000000000008"/>
    <n v="8.3030000000000008"/>
    <n v="8.3030000000000008"/>
    <n v="80"/>
    <s v="CATIVO"/>
    <n v="0"/>
    <n v="0"/>
    <n v="20"/>
    <n v="57"/>
    <n v="0"/>
    <n v="474.57"/>
    <n v="251.85"/>
    <m/>
    <n v="602.9593689029947"/>
    <n v="255.86350070833299"/>
    <n v="0"/>
    <n v="-2.359854534006445E-13"/>
    <n v="0"/>
    <n v="-4.7197090680128899E-13"/>
    <x v="1"/>
  </r>
  <r>
    <s v="Regular"/>
    <x v="0"/>
    <x v="0"/>
    <x v="0"/>
    <x v="4"/>
    <x v="0"/>
    <x v="0"/>
    <x v="0"/>
    <x v="9"/>
    <n v="0"/>
    <n v="0"/>
    <n v="10.814"/>
    <n v="10.814"/>
    <n v="10.814"/>
    <n v="10.814"/>
    <n v="72"/>
    <s v="CATIVO"/>
    <n v="0"/>
    <n v="0"/>
    <n v="20"/>
    <n v="57"/>
    <n v="0"/>
    <n v="474.57"/>
    <n v="251.85"/>
    <m/>
    <n v="602.9593689029947"/>
    <n v="255.86350070833299"/>
    <n v="0"/>
    <n v="-3.0735236578038894E-13"/>
    <n v="0"/>
    <n v="-6.1470473156077788E-13"/>
    <x v="1"/>
  </r>
  <r>
    <s v="Regular"/>
    <x v="0"/>
    <x v="0"/>
    <x v="0"/>
    <x v="4"/>
    <x v="0"/>
    <x v="0"/>
    <x v="0"/>
    <x v="10"/>
    <n v="0"/>
    <n v="0"/>
    <n v="16.321000000000002"/>
    <n v="16.321000000000002"/>
    <n v="16.321000000000002"/>
    <n v="16.321000000000002"/>
    <n v="123"/>
    <s v="CATIVO"/>
    <n v="0"/>
    <n v="0"/>
    <n v="20"/>
    <n v="57"/>
    <n v="0"/>
    <n v="474.57"/>
    <n v="251.85"/>
    <m/>
    <n v="602.9593689029947"/>
    <n v="255.86350070833299"/>
    <n v="0"/>
    <n v="-4.6387071961362385E-13"/>
    <n v="0"/>
    <n v="-9.277414392272477E-13"/>
    <x v="1"/>
  </r>
  <r>
    <s v="Regular"/>
    <x v="0"/>
    <x v="0"/>
    <x v="0"/>
    <x v="4"/>
    <x v="0"/>
    <x v="0"/>
    <x v="0"/>
    <x v="11"/>
    <n v="0"/>
    <n v="0"/>
    <n v="14.085000000000001"/>
    <n v="14.085000000000001"/>
    <n v="14.085000000000001"/>
    <n v="14.085000000000001"/>
    <n v="106"/>
    <s v="CATIVO"/>
    <n v="0"/>
    <n v="0"/>
    <n v="20"/>
    <n v="57"/>
    <n v="0"/>
    <n v="474.57"/>
    <n v="251.85"/>
    <m/>
    <n v="602.9593689029947"/>
    <n v="255.86350070833299"/>
    <n v="0"/>
    <n v="-4.0031977732724047E-13"/>
    <n v="0"/>
    <n v="-8.0063955465448094E-13"/>
    <x v="1"/>
  </r>
  <r>
    <s v="Regular"/>
    <x v="1"/>
    <x v="1"/>
    <x v="1"/>
    <x v="5"/>
    <x v="0"/>
    <x v="0"/>
    <x v="1"/>
    <x v="0"/>
    <n v="0"/>
    <n v="0"/>
    <n v="0.35799999999999998"/>
    <n v="0.35799999999999998"/>
    <n v="0.35799999999999998"/>
    <n v="0.35799999999999998"/>
    <n v="0"/>
    <s v="CATIVO"/>
    <n v="0"/>
    <n v="0"/>
    <n v="28"/>
    <n v="65"/>
    <n v="0"/>
    <n v="268.26"/>
    <n v="221.63"/>
    <m/>
    <n v="371.9845343913355"/>
    <n v="240.51169066583299"/>
    <n v="0"/>
    <n v="11.194507659574466"/>
    <n v="0"/>
    <n v="13.996190334285084"/>
    <x v="2"/>
  </r>
  <r>
    <s v="Regular"/>
    <x v="1"/>
    <x v="1"/>
    <x v="1"/>
    <x v="5"/>
    <x v="0"/>
    <x v="0"/>
    <x v="1"/>
    <x v="1"/>
    <n v="0"/>
    <n v="0"/>
    <n v="0.311"/>
    <n v="0.311"/>
    <n v="0.311"/>
    <n v="0.311"/>
    <n v="0"/>
    <s v="CATIVO"/>
    <n v="0"/>
    <n v="0"/>
    <n v="28"/>
    <n v="65"/>
    <n v="0"/>
    <n v="268.26"/>
    <n v="221.63"/>
    <m/>
    <n v="371.9845343913355"/>
    <n v="240.51169066583299"/>
    <n v="0"/>
    <n v="9.7248376595744705"/>
    <n v="0"/>
    <n v="12.15870165911358"/>
    <x v="2"/>
  </r>
  <r>
    <s v="Regular"/>
    <x v="1"/>
    <x v="1"/>
    <x v="1"/>
    <x v="5"/>
    <x v="0"/>
    <x v="0"/>
    <x v="1"/>
    <x v="2"/>
    <n v="0"/>
    <n v="0"/>
    <n v="0.41899999999999998"/>
    <n v="0.41899999999999998"/>
    <n v="0.41899999999999998"/>
    <n v="0.41899999999999998"/>
    <n v="0"/>
    <s v="CATIVO"/>
    <n v="0"/>
    <n v="0"/>
    <n v="28"/>
    <n v="65"/>
    <n v="0"/>
    <n v="268.26"/>
    <n v="221.63"/>
    <m/>
    <n v="371.9845343913355"/>
    <n v="240.51169066583299"/>
    <n v="0"/>
    <n v="13.101951702127659"/>
    <n v="0"/>
    <n v="16.381016061635336"/>
    <x v="2"/>
  </r>
  <r>
    <s v="Regular"/>
    <x v="1"/>
    <x v="1"/>
    <x v="1"/>
    <x v="5"/>
    <x v="0"/>
    <x v="0"/>
    <x v="1"/>
    <x v="3"/>
    <n v="0"/>
    <n v="0"/>
    <n v="0.36899999999999999"/>
    <n v="0.36899999999999999"/>
    <n v="0.36899999999999999"/>
    <n v="0.36899999999999999"/>
    <n v="0"/>
    <s v="CATIVO"/>
    <n v="0"/>
    <n v="0"/>
    <n v="28"/>
    <n v="65"/>
    <n v="0"/>
    <n v="268.26"/>
    <n v="221.63"/>
    <m/>
    <n v="371.9845343913355"/>
    <n v="240.51169066583299"/>
    <n v="0"/>
    <n v="11.538472978723403"/>
    <n v="0"/>
    <n v="14.426240875282669"/>
    <x v="2"/>
  </r>
  <r>
    <s v="Regular"/>
    <x v="1"/>
    <x v="1"/>
    <x v="1"/>
    <x v="5"/>
    <x v="0"/>
    <x v="0"/>
    <x v="1"/>
    <x v="4"/>
    <n v="0"/>
    <n v="0"/>
    <n v="0.7"/>
    <n v="0.7"/>
    <n v="0.7"/>
    <n v="0.7"/>
    <n v="0"/>
    <s v="CATIVO"/>
    <n v="0"/>
    <n v="0"/>
    <n v="28"/>
    <n v="65"/>
    <n v="0"/>
    <n v="268.26"/>
    <n v="221.63"/>
    <m/>
    <n v="371.9845343913355"/>
    <n v="240.51169066583299"/>
    <n v="0"/>
    <n v="21.888702127659574"/>
    <n v="0"/>
    <n v="27.366852608937315"/>
    <x v="2"/>
  </r>
  <r>
    <s v="Regular"/>
    <x v="1"/>
    <x v="1"/>
    <x v="1"/>
    <x v="5"/>
    <x v="0"/>
    <x v="0"/>
    <x v="1"/>
    <x v="5"/>
    <n v="0"/>
    <n v="0"/>
    <n v="2.4430000000000001"/>
    <n v="2.4430000000000001"/>
    <n v="2.4430000000000001"/>
    <n v="2.4430000000000001"/>
    <n v="0"/>
    <s v="CATIVO"/>
    <n v="0"/>
    <n v="0"/>
    <n v="28"/>
    <n v="65"/>
    <n v="0"/>
    <n v="268.26"/>
    <n v="221.63"/>
    <m/>
    <n v="371.9845343913355"/>
    <n v="240.51169066583299"/>
    <n v="0"/>
    <n v="76.39157042553191"/>
    <n v="0"/>
    <n v="95.510315605191238"/>
    <x v="2"/>
  </r>
  <r>
    <s v="Regular"/>
    <x v="1"/>
    <x v="1"/>
    <x v="1"/>
    <x v="5"/>
    <x v="0"/>
    <x v="0"/>
    <x v="1"/>
    <x v="6"/>
    <n v="0"/>
    <n v="0"/>
    <n v="2.0289999999999999"/>
    <n v="2.0289999999999999"/>
    <n v="2.0289999999999999"/>
    <n v="2.0289999999999999"/>
    <n v="0"/>
    <s v="CATIVO"/>
    <n v="0"/>
    <n v="0"/>
    <n v="28"/>
    <n v="65"/>
    <n v="0"/>
    <n v="268.26"/>
    <n v="221.63"/>
    <m/>
    <n v="371.9845343913355"/>
    <n v="240.51169066583299"/>
    <n v="0"/>
    <n v="63.445966595744672"/>
    <n v="0"/>
    <n v="79.32477706219116"/>
    <x v="2"/>
  </r>
  <r>
    <s v="Regular"/>
    <x v="1"/>
    <x v="1"/>
    <x v="1"/>
    <x v="5"/>
    <x v="0"/>
    <x v="0"/>
    <x v="1"/>
    <x v="7"/>
    <n v="0"/>
    <n v="0"/>
    <n v="2.347"/>
    <n v="2.347"/>
    <n v="2.347"/>
    <n v="2.347"/>
    <n v="0"/>
    <s v="CATIVO"/>
    <n v="0"/>
    <n v="0"/>
    <n v="28"/>
    <n v="65"/>
    <n v="0"/>
    <n v="268.26"/>
    <n v="221.63"/>
    <m/>
    <n v="371.9845343913355"/>
    <n v="240.51169066583299"/>
    <n v="0"/>
    <n v="73.389691276595755"/>
    <n v="0"/>
    <n v="91.757147247394101"/>
    <x v="2"/>
  </r>
  <r>
    <s v="Regular"/>
    <x v="1"/>
    <x v="1"/>
    <x v="1"/>
    <x v="5"/>
    <x v="0"/>
    <x v="0"/>
    <x v="1"/>
    <x v="8"/>
    <n v="0"/>
    <n v="0"/>
    <n v="0.98799999999999999"/>
    <n v="0.98799999999999999"/>
    <n v="0.98799999999999999"/>
    <n v="0.98799999999999999"/>
    <n v="0"/>
    <s v="CATIVO"/>
    <n v="0"/>
    <n v="0"/>
    <n v="28"/>
    <n v="65"/>
    <n v="0"/>
    <n v="268.26"/>
    <n v="221.63"/>
    <m/>
    <n v="371.9845343913355"/>
    <n v="240.51169066583299"/>
    <n v="0"/>
    <n v="30.894339574468088"/>
    <n v="0"/>
    <n v="38.626357682328667"/>
    <x v="2"/>
  </r>
  <r>
    <s v="Regular"/>
    <x v="1"/>
    <x v="1"/>
    <x v="1"/>
    <x v="5"/>
    <x v="0"/>
    <x v="0"/>
    <x v="1"/>
    <x v="9"/>
    <n v="0"/>
    <n v="0"/>
    <n v="2.86"/>
    <n v="2.86"/>
    <n v="2.86"/>
    <n v="2.86"/>
    <n v="0"/>
    <s v="CATIVO"/>
    <n v="0"/>
    <n v="0"/>
    <n v="28"/>
    <n v="65"/>
    <n v="0"/>
    <n v="268.26"/>
    <n v="221.63"/>
    <m/>
    <n v="371.9845343913355"/>
    <n v="240.51169066583299"/>
    <n v="0"/>
    <n v="89.430982978723407"/>
    <n v="0"/>
    <n v="111.81314065937246"/>
    <x v="2"/>
  </r>
  <r>
    <s v="Regular"/>
    <x v="1"/>
    <x v="1"/>
    <x v="1"/>
    <x v="5"/>
    <x v="0"/>
    <x v="0"/>
    <x v="1"/>
    <x v="10"/>
    <n v="0"/>
    <n v="0"/>
    <n v="2.86"/>
    <n v="2.86"/>
    <n v="2.86"/>
    <n v="2.86"/>
    <n v="0"/>
    <s v="CATIVO"/>
    <n v="0"/>
    <n v="0"/>
    <n v="28"/>
    <n v="65"/>
    <n v="0"/>
    <n v="268.26"/>
    <n v="221.63"/>
    <m/>
    <n v="371.9845343913355"/>
    <n v="240.51169066583299"/>
    <n v="0"/>
    <n v="89.430982978723407"/>
    <n v="0"/>
    <n v="111.81314065937246"/>
    <x v="2"/>
  </r>
  <r>
    <s v="Regular"/>
    <x v="1"/>
    <x v="1"/>
    <x v="1"/>
    <x v="5"/>
    <x v="0"/>
    <x v="0"/>
    <x v="1"/>
    <x v="11"/>
    <n v="0"/>
    <n v="0"/>
    <n v="0.88200000000000001"/>
    <n v="0.88200000000000001"/>
    <n v="0.88200000000000001"/>
    <n v="0.88200000000000001"/>
    <n v="0"/>
    <s v="CATIVO"/>
    <n v="0"/>
    <n v="0"/>
    <n v="28"/>
    <n v="65"/>
    <n v="0"/>
    <n v="268.26"/>
    <n v="221.63"/>
    <m/>
    <n v="371.9845343913355"/>
    <n v="240.51169066583299"/>
    <n v="0"/>
    <n v="27.579764680851067"/>
    <n v="0"/>
    <n v="34.482234287261008"/>
    <x v="2"/>
  </r>
  <r>
    <s v="Regular"/>
    <x v="1"/>
    <x v="1"/>
    <x v="1"/>
    <x v="5"/>
    <x v="0"/>
    <x v="0"/>
    <x v="2"/>
    <x v="0"/>
    <n v="0"/>
    <n v="0"/>
    <n v="0.02"/>
    <n v="0.02"/>
    <n v="0.02"/>
    <n v="0.02"/>
    <n v="0"/>
    <s v="CATIVO"/>
    <n v="0"/>
    <n v="0"/>
    <n v="27"/>
    <n v="64"/>
    <n v="0"/>
    <n v="679.72"/>
    <n v="221.63"/>
    <m/>
    <n v="937.00236250970033"/>
    <n v="240.51169066583299"/>
    <n v="0"/>
    <n v="1.1506595744680852"/>
    <n v="0"/>
    <n v="1.5032094295857872"/>
    <x v="2"/>
  </r>
  <r>
    <s v="Regular"/>
    <x v="1"/>
    <x v="1"/>
    <x v="1"/>
    <x v="5"/>
    <x v="0"/>
    <x v="0"/>
    <x v="2"/>
    <x v="1"/>
    <n v="0"/>
    <n v="0"/>
    <n v="0.02"/>
    <n v="0.02"/>
    <n v="0.02"/>
    <n v="0.02"/>
    <n v="0"/>
    <s v="CATIVO"/>
    <n v="0"/>
    <n v="0"/>
    <n v="27"/>
    <n v="64"/>
    <n v="0"/>
    <n v="679.72"/>
    <n v="221.63"/>
    <m/>
    <n v="937.00236250970033"/>
    <n v="240.51169066583299"/>
    <n v="0"/>
    <n v="1.1506595744680852"/>
    <n v="0"/>
    <n v="1.5032094295857872"/>
    <x v="2"/>
  </r>
  <r>
    <s v="Regular"/>
    <x v="1"/>
    <x v="1"/>
    <x v="1"/>
    <x v="5"/>
    <x v="0"/>
    <x v="0"/>
    <x v="2"/>
    <x v="2"/>
    <n v="0"/>
    <n v="0"/>
    <n v="1.9E-2"/>
    <n v="1.9E-2"/>
    <n v="1.9E-2"/>
    <n v="1.9E-2"/>
    <n v="0"/>
    <s v="CATIVO"/>
    <n v="0"/>
    <n v="0"/>
    <n v="27"/>
    <n v="64"/>
    <n v="0"/>
    <n v="679.72"/>
    <n v="221.63"/>
    <m/>
    <n v="937.00236250970033"/>
    <n v="240.51169066583299"/>
    <n v="0"/>
    <n v="1.093126595744681"/>
    <n v="0"/>
    <n v="1.4280489581064977"/>
    <x v="2"/>
  </r>
  <r>
    <s v="Regular"/>
    <x v="1"/>
    <x v="1"/>
    <x v="1"/>
    <x v="5"/>
    <x v="0"/>
    <x v="0"/>
    <x v="2"/>
    <x v="3"/>
    <n v="0"/>
    <n v="0"/>
    <n v="2.1000000000000001E-2"/>
    <n v="2.1000000000000001E-2"/>
    <n v="2.1000000000000001E-2"/>
    <n v="2.1000000000000001E-2"/>
    <n v="0"/>
    <s v="CATIVO"/>
    <n v="0"/>
    <n v="0"/>
    <n v="27"/>
    <n v="64"/>
    <n v="0"/>
    <n v="679.72"/>
    <n v="221.63"/>
    <m/>
    <n v="937.00236250970033"/>
    <n v="240.51169066583299"/>
    <n v="0"/>
    <n v="1.2081925531914894"/>
    <n v="0"/>
    <n v="1.5783699010650767"/>
    <x v="2"/>
  </r>
  <r>
    <s v="Regular"/>
    <x v="1"/>
    <x v="1"/>
    <x v="1"/>
    <x v="5"/>
    <x v="0"/>
    <x v="0"/>
    <x v="2"/>
    <x v="4"/>
    <n v="0"/>
    <n v="0"/>
    <n v="2.5000000000000001E-2"/>
    <n v="2.5000000000000001E-2"/>
    <n v="2.5000000000000001E-2"/>
    <n v="2.5000000000000001E-2"/>
    <n v="0"/>
    <s v="CATIVO"/>
    <n v="0"/>
    <n v="0"/>
    <n v="27"/>
    <n v="64"/>
    <n v="0"/>
    <n v="679.72"/>
    <n v="221.63"/>
    <m/>
    <n v="937.00236250970033"/>
    <n v="240.51169066583299"/>
    <n v="0"/>
    <n v="1.4383244680851064"/>
    <n v="0"/>
    <n v="1.879011786982234"/>
    <x v="2"/>
  </r>
  <r>
    <s v="Regular"/>
    <x v="1"/>
    <x v="1"/>
    <x v="1"/>
    <x v="5"/>
    <x v="0"/>
    <x v="0"/>
    <x v="2"/>
    <x v="5"/>
    <n v="0"/>
    <n v="0"/>
    <n v="3.9E-2"/>
    <n v="3.9E-2"/>
    <n v="3.9E-2"/>
    <n v="3.9E-2"/>
    <n v="0"/>
    <s v="CATIVO"/>
    <n v="0"/>
    <n v="0"/>
    <n v="27"/>
    <n v="64"/>
    <n v="0"/>
    <n v="679.72"/>
    <n v="221.63"/>
    <m/>
    <n v="937.00236250970033"/>
    <n v="240.51169066583299"/>
    <n v="0"/>
    <n v="2.2437861702127657"/>
    <n v="0"/>
    <n v="2.9312583876922851"/>
    <x v="2"/>
  </r>
  <r>
    <s v="Regular"/>
    <x v="1"/>
    <x v="1"/>
    <x v="1"/>
    <x v="5"/>
    <x v="0"/>
    <x v="0"/>
    <x v="2"/>
    <x v="6"/>
    <n v="0"/>
    <n v="0"/>
    <n v="5.1999999999999998E-2"/>
    <n v="5.1999999999999998E-2"/>
    <n v="5.1999999999999998E-2"/>
    <n v="5.1999999999999998E-2"/>
    <n v="0"/>
    <s v="CATIVO"/>
    <n v="0"/>
    <n v="0"/>
    <n v="27"/>
    <n v="64"/>
    <n v="0"/>
    <n v="679.72"/>
    <n v="221.63"/>
    <m/>
    <n v="937.00236250970033"/>
    <n v="240.51169066583299"/>
    <n v="0"/>
    <n v="2.9917148936170213"/>
    <n v="0"/>
    <n v="3.9083445169230466"/>
    <x v="2"/>
  </r>
  <r>
    <s v="Regular"/>
    <x v="1"/>
    <x v="1"/>
    <x v="1"/>
    <x v="5"/>
    <x v="0"/>
    <x v="0"/>
    <x v="2"/>
    <x v="7"/>
    <n v="0"/>
    <n v="0"/>
    <n v="0.1"/>
    <n v="0.1"/>
    <n v="0.1"/>
    <n v="0.1"/>
    <n v="0"/>
    <s v="CATIVO"/>
    <n v="0"/>
    <n v="0"/>
    <n v="27"/>
    <n v="64"/>
    <n v="0"/>
    <n v="679.72"/>
    <n v="221.63"/>
    <m/>
    <n v="937.00236250970033"/>
    <n v="240.51169066583299"/>
    <n v="0"/>
    <n v="5.7532978723404256"/>
    <n v="0"/>
    <n v="7.5160471479289361"/>
    <x v="2"/>
  </r>
  <r>
    <s v="Regular"/>
    <x v="1"/>
    <x v="1"/>
    <x v="1"/>
    <x v="5"/>
    <x v="0"/>
    <x v="0"/>
    <x v="2"/>
    <x v="8"/>
    <n v="0"/>
    <n v="0"/>
    <n v="4.2000000000000003E-2"/>
    <n v="4.2000000000000003E-2"/>
    <n v="4.2000000000000003E-2"/>
    <n v="4.2000000000000003E-2"/>
    <n v="0"/>
    <s v="CATIVO"/>
    <n v="0"/>
    <n v="0"/>
    <n v="27"/>
    <n v="64"/>
    <n v="0"/>
    <n v="679.72"/>
    <n v="221.63"/>
    <m/>
    <n v="937.00236250970033"/>
    <n v="240.51169066583299"/>
    <n v="0"/>
    <n v="2.4163851063829789"/>
    <n v="0"/>
    <n v="3.1567398021301534"/>
    <x v="2"/>
  </r>
  <r>
    <s v="Regular"/>
    <x v="1"/>
    <x v="1"/>
    <x v="1"/>
    <x v="5"/>
    <x v="0"/>
    <x v="0"/>
    <x v="2"/>
    <x v="9"/>
    <n v="0"/>
    <n v="0"/>
    <n v="0.105"/>
    <n v="0.105"/>
    <n v="0.105"/>
    <n v="0.105"/>
    <n v="0"/>
    <s v="CATIVO"/>
    <n v="0"/>
    <n v="0"/>
    <n v="27"/>
    <n v="64"/>
    <n v="0"/>
    <n v="679.72"/>
    <n v="221.63"/>
    <m/>
    <n v="937.00236250970033"/>
    <n v="240.51169066583299"/>
    <n v="0"/>
    <n v="6.0409627659574472"/>
    <n v="0"/>
    <n v="7.891849505325383"/>
    <x v="2"/>
  </r>
  <r>
    <s v="Regular"/>
    <x v="1"/>
    <x v="1"/>
    <x v="1"/>
    <x v="5"/>
    <x v="0"/>
    <x v="0"/>
    <x v="2"/>
    <x v="10"/>
    <n v="0"/>
    <n v="0"/>
    <n v="8.5000000000000006E-2"/>
    <n v="8.5000000000000006E-2"/>
    <n v="8.5000000000000006E-2"/>
    <n v="8.5000000000000006E-2"/>
    <n v="0"/>
    <s v="CATIVO"/>
    <n v="0"/>
    <n v="0"/>
    <n v="27"/>
    <n v="64"/>
    <n v="0"/>
    <n v="679.72"/>
    <n v="221.63"/>
    <m/>
    <n v="937.00236250970033"/>
    <n v="240.51169066583299"/>
    <n v="0"/>
    <n v="4.8903031914893624"/>
    <n v="0"/>
    <n v="6.3886400757395965"/>
    <x v="2"/>
  </r>
  <r>
    <s v="Regular"/>
    <x v="1"/>
    <x v="1"/>
    <x v="1"/>
    <x v="5"/>
    <x v="0"/>
    <x v="0"/>
    <x v="2"/>
    <x v="11"/>
    <n v="0"/>
    <n v="0"/>
    <n v="2.7E-2"/>
    <n v="2.7E-2"/>
    <n v="2.7E-2"/>
    <n v="2.7E-2"/>
    <n v="0"/>
    <s v="CATIVO"/>
    <n v="0"/>
    <n v="0"/>
    <n v="27"/>
    <n v="64"/>
    <n v="0"/>
    <n v="679.72"/>
    <n v="221.63"/>
    <m/>
    <n v="937.00236250970033"/>
    <n v="240.51169066583299"/>
    <n v="0"/>
    <n v="1.5533904255319149"/>
    <n v="0"/>
    <n v="2.0293327299408128"/>
    <x v="2"/>
  </r>
  <r>
    <s v="Regular"/>
    <x v="1"/>
    <x v="1"/>
    <x v="1"/>
    <x v="5"/>
    <x v="0"/>
    <x v="0"/>
    <x v="0"/>
    <x v="0"/>
    <n v="0"/>
    <n v="0"/>
    <n v="0.33700000000000002"/>
    <n v="0.33700000000000002"/>
    <n v="0.33700000000000002"/>
    <n v="0.33700000000000002"/>
    <n v="5"/>
    <s v="CATIVO"/>
    <n v="0"/>
    <n v="0"/>
    <n v="29"/>
    <n v="66"/>
    <n v="0"/>
    <n v="448.29"/>
    <n v="221.63"/>
    <m/>
    <n v="619.209664567809"/>
    <n v="240.51169066583299"/>
    <n v="0"/>
    <n v="14.41040680851064"/>
    <n v="0"/>
    <n v="18.493155109387491"/>
    <x v="2"/>
  </r>
  <r>
    <s v="Regular"/>
    <x v="1"/>
    <x v="1"/>
    <x v="1"/>
    <x v="5"/>
    <x v="0"/>
    <x v="0"/>
    <x v="0"/>
    <x v="1"/>
    <n v="0"/>
    <n v="0"/>
    <n v="0.36699999999999999"/>
    <n v="0.36699999999999999"/>
    <n v="0.36699999999999999"/>
    <n v="0.36699999999999999"/>
    <n v="5"/>
    <s v="CATIVO"/>
    <n v="0"/>
    <n v="0"/>
    <n v="29"/>
    <n v="66"/>
    <n v="0"/>
    <n v="448.29"/>
    <n v="221.63"/>
    <m/>
    <n v="619.209664567809"/>
    <n v="240.51169066583299"/>
    <n v="0"/>
    <n v="15.693232340425535"/>
    <n v="0"/>
    <n v="20.139430044941271"/>
    <x v="2"/>
  </r>
  <r>
    <s v="Regular"/>
    <x v="1"/>
    <x v="1"/>
    <x v="1"/>
    <x v="5"/>
    <x v="0"/>
    <x v="0"/>
    <x v="0"/>
    <x v="2"/>
    <n v="0"/>
    <n v="0"/>
    <n v="0.27700000000000002"/>
    <n v="0.27700000000000002"/>
    <n v="0.27700000000000002"/>
    <n v="0.27700000000000002"/>
    <n v="5"/>
    <s v="CATIVO"/>
    <n v="0"/>
    <n v="0"/>
    <n v="29"/>
    <n v="66"/>
    <n v="0"/>
    <n v="448.29"/>
    <n v="221.63"/>
    <m/>
    <n v="619.209664567809"/>
    <n v="240.51169066583299"/>
    <n v="0"/>
    <n v="11.844755744680853"/>
    <n v="0"/>
    <n v="15.200605238279927"/>
    <x v="2"/>
  </r>
  <r>
    <s v="Regular"/>
    <x v="1"/>
    <x v="1"/>
    <x v="1"/>
    <x v="5"/>
    <x v="0"/>
    <x v="0"/>
    <x v="0"/>
    <x v="3"/>
    <n v="0"/>
    <n v="0"/>
    <n v="0.27"/>
    <n v="0.27"/>
    <n v="0.27"/>
    <n v="0.27"/>
    <n v="5"/>
    <s v="CATIVO"/>
    <n v="0"/>
    <n v="0"/>
    <n v="29"/>
    <n v="66"/>
    <n v="0"/>
    <n v="448.29"/>
    <n v="221.63"/>
    <m/>
    <n v="619.209664567809"/>
    <n v="240.51169066583299"/>
    <n v="0"/>
    <n v="11.545429787234042"/>
    <n v="0"/>
    <n v="14.816474419984043"/>
    <x v="2"/>
  </r>
  <r>
    <s v="Regular"/>
    <x v="1"/>
    <x v="1"/>
    <x v="1"/>
    <x v="5"/>
    <x v="0"/>
    <x v="0"/>
    <x v="0"/>
    <x v="4"/>
    <n v="0"/>
    <n v="0"/>
    <n v="0.154"/>
    <n v="0.154"/>
    <n v="0.154"/>
    <n v="0.154"/>
    <n v="6"/>
    <s v="CATIVO"/>
    <n v="0"/>
    <n v="0"/>
    <n v="29"/>
    <n v="66"/>
    <n v="0"/>
    <n v="448.29"/>
    <n v="221.63"/>
    <m/>
    <n v="619.209664567809"/>
    <n v="240.51169066583299"/>
    <n v="0"/>
    <n v="6.5851710638297867"/>
    <n v="0"/>
    <n v="8.4508780025094179"/>
    <x v="2"/>
  </r>
  <r>
    <s v="Regular"/>
    <x v="1"/>
    <x v="1"/>
    <x v="1"/>
    <x v="5"/>
    <x v="0"/>
    <x v="0"/>
    <x v="0"/>
    <x v="5"/>
    <n v="0"/>
    <n v="0"/>
    <n v="8.8999999999999996E-2"/>
    <n v="8.8999999999999996E-2"/>
    <n v="8.8999999999999996E-2"/>
    <n v="8.8999999999999996E-2"/>
    <n v="6"/>
    <s v="CATIVO"/>
    <n v="0"/>
    <n v="0"/>
    <n v="29"/>
    <n v="66"/>
    <n v="0"/>
    <n v="448.29"/>
    <n v="221.63"/>
    <m/>
    <n v="619.209664567809"/>
    <n v="240.51169066583299"/>
    <n v="0"/>
    <n v="3.8057157446808509"/>
    <n v="0"/>
    <n v="4.8839489754762218"/>
    <x v="2"/>
  </r>
  <r>
    <s v="Regular"/>
    <x v="1"/>
    <x v="1"/>
    <x v="1"/>
    <x v="5"/>
    <x v="0"/>
    <x v="0"/>
    <x v="0"/>
    <x v="6"/>
    <n v="0"/>
    <n v="0"/>
    <n v="0.128"/>
    <n v="0.128"/>
    <n v="0.128"/>
    <n v="0.128"/>
    <n v="6"/>
    <s v="CATIVO"/>
    <n v="0"/>
    <n v="0"/>
    <n v="29"/>
    <n v="66"/>
    <n v="0"/>
    <n v="448.29"/>
    <n v="221.63"/>
    <m/>
    <n v="619.209664567809"/>
    <n v="240.51169066583299"/>
    <n v="0"/>
    <n v="5.4733889361702142"/>
    <n v="0"/>
    <n v="7.0241063916961393"/>
    <x v="2"/>
  </r>
  <r>
    <s v="Regular"/>
    <x v="1"/>
    <x v="1"/>
    <x v="1"/>
    <x v="5"/>
    <x v="0"/>
    <x v="0"/>
    <x v="0"/>
    <x v="7"/>
    <n v="0"/>
    <n v="0"/>
    <n v="5.7000000000000002E-2"/>
    <n v="5.7000000000000002E-2"/>
    <n v="5.7000000000000002E-2"/>
    <n v="5.7000000000000002E-2"/>
    <n v="7"/>
    <s v="CATIVO"/>
    <n v="0"/>
    <n v="0"/>
    <n v="29"/>
    <n v="66"/>
    <n v="0"/>
    <n v="448.29"/>
    <n v="221.63"/>
    <m/>
    <n v="619.209664567809"/>
    <n v="240.51169066583299"/>
    <n v="0"/>
    <n v="2.4373685106382981"/>
    <n v="0"/>
    <n v="3.1279223775521872"/>
    <x v="2"/>
  </r>
  <r>
    <s v="Regular"/>
    <x v="1"/>
    <x v="1"/>
    <x v="1"/>
    <x v="5"/>
    <x v="0"/>
    <x v="0"/>
    <x v="0"/>
    <x v="8"/>
    <n v="0"/>
    <n v="0"/>
    <n v="0.14799999999999999"/>
    <n v="0.14799999999999999"/>
    <n v="0.14799999999999999"/>
    <n v="0.14799999999999999"/>
    <n v="8"/>
    <s v="CATIVO"/>
    <n v="0"/>
    <n v="0"/>
    <n v="29"/>
    <n v="66"/>
    <n v="0"/>
    <n v="448.29"/>
    <n v="221.63"/>
    <m/>
    <n v="619.209664567809"/>
    <n v="240.51169066583299"/>
    <n v="0"/>
    <n v="6.3286059574468077"/>
    <n v="0"/>
    <n v="8.1216230153986597"/>
    <x v="2"/>
  </r>
  <r>
    <s v="Regular"/>
    <x v="1"/>
    <x v="1"/>
    <x v="1"/>
    <x v="5"/>
    <x v="0"/>
    <x v="0"/>
    <x v="0"/>
    <x v="9"/>
    <n v="0"/>
    <n v="0"/>
    <n v="9.9000000000000005E-2"/>
    <n v="9.9000000000000005E-2"/>
    <n v="9.9000000000000005E-2"/>
    <n v="9.9000000000000005E-2"/>
    <n v="8"/>
    <s v="CATIVO"/>
    <n v="0"/>
    <n v="0"/>
    <n v="29"/>
    <n v="66"/>
    <n v="0"/>
    <n v="448.29"/>
    <n v="221.63"/>
    <m/>
    <n v="619.209664567809"/>
    <n v="240.51169066583299"/>
    <n v="0"/>
    <n v="4.2333242553191486"/>
    <n v="0"/>
    <n v="5.4327072873274824"/>
    <x v="2"/>
  </r>
  <r>
    <s v="Regular"/>
    <x v="1"/>
    <x v="1"/>
    <x v="1"/>
    <x v="5"/>
    <x v="0"/>
    <x v="0"/>
    <x v="0"/>
    <x v="10"/>
    <n v="0"/>
    <n v="0"/>
    <n v="0.106"/>
    <n v="0.106"/>
    <n v="0.106"/>
    <n v="0.106"/>
    <n v="8"/>
    <s v="CATIVO"/>
    <n v="0"/>
    <n v="0"/>
    <n v="29"/>
    <n v="66"/>
    <n v="0"/>
    <n v="448.29"/>
    <n v="221.63"/>
    <m/>
    <n v="619.209664567809"/>
    <n v="240.51169066583299"/>
    <n v="0"/>
    <n v="4.5326502127659571"/>
    <n v="0"/>
    <n v="5.8168381056233649"/>
    <x v="2"/>
  </r>
  <r>
    <s v="Regular"/>
    <x v="1"/>
    <x v="1"/>
    <x v="1"/>
    <x v="5"/>
    <x v="0"/>
    <x v="0"/>
    <x v="0"/>
    <x v="11"/>
    <n v="0"/>
    <n v="0"/>
    <n v="0.184"/>
    <n v="0.184"/>
    <n v="0.184"/>
    <n v="0.184"/>
    <n v="8"/>
    <s v="CATIVO"/>
    <n v="0"/>
    <n v="0"/>
    <n v="29"/>
    <n v="66"/>
    <n v="0"/>
    <n v="448.29"/>
    <n v="221.63"/>
    <m/>
    <n v="619.209664567809"/>
    <n v="240.51169066583299"/>
    <n v="0"/>
    <n v="7.8679965957446809"/>
    <n v="0"/>
    <n v="10.0971529380632"/>
    <x v="2"/>
  </r>
  <r>
    <s v="Regular"/>
    <x v="1"/>
    <x v="1"/>
    <x v="1"/>
    <x v="5"/>
    <x v="0"/>
    <x v="0"/>
    <x v="3"/>
    <x v="0"/>
    <n v="0"/>
    <n v="0"/>
    <n v="0.03"/>
    <n v="0.03"/>
    <n v="0.03"/>
    <n v="0.03"/>
    <n v="0"/>
    <s v="CATIVO"/>
    <n v="0"/>
    <n v="0"/>
    <n v="26"/>
    <n v="63"/>
    <n v="0"/>
    <n v="1091.18"/>
    <n v="221.63"/>
    <m/>
    <n v="1502.0208840343589"/>
    <n v="240.51169066583299"/>
    <n v="0"/>
    <n v="2.5138914893617019"/>
    <n v="0"/>
    <n v="3.3367645047450476"/>
    <x v="2"/>
  </r>
  <r>
    <s v="Regular"/>
    <x v="1"/>
    <x v="1"/>
    <x v="1"/>
    <x v="5"/>
    <x v="0"/>
    <x v="0"/>
    <x v="3"/>
    <x v="1"/>
    <n v="0"/>
    <n v="0"/>
    <n v="0.03"/>
    <n v="0.03"/>
    <n v="0.03"/>
    <n v="0.03"/>
    <n v="0"/>
    <s v="CATIVO"/>
    <n v="0"/>
    <n v="0"/>
    <n v="26"/>
    <n v="63"/>
    <n v="0"/>
    <n v="1091.18"/>
    <n v="221.63"/>
    <m/>
    <n v="1502.0208840343589"/>
    <n v="240.51169066583299"/>
    <n v="0"/>
    <n v="2.5138914893617019"/>
    <n v="0"/>
    <n v="3.3367645047450476"/>
    <x v="2"/>
  </r>
  <r>
    <s v="Regular"/>
    <x v="1"/>
    <x v="1"/>
    <x v="1"/>
    <x v="5"/>
    <x v="0"/>
    <x v="0"/>
    <x v="3"/>
    <x v="2"/>
    <n v="0"/>
    <n v="0"/>
    <n v="2.9000000000000001E-2"/>
    <n v="2.9000000000000001E-2"/>
    <n v="2.9000000000000001E-2"/>
    <n v="2.9000000000000001E-2"/>
    <n v="0"/>
    <s v="CATIVO"/>
    <n v="0"/>
    <n v="0"/>
    <n v="26"/>
    <n v="63"/>
    <n v="0"/>
    <n v="1091.18"/>
    <n v="221.63"/>
    <m/>
    <n v="1502.0208840343589"/>
    <n v="240.51169066583299"/>
    <n v="0"/>
    <n v="2.430095106382979"/>
    <n v="0"/>
    <n v="3.2255390212535473"/>
    <x v="2"/>
  </r>
  <r>
    <s v="Regular"/>
    <x v="1"/>
    <x v="1"/>
    <x v="1"/>
    <x v="5"/>
    <x v="0"/>
    <x v="0"/>
    <x v="3"/>
    <x v="3"/>
    <n v="0"/>
    <n v="0"/>
    <n v="0.03"/>
    <n v="0.03"/>
    <n v="0.03"/>
    <n v="0.03"/>
    <n v="0"/>
    <s v="CATIVO"/>
    <n v="0"/>
    <n v="0"/>
    <n v="26"/>
    <n v="63"/>
    <n v="0"/>
    <n v="1091.18"/>
    <n v="221.63"/>
    <m/>
    <n v="1502.0208840343589"/>
    <n v="240.51169066583299"/>
    <n v="0"/>
    <n v="2.5138914893617019"/>
    <n v="0"/>
    <n v="3.3367645047450476"/>
    <x v="2"/>
  </r>
  <r>
    <s v="Regular"/>
    <x v="1"/>
    <x v="1"/>
    <x v="1"/>
    <x v="5"/>
    <x v="0"/>
    <x v="0"/>
    <x v="3"/>
    <x v="4"/>
    <n v="0"/>
    <n v="0"/>
    <n v="2.8000000000000001E-2"/>
    <n v="2.8000000000000001E-2"/>
    <n v="2.8000000000000001E-2"/>
    <n v="2.8000000000000001E-2"/>
    <n v="0"/>
    <s v="CATIVO"/>
    <n v="0"/>
    <n v="0"/>
    <n v="26"/>
    <n v="63"/>
    <n v="0"/>
    <n v="1091.18"/>
    <n v="221.63"/>
    <m/>
    <n v="1502.0208840343589"/>
    <n v="240.51169066583299"/>
    <n v="0"/>
    <n v="2.346298723404256"/>
    <n v="0"/>
    <n v="3.1143135377620457"/>
    <x v="2"/>
  </r>
  <r>
    <s v="Regular"/>
    <x v="1"/>
    <x v="1"/>
    <x v="1"/>
    <x v="5"/>
    <x v="0"/>
    <x v="0"/>
    <x v="3"/>
    <x v="5"/>
    <n v="0"/>
    <n v="0"/>
    <n v="1.4E-2"/>
    <n v="1.4E-2"/>
    <n v="1.4E-2"/>
    <n v="1.4E-2"/>
    <n v="0"/>
    <s v="CATIVO"/>
    <n v="0"/>
    <n v="0"/>
    <n v="26"/>
    <n v="63"/>
    <n v="0"/>
    <n v="1091.18"/>
    <n v="221.63"/>
    <m/>
    <n v="1502.0208840343589"/>
    <n v="240.51169066583299"/>
    <n v="0"/>
    <n v="1.173149361702128"/>
    <n v="0"/>
    <n v="1.5571567688810228"/>
    <x v="2"/>
  </r>
  <r>
    <s v="Regular"/>
    <x v="1"/>
    <x v="1"/>
    <x v="1"/>
    <x v="5"/>
    <x v="0"/>
    <x v="0"/>
    <x v="3"/>
    <x v="6"/>
    <n v="0"/>
    <n v="0"/>
    <n v="0.01"/>
    <n v="0.01"/>
    <n v="0.01"/>
    <n v="0.01"/>
    <n v="0"/>
    <s v="CATIVO"/>
    <n v="0"/>
    <n v="0"/>
    <n v="26"/>
    <n v="63"/>
    <n v="0"/>
    <n v="1091.18"/>
    <n v="221.63"/>
    <m/>
    <n v="1502.0208840343589"/>
    <n v="240.51169066583299"/>
    <n v="0"/>
    <n v="0.83796382978723416"/>
    <n v="0"/>
    <n v="1.1122548349150161"/>
    <x v="2"/>
  </r>
  <r>
    <s v="Regular"/>
    <x v="1"/>
    <x v="1"/>
    <x v="1"/>
    <x v="5"/>
    <x v="0"/>
    <x v="0"/>
    <x v="3"/>
    <x v="7"/>
    <n v="0"/>
    <n v="0"/>
    <n v="2.7E-2"/>
    <n v="2.7E-2"/>
    <n v="2.7E-2"/>
    <n v="2.7E-2"/>
    <n v="0"/>
    <s v="CATIVO"/>
    <n v="0"/>
    <n v="0"/>
    <n v="26"/>
    <n v="63"/>
    <n v="0"/>
    <n v="1091.18"/>
    <n v="221.63"/>
    <m/>
    <n v="1502.0208840343589"/>
    <n v="240.51169066583299"/>
    <n v="0"/>
    <n v="2.2625023404255318"/>
    <n v="0"/>
    <n v="3.0030880542705436"/>
    <x v="2"/>
  </r>
  <r>
    <s v="Regular"/>
    <x v="1"/>
    <x v="1"/>
    <x v="1"/>
    <x v="5"/>
    <x v="0"/>
    <x v="0"/>
    <x v="3"/>
    <x v="8"/>
    <n v="0"/>
    <n v="0"/>
    <n v="4.2000000000000003E-2"/>
    <n v="4.2000000000000003E-2"/>
    <n v="4.2000000000000003E-2"/>
    <n v="4.2000000000000003E-2"/>
    <n v="0"/>
    <s v="CATIVO"/>
    <n v="0"/>
    <n v="0"/>
    <n v="26"/>
    <n v="63"/>
    <n v="0"/>
    <n v="1091.18"/>
    <n v="221.63"/>
    <m/>
    <n v="1502.0208840343589"/>
    <n v="240.51169066583299"/>
    <n v="0"/>
    <n v="3.5194480851063839"/>
    <n v="0"/>
    <n v="4.6714703066430685"/>
    <x v="2"/>
  </r>
  <r>
    <s v="Regular"/>
    <x v="1"/>
    <x v="1"/>
    <x v="1"/>
    <x v="5"/>
    <x v="0"/>
    <x v="0"/>
    <x v="3"/>
    <x v="9"/>
    <n v="0"/>
    <n v="0"/>
    <n v="3.6999999999999998E-2"/>
    <n v="3.6999999999999998E-2"/>
    <n v="3.6999999999999998E-2"/>
    <n v="3.6999999999999998E-2"/>
    <n v="0"/>
    <s v="CATIVO"/>
    <n v="0"/>
    <n v="0"/>
    <n v="26"/>
    <n v="63"/>
    <n v="0"/>
    <n v="1091.18"/>
    <n v="221.63"/>
    <m/>
    <n v="1502.0208840343589"/>
    <n v="240.51169066583299"/>
    <n v="0"/>
    <n v="3.100466170212766"/>
    <n v="0"/>
    <n v="4.1153428891855608"/>
    <x v="2"/>
  </r>
  <r>
    <s v="Regular"/>
    <x v="1"/>
    <x v="1"/>
    <x v="1"/>
    <x v="5"/>
    <x v="0"/>
    <x v="0"/>
    <x v="3"/>
    <x v="10"/>
    <n v="0"/>
    <n v="0"/>
    <n v="3.6999999999999998E-2"/>
    <n v="3.6999999999999998E-2"/>
    <n v="3.6999999999999998E-2"/>
    <n v="3.6999999999999998E-2"/>
    <n v="0"/>
    <s v="CATIVO"/>
    <n v="0"/>
    <n v="0"/>
    <n v="26"/>
    <n v="63"/>
    <n v="0"/>
    <n v="1091.18"/>
    <n v="221.63"/>
    <m/>
    <n v="1502.0208840343589"/>
    <n v="240.51169066583299"/>
    <n v="0"/>
    <n v="3.100466170212766"/>
    <n v="0"/>
    <n v="4.1153428891855608"/>
    <x v="2"/>
  </r>
  <r>
    <s v="Regular"/>
    <x v="1"/>
    <x v="1"/>
    <x v="1"/>
    <x v="5"/>
    <x v="0"/>
    <x v="0"/>
    <x v="3"/>
    <x v="11"/>
    <n v="0"/>
    <n v="0"/>
    <n v="2.7E-2"/>
    <n v="2.7E-2"/>
    <n v="2.7E-2"/>
    <n v="2.7E-2"/>
    <n v="0"/>
    <s v="CATIVO"/>
    <n v="0"/>
    <n v="0"/>
    <n v="26"/>
    <n v="63"/>
    <n v="0"/>
    <n v="1091.18"/>
    <n v="221.63"/>
    <m/>
    <n v="1502.0208840343589"/>
    <n v="240.51169066583299"/>
    <n v="0"/>
    <n v="2.2625023404255318"/>
    <n v="0"/>
    <n v="3.0030880542705436"/>
    <x v="2"/>
  </r>
  <r>
    <s v="Regular"/>
    <x v="1"/>
    <x v="0"/>
    <x v="1"/>
    <x v="6"/>
    <x v="1"/>
    <x v="0"/>
    <x v="0"/>
    <x v="0"/>
    <n v="0"/>
    <n v="0"/>
    <n v="1.0669999999999999"/>
    <n v="1.0669999999999999"/>
    <n v="1.0669999999999999"/>
    <n v="1.0669999999999999"/>
    <n v="0"/>
    <s v="CATIVO"/>
    <n v="0"/>
    <n v="0"/>
    <n v="29"/>
    <n v="66"/>
    <n v="0"/>
    <n v="448.29"/>
    <n v="221.63"/>
    <m/>
    <n v="619.209664567809"/>
    <n v="240.51169066583299"/>
    <n v="0"/>
    <n v="97.481119999999947"/>
    <n v="0"/>
    <n v="58.552511874529621"/>
    <x v="2"/>
  </r>
  <r>
    <s v="Regular"/>
    <x v="1"/>
    <x v="0"/>
    <x v="1"/>
    <x v="6"/>
    <x v="1"/>
    <x v="0"/>
    <x v="0"/>
    <x v="1"/>
    <n v="0"/>
    <n v="0"/>
    <n v="1.21"/>
    <n v="1.21"/>
    <n v="1.21"/>
    <n v="1.21"/>
    <n v="0"/>
    <s v="CATIVO"/>
    <n v="0"/>
    <n v="0"/>
    <n v="29"/>
    <n v="66"/>
    <n v="0"/>
    <n v="448.29"/>
    <n v="221.63"/>
    <m/>
    <n v="619.209664567809"/>
    <n v="240.51169066583299"/>
    <n v="0"/>
    <n v="110.54559999999995"/>
    <n v="0"/>
    <n v="66.399755734002667"/>
    <x v="2"/>
  </r>
  <r>
    <s v="Regular"/>
    <x v="1"/>
    <x v="0"/>
    <x v="1"/>
    <x v="6"/>
    <x v="1"/>
    <x v="0"/>
    <x v="0"/>
    <x v="2"/>
    <n v="0"/>
    <n v="0"/>
    <n v="1.7809999999999999"/>
    <n v="1.7809999999999999"/>
    <n v="1.7809999999999999"/>
    <n v="1.7809999999999999"/>
    <n v="0"/>
    <s v="CATIVO"/>
    <n v="0"/>
    <n v="0"/>
    <n v="29"/>
    <n v="66"/>
    <n v="0"/>
    <n v="448.29"/>
    <n v="221.63"/>
    <m/>
    <n v="619.209664567809"/>
    <n v="240.51169066583299"/>
    <n v="0"/>
    <n v="162.71215999999993"/>
    <n v="0"/>
    <n v="97.733855340709709"/>
    <x v="2"/>
  </r>
  <r>
    <s v="Regular"/>
    <x v="1"/>
    <x v="0"/>
    <x v="1"/>
    <x v="6"/>
    <x v="1"/>
    <x v="0"/>
    <x v="0"/>
    <x v="3"/>
    <n v="0"/>
    <n v="0"/>
    <n v="1.48"/>
    <n v="1.48"/>
    <n v="1.48"/>
    <n v="1.48"/>
    <n v="0"/>
    <s v="CATIVO"/>
    <n v="0"/>
    <n v="0"/>
    <n v="29"/>
    <n v="66"/>
    <n v="0"/>
    <n v="448.29"/>
    <n v="221.63"/>
    <m/>
    <n v="619.209664567809"/>
    <n v="240.51169066583299"/>
    <n v="0"/>
    <n v="135.21279999999993"/>
    <n v="0"/>
    <n v="81.216230153986743"/>
    <x v="2"/>
  </r>
  <r>
    <s v="Regular"/>
    <x v="1"/>
    <x v="0"/>
    <x v="1"/>
    <x v="6"/>
    <x v="1"/>
    <x v="0"/>
    <x v="0"/>
    <x v="4"/>
    <n v="0"/>
    <n v="0"/>
    <n v="4.3639999999999999"/>
    <n v="4.3639999999999999"/>
    <n v="4.3639999999999999"/>
    <n v="4.3639999999999999"/>
    <n v="0"/>
    <s v="CATIVO"/>
    <n v="0"/>
    <n v="0"/>
    <n v="29"/>
    <n v="66"/>
    <n v="0"/>
    <n v="448.29"/>
    <n v="221.63"/>
    <m/>
    <n v="619.209664567809"/>
    <n v="240.51169066583299"/>
    <n v="0"/>
    <n v="398.69503999999978"/>
    <n v="0"/>
    <n v="239.47812729189062"/>
    <x v="2"/>
  </r>
  <r>
    <s v="Regular"/>
    <x v="1"/>
    <x v="0"/>
    <x v="1"/>
    <x v="6"/>
    <x v="1"/>
    <x v="0"/>
    <x v="0"/>
    <x v="5"/>
    <n v="0"/>
    <n v="0"/>
    <n v="10.007"/>
    <n v="10.007"/>
    <n v="10.007"/>
    <n v="10.007"/>
    <n v="0"/>
    <s v="CATIVO"/>
    <n v="0"/>
    <n v="0"/>
    <n v="29"/>
    <n v="66"/>
    <n v="0"/>
    <n v="448.29"/>
    <n v="221.63"/>
    <m/>
    <n v="619.209664567809"/>
    <n v="240.51169066583299"/>
    <n v="0"/>
    <n v="914.23951999999952"/>
    <n v="0"/>
    <n v="549.14244266955757"/>
    <x v="2"/>
  </r>
  <r>
    <s v="Regular"/>
    <x v="1"/>
    <x v="0"/>
    <x v="1"/>
    <x v="6"/>
    <x v="1"/>
    <x v="0"/>
    <x v="0"/>
    <x v="6"/>
    <n v="0"/>
    <n v="0"/>
    <n v="8.7550000000000008"/>
    <n v="8.7550000000000008"/>
    <n v="8.7550000000000008"/>
    <n v="8.7550000000000008"/>
    <n v="0"/>
    <s v="CATIVO"/>
    <n v="0"/>
    <n v="0"/>
    <n v="29"/>
    <n v="66"/>
    <n v="0"/>
    <n v="448.29"/>
    <n v="221.63"/>
    <m/>
    <n v="619.209664567809"/>
    <n v="240.51169066583299"/>
    <n v="0"/>
    <n v="799.85679999999968"/>
    <n v="0"/>
    <n v="480.43790202577969"/>
    <x v="2"/>
  </r>
  <r>
    <s v="Regular"/>
    <x v="1"/>
    <x v="0"/>
    <x v="1"/>
    <x v="6"/>
    <x v="1"/>
    <x v="0"/>
    <x v="0"/>
    <x v="7"/>
    <n v="0"/>
    <n v="0"/>
    <n v="7.0979999999999999"/>
    <n v="7.0979999999999999"/>
    <n v="7.0979999999999999"/>
    <n v="7.0979999999999999"/>
    <n v="0"/>
    <s v="CATIVO"/>
    <n v="0"/>
    <n v="0"/>
    <n v="29"/>
    <n v="66"/>
    <n v="0"/>
    <n v="448.29"/>
    <n v="221.63"/>
    <m/>
    <n v="619.209664567809"/>
    <n v="240.51169066583299"/>
    <n v="0"/>
    <n v="648.4732799999997"/>
    <n v="0"/>
    <n v="389.50864975202558"/>
    <x v="2"/>
  </r>
  <r>
    <s v="Regular"/>
    <x v="1"/>
    <x v="0"/>
    <x v="1"/>
    <x v="6"/>
    <x v="1"/>
    <x v="0"/>
    <x v="0"/>
    <x v="8"/>
    <n v="0"/>
    <n v="0"/>
    <n v="6.3410000000000002"/>
    <n v="6.3410000000000002"/>
    <n v="6.3410000000000002"/>
    <n v="6.3410000000000002"/>
    <n v="0"/>
    <s v="CATIVO"/>
    <n v="0"/>
    <n v="0"/>
    <n v="29"/>
    <n v="66"/>
    <n v="0"/>
    <n v="448.29"/>
    <n v="221.63"/>
    <m/>
    <n v="619.209664567809"/>
    <n v="240.51169066583299"/>
    <n v="0"/>
    <n v="579.31375999999977"/>
    <n v="0"/>
    <n v="347.9676455448851"/>
    <x v="2"/>
  </r>
  <r>
    <s v="Regular"/>
    <x v="1"/>
    <x v="0"/>
    <x v="1"/>
    <x v="6"/>
    <x v="1"/>
    <x v="0"/>
    <x v="0"/>
    <x v="9"/>
    <n v="0"/>
    <n v="0"/>
    <n v="7.7309999999999999"/>
    <n v="7.7309999999999999"/>
    <n v="7.7309999999999999"/>
    <n v="7.7309999999999999"/>
    <n v="0"/>
    <s v="CATIVO"/>
    <n v="0"/>
    <n v="0"/>
    <n v="29"/>
    <n v="66"/>
    <n v="0"/>
    <n v="448.29"/>
    <n v="221.63"/>
    <m/>
    <n v="619.209664567809"/>
    <n v="240.51169066583299"/>
    <n v="0"/>
    <n v="706.30415999999968"/>
    <n v="0"/>
    <n v="424.24505089221043"/>
    <x v="2"/>
  </r>
  <r>
    <s v="Regular"/>
    <x v="1"/>
    <x v="0"/>
    <x v="1"/>
    <x v="6"/>
    <x v="1"/>
    <x v="0"/>
    <x v="0"/>
    <x v="10"/>
    <n v="0"/>
    <n v="0"/>
    <n v="6.0869999999999997"/>
    <n v="6.0869999999999997"/>
    <n v="6.0869999999999997"/>
    <n v="6.0869999999999997"/>
    <n v="0"/>
    <s v="CATIVO"/>
    <n v="0"/>
    <n v="0"/>
    <n v="29"/>
    <n v="66"/>
    <n v="0"/>
    <n v="448.29"/>
    <n v="221.63"/>
    <m/>
    <n v="619.209664567809"/>
    <n v="240.51169066583299"/>
    <n v="0"/>
    <n v="556.10831999999971"/>
    <n v="0"/>
    <n v="334.029184423863"/>
    <x v="2"/>
  </r>
  <r>
    <s v="Regular"/>
    <x v="1"/>
    <x v="0"/>
    <x v="1"/>
    <x v="6"/>
    <x v="1"/>
    <x v="0"/>
    <x v="0"/>
    <x v="11"/>
    <n v="0"/>
    <n v="0"/>
    <n v="5.8929999999999998"/>
    <n v="5.8929999999999998"/>
    <n v="5.8929999999999998"/>
    <n v="5.8929999999999998"/>
    <n v="0"/>
    <s v="CATIVO"/>
    <n v="0"/>
    <n v="0"/>
    <n v="29"/>
    <n v="66"/>
    <n v="0"/>
    <n v="448.29"/>
    <n v="221.63"/>
    <m/>
    <n v="619.209664567809"/>
    <n v="240.51169066583299"/>
    <n v="0"/>
    <n v="538.38447999999971"/>
    <n v="0"/>
    <n v="323.38327317394851"/>
    <x v="2"/>
  </r>
  <r>
    <s v="Regular"/>
    <x v="1"/>
    <x v="0"/>
    <x v="1"/>
    <x v="6"/>
    <x v="2"/>
    <x v="0"/>
    <x v="0"/>
    <x v="0"/>
    <n v="0"/>
    <n v="0"/>
    <n v="0.34399999999999997"/>
    <n v="9.2880000000000004E-2"/>
    <n v="0.34399999999999997"/>
    <n v="9.2880000000000004E-2"/>
    <n v="0"/>
    <s v="CATIVO"/>
    <n v="0"/>
    <n v="0"/>
    <n v="29"/>
    <n v="66"/>
    <n v="0"/>
    <n v="448.29"/>
    <n v="221.63"/>
    <m/>
    <n v="619.209664567809"/>
    <n v="240.51169066583299"/>
    <n v="0"/>
    <n v="199.65815039999995"/>
    <n v="0"/>
    <n v="234.77051265395556"/>
    <x v="3"/>
  </r>
  <r>
    <s v="Regular"/>
    <x v="1"/>
    <x v="0"/>
    <x v="1"/>
    <x v="6"/>
    <x v="2"/>
    <x v="0"/>
    <x v="0"/>
    <x v="1"/>
    <n v="0"/>
    <n v="0"/>
    <n v="0.34200000000000003"/>
    <n v="9.2340000000000005E-2"/>
    <n v="0.34200000000000003"/>
    <n v="9.2340000000000005E-2"/>
    <n v="0"/>
    <s v="CATIVO"/>
    <n v="0"/>
    <n v="0"/>
    <n v="29"/>
    <n v="66"/>
    <n v="0"/>
    <n v="448.29"/>
    <n v="221.63"/>
    <m/>
    <n v="619.209664567809"/>
    <n v="240.51169066583299"/>
    <n v="0"/>
    <n v="198.49734720000001"/>
    <n v="0"/>
    <n v="233.40556781294424"/>
    <x v="3"/>
  </r>
  <r>
    <s v="Regular"/>
    <x v="1"/>
    <x v="0"/>
    <x v="1"/>
    <x v="6"/>
    <x v="2"/>
    <x v="0"/>
    <x v="0"/>
    <x v="2"/>
    <n v="0"/>
    <n v="0"/>
    <n v="0.56999999999999995"/>
    <n v="0.15390000000000001"/>
    <n v="0.56999999999999995"/>
    <n v="0.15390000000000001"/>
    <n v="0"/>
    <s v="CATIVO"/>
    <n v="0"/>
    <n v="0"/>
    <n v="29"/>
    <n v="66"/>
    <n v="0"/>
    <n v="448.29"/>
    <n v="221.63"/>
    <m/>
    <n v="619.209664567809"/>
    <n v="240.51169066583299"/>
    <n v="0"/>
    <n v="330.82891199999995"/>
    <n v="0"/>
    <n v="389.00927968824033"/>
    <x v="3"/>
  </r>
  <r>
    <s v="Regular"/>
    <x v="1"/>
    <x v="0"/>
    <x v="1"/>
    <x v="6"/>
    <x v="2"/>
    <x v="0"/>
    <x v="0"/>
    <x v="3"/>
    <n v="0"/>
    <n v="0"/>
    <n v="0.66600000000000004"/>
    <n v="0.17982000000000001"/>
    <n v="0.66600000000000004"/>
    <n v="0.17982000000000001"/>
    <n v="0"/>
    <s v="CATIVO"/>
    <n v="0"/>
    <n v="0"/>
    <n v="29"/>
    <n v="66"/>
    <n v="0"/>
    <n v="448.29"/>
    <n v="221.63"/>
    <m/>
    <n v="619.209664567809"/>
    <n v="240.51169066583299"/>
    <n v="0"/>
    <n v="386.54746560000007"/>
    <n v="0"/>
    <n v="454.52663205678618"/>
    <x v="3"/>
  </r>
  <r>
    <s v="Regular"/>
    <x v="1"/>
    <x v="0"/>
    <x v="1"/>
    <x v="6"/>
    <x v="2"/>
    <x v="0"/>
    <x v="0"/>
    <x v="4"/>
    <n v="0"/>
    <n v="0"/>
    <n v="1.4950000000000001"/>
    <n v="0.40365000000000001"/>
    <n v="1.4950000000000001"/>
    <n v="0.40365000000000001"/>
    <n v="0"/>
    <s v="CATIVO"/>
    <n v="0"/>
    <n v="0"/>
    <n v="29"/>
    <n v="66"/>
    <n v="0"/>
    <n v="448.29"/>
    <n v="221.63"/>
    <m/>
    <n v="619.209664567809"/>
    <n v="240.51169066583299"/>
    <n v="0"/>
    <n v="867.70039200000008"/>
    <n v="0"/>
    <n v="1020.2962686559989"/>
    <x v="3"/>
  </r>
  <r>
    <s v="Regular"/>
    <x v="1"/>
    <x v="0"/>
    <x v="1"/>
    <x v="6"/>
    <x v="2"/>
    <x v="0"/>
    <x v="0"/>
    <x v="5"/>
    <n v="0"/>
    <n v="0"/>
    <n v="7.0389999999999997"/>
    <n v="1.9005300000000001"/>
    <n v="7.0389999999999997"/>
    <n v="1.9005300000000001"/>
    <n v="0"/>
    <s v="CATIVO"/>
    <n v="0"/>
    <n v="0"/>
    <n v="29"/>
    <n v="66"/>
    <n v="0"/>
    <n v="448.29"/>
    <n v="221.63"/>
    <m/>
    <n v="619.209664567809"/>
    <n v="240.51169066583299"/>
    <n v="0"/>
    <n v="4085.4468623999996"/>
    <n v="0"/>
    <n v="4803.9233679395156"/>
    <x v="3"/>
  </r>
  <r>
    <s v="Regular"/>
    <x v="1"/>
    <x v="0"/>
    <x v="1"/>
    <x v="6"/>
    <x v="2"/>
    <x v="0"/>
    <x v="0"/>
    <x v="6"/>
    <n v="0"/>
    <n v="0"/>
    <n v="6.0309999999999997"/>
    <n v="1.6283700000000001"/>
    <n v="6.0309999999999997"/>
    <n v="1.6283700000000001"/>
    <n v="0"/>
    <s v="CATIVO"/>
    <n v="0"/>
    <n v="0"/>
    <n v="29"/>
    <n v="66"/>
    <n v="0"/>
    <n v="448.29"/>
    <n v="221.63"/>
    <m/>
    <n v="619.209664567809"/>
    <n v="240.51169066583299"/>
    <n v="0"/>
    <n v="3500.4020495999998"/>
    <n v="0"/>
    <n v="4115.9911680697851"/>
    <x v="3"/>
  </r>
  <r>
    <s v="Regular"/>
    <x v="1"/>
    <x v="0"/>
    <x v="1"/>
    <x v="6"/>
    <x v="2"/>
    <x v="0"/>
    <x v="0"/>
    <x v="7"/>
    <n v="0"/>
    <n v="0"/>
    <n v="5.9320000000000004"/>
    <n v="1.60164"/>
    <n v="5.9320000000000004"/>
    <n v="1.60164"/>
    <n v="0"/>
    <s v="CATIVO"/>
    <n v="0"/>
    <n v="0"/>
    <n v="29"/>
    <n v="66"/>
    <n v="0"/>
    <n v="448.29"/>
    <n v="221.63"/>
    <m/>
    <n v="619.209664567809"/>
    <n v="240.51169066583299"/>
    <n v="0"/>
    <n v="3442.9422912000005"/>
    <n v="0"/>
    <n v="4048.4263984397235"/>
    <x v="3"/>
  </r>
  <r>
    <s v="Regular"/>
    <x v="1"/>
    <x v="0"/>
    <x v="1"/>
    <x v="6"/>
    <x v="2"/>
    <x v="0"/>
    <x v="0"/>
    <x v="8"/>
    <n v="0"/>
    <n v="0"/>
    <n v="8.2620000000000005"/>
    <n v="2.2307399999999999"/>
    <n v="8.2620000000000005"/>
    <n v="2.2307399999999999"/>
    <n v="0"/>
    <s v="CATIVO"/>
    <n v="0"/>
    <n v="0"/>
    <n v="29"/>
    <n v="66"/>
    <n v="0"/>
    <n v="448.29"/>
    <n v="221.63"/>
    <m/>
    <n v="619.209664567809"/>
    <n v="240.51169066583299"/>
    <n v="0"/>
    <n v="4795.2780192"/>
    <n v="0"/>
    <n v="5638.5871382179685"/>
    <x v="3"/>
  </r>
  <r>
    <s v="Regular"/>
    <x v="1"/>
    <x v="0"/>
    <x v="1"/>
    <x v="6"/>
    <x v="2"/>
    <x v="0"/>
    <x v="0"/>
    <x v="9"/>
    <n v="0"/>
    <n v="0"/>
    <n v="5.62"/>
    <n v="1.5174000000000001"/>
    <n v="5.62"/>
    <n v="1.5174000000000001"/>
    <n v="0"/>
    <s v="CATIVO"/>
    <n v="0"/>
    <n v="0"/>
    <n v="29"/>
    <n v="66"/>
    <n v="0"/>
    <n v="448.29"/>
    <n v="221.63"/>
    <m/>
    <n v="619.209664567809"/>
    <n v="240.51169066583299"/>
    <n v="0"/>
    <n v="3261.856992"/>
    <n v="0"/>
    <n v="3835.4950032419488"/>
    <x v="3"/>
  </r>
  <r>
    <s v="Regular"/>
    <x v="1"/>
    <x v="0"/>
    <x v="1"/>
    <x v="6"/>
    <x v="2"/>
    <x v="0"/>
    <x v="0"/>
    <x v="10"/>
    <n v="0"/>
    <n v="0"/>
    <n v="6.157"/>
    <n v="1.66239"/>
    <n v="6.157"/>
    <n v="1.66239"/>
    <n v="0"/>
    <s v="CATIVO"/>
    <n v="0"/>
    <n v="0"/>
    <n v="29"/>
    <n v="66"/>
    <n v="0"/>
    <n v="448.29"/>
    <n v="221.63"/>
    <m/>
    <n v="619.209664567809"/>
    <n v="240.51169066583299"/>
    <n v="0"/>
    <n v="3573.5326512000001"/>
    <n v="0"/>
    <n v="4201.9826930535019"/>
    <x v="3"/>
  </r>
  <r>
    <s v="Regular"/>
    <x v="1"/>
    <x v="0"/>
    <x v="1"/>
    <x v="6"/>
    <x v="2"/>
    <x v="0"/>
    <x v="0"/>
    <x v="11"/>
    <n v="0"/>
    <n v="0"/>
    <n v="3.532"/>
    <n v="0.95364000000000004"/>
    <n v="3.532"/>
    <n v="0.95364000000000004"/>
    <n v="0"/>
    <s v="CATIVO"/>
    <n v="0"/>
    <n v="0"/>
    <n v="29"/>
    <n v="66"/>
    <n v="0"/>
    <n v="448.29"/>
    <n v="221.63"/>
    <m/>
    <n v="619.209664567809"/>
    <n v="240.51169066583299"/>
    <n v="0"/>
    <n v="2049.9784512000001"/>
    <n v="0"/>
    <n v="2410.492589226079"/>
    <x v="3"/>
  </r>
  <r>
    <s v="Regular"/>
    <x v="1"/>
    <x v="0"/>
    <x v="1"/>
    <x v="5"/>
    <x v="0"/>
    <x v="0"/>
    <x v="0"/>
    <x v="0"/>
    <n v="0"/>
    <n v="0"/>
    <n v="206.80799999999999"/>
    <n v="206.80799999999999"/>
    <n v="206.80799999999999"/>
    <n v="206.80799999999999"/>
    <n v="1819"/>
    <s v="CATIVO"/>
    <n v="0"/>
    <n v="0"/>
    <n v="29"/>
    <n v="66"/>
    <n v="0"/>
    <n v="448.29"/>
    <n v="221.63"/>
    <m/>
    <n v="619.209664567809"/>
    <n v="240.51169066583299"/>
    <n v="0"/>
    <n v="18893.978879999991"/>
    <n v="0"/>
    <n v="11348.760895733574"/>
    <x v="2"/>
  </r>
  <r>
    <s v="Regular"/>
    <x v="1"/>
    <x v="0"/>
    <x v="1"/>
    <x v="5"/>
    <x v="0"/>
    <x v="0"/>
    <x v="0"/>
    <x v="1"/>
    <n v="0"/>
    <n v="0"/>
    <n v="202.642"/>
    <n v="202.642"/>
    <n v="202.642"/>
    <n v="202.642"/>
    <n v="1812"/>
    <s v="CATIVO"/>
    <n v="0"/>
    <n v="0"/>
    <n v="29"/>
    <n v="66"/>
    <n v="0"/>
    <n v="448.29"/>
    <n v="221.63"/>
    <m/>
    <n v="619.209664567809"/>
    <n v="240.51169066583299"/>
    <n v="0"/>
    <n v="18513.373119999989"/>
    <n v="0"/>
    <n v="11120.148183016337"/>
    <x v="2"/>
  </r>
  <r>
    <s v="Sistema de Compensação"/>
    <x v="1"/>
    <x v="0"/>
    <x v="1"/>
    <x v="5"/>
    <x v="0"/>
    <x v="0"/>
    <x v="0"/>
    <x v="1"/>
    <n v="0"/>
    <n v="0"/>
    <n v="1.649"/>
    <n v="1.649"/>
    <n v="1.649"/>
    <n v="1.649"/>
    <n v="5"/>
    <s v="CATIVO"/>
    <n v="0"/>
    <n v="0"/>
    <n v="29"/>
    <n v="66"/>
    <n v="0"/>
    <n v="448.29"/>
    <n v="221.63"/>
    <m/>
    <n v="619.209664567809"/>
    <n v="240.51169066583299"/>
    <n v="0"/>
    <n v="150.65263999999993"/>
    <n v="0"/>
    <n v="90.490245624273058"/>
    <x v="2"/>
  </r>
  <r>
    <s v="Regular"/>
    <x v="1"/>
    <x v="0"/>
    <x v="1"/>
    <x v="5"/>
    <x v="0"/>
    <x v="0"/>
    <x v="0"/>
    <x v="2"/>
    <n v="0"/>
    <n v="0"/>
    <n v="182.971"/>
    <n v="182.971"/>
    <n v="182.971"/>
    <n v="182.971"/>
    <n v="1807"/>
    <s v="CATIVO"/>
    <n v="0"/>
    <n v="0"/>
    <n v="29"/>
    <n v="66"/>
    <n v="0"/>
    <n v="448.29"/>
    <n v="221.63"/>
    <m/>
    <n v="619.209664567809"/>
    <n v="240.51169066583299"/>
    <n v="0"/>
    <n v="16716.230559999993"/>
    <n v="0"/>
    <n v="10040.685707773722"/>
    <x v="2"/>
  </r>
  <r>
    <s v="Sistema de Compensação"/>
    <x v="1"/>
    <x v="0"/>
    <x v="1"/>
    <x v="5"/>
    <x v="0"/>
    <x v="0"/>
    <x v="0"/>
    <x v="2"/>
    <n v="0"/>
    <n v="0"/>
    <n v="1.875"/>
    <n v="1.875"/>
    <n v="1.875"/>
    <n v="1.875"/>
    <n v="6"/>
    <s v="CATIVO"/>
    <n v="0"/>
    <n v="0"/>
    <n v="29"/>
    <n v="66"/>
    <n v="0"/>
    <n v="448.29"/>
    <n v="221.63"/>
    <m/>
    <n v="619.209664567809"/>
    <n v="240.51169066583299"/>
    <n v="0"/>
    <n v="171.29999999999993"/>
    <n v="0"/>
    <n v="102.89218347211158"/>
    <x v="2"/>
  </r>
  <r>
    <s v="Regular"/>
    <x v="1"/>
    <x v="0"/>
    <x v="1"/>
    <x v="5"/>
    <x v="0"/>
    <x v="0"/>
    <x v="0"/>
    <x v="3"/>
    <n v="0"/>
    <n v="0"/>
    <n v="181.00299999999999"/>
    <n v="181.00299999999999"/>
    <n v="181.00299999999999"/>
    <n v="181.00299999999999"/>
    <n v="1792"/>
    <s v="CATIVO"/>
    <n v="0"/>
    <n v="0"/>
    <n v="29"/>
    <n v="66"/>
    <n v="0"/>
    <n v="448.29"/>
    <n v="221.63"/>
    <m/>
    <n v="619.209664567809"/>
    <n v="240.51169066583299"/>
    <n v="0"/>
    <n v="16536.434079999992"/>
    <n v="0"/>
    <n v="9932.6900720013928"/>
    <x v="2"/>
  </r>
  <r>
    <s v="Sistema de Compensação"/>
    <x v="1"/>
    <x v="0"/>
    <x v="1"/>
    <x v="5"/>
    <x v="0"/>
    <x v="0"/>
    <x v="0"/>
    <x v="3"/>
    <n v="0"/>
    <n v="0"/>
    <n v="3.98"/>
    <n v="3.98"/>
    <n v="3.98"/>
    <n v="3.98"/>
    <n v="6"/>
    <s v="CATIVO"/>
    <n v="0"/>
    <n v="0"/>
    <n v="29"/>
    <n v="66"/>
    <n v="0"/>
    <n v="448.29"/>
    <n v="221.63"/>
    <m/>
    <n v="619.209664567809"/>
    <n v="240.51169066583299"/>
    <n v="0"/>
    <n v="363.61279999999982"/>
    <n v="0"/>
    <n v="218.40580811680218"/>
    <x v="2"/>
  </r>
  <r>
    <s v="Regular"/>
    <x v="1"/>
    <x v="0"/>
    <x v="1"/>
    <x v="5"/>
    <x v="0"/>
    <x v="0"/>
    <x v="0"/>
    <x v="4"/>
    <n v="0"/>
    <n v="0"/>
    <n v="186.982"/>
    <n v="186.982"/>
    <n v="186.982"/>
    <n v="186.982"/>
    <n v="1778"/>
    <s v="CATIVO"/>
    <n v="0"/>
    <n v="0"/>
    <n v="29"/>
    <n v="66"/>
    <n v="0"/>
    <n v="448.29"/>
    <n v="221.63"/>
    <m/>
    <n v="619.209664567809"/>
    <n v="240.51169066583299"/>
    <n v="0"/>
    <n v="17082.675519999993"/>
    <n v="0"/>
    <n v="10260.792666657262"/>
    <x v="2"/>
  </r>
  <r>
    <s v="Sistema de Compensação"/>
    <x v="1"/>
    <x v="0"/>
    <x v="1"/>
    <x v="5"/>
    <x v="0"/>
    <x v="0"/>
    <x v="0"/>
    <x v="4"/>
    <n v="0"/>
    <n v="0"/>
    <n v="3.367"/>
    <n v="3.367"/>
    <n v="3.367"/>
    <n v="3.367"/>
    <n v="7"/>
    <s v="CATIVO"/>
    <n v="0"/>
    <n v="0"/>
    <n v="29"/>
    <n v="66"/>
    <n v="0"/>
    <n v="448.29"/>
    <n v="221.63"/>
    <m/>
    <n v="619.209664567809"/>
    <n v="240.51169066583299"/>
    <n v="0"/>
    <n v="307.60911999999985"/>
    <n v="0"/>
    <n v="184.76692360031981"/>
    <x v="2"/>
  </r>
  <r>
    <s v="Regular"/>
    <x v="1"/>
    <x v="0"/>
    <x v="1"/>
    <x v="5"/>
    <x v="0"/>
    <x v="0"/>
    <x v="0"/>
    <x v="5"/>
    <n v="0"/>
    <n v="0"/>
    <n v="193.477"/>
    <n v="193.477"/>
    <n v="193.477"/>
    <n v="193.477"/>
    <n v="1761"/>
    <s v="CATIVO"/>
    <n v="0"/>
    <n v="0"/>
    <n v="29"/>
    <n v="66"/>
    <n v="0"/>
    <n v="448.29"/>
    <n v="221.63"/>
    <m/>
    <n v="619.209664567809"/>
    <n v="240.51169066583299"/>
    <n v="0"/>
    <n v="17676.058719999994"/>
    <n v="0"/>
    <n v="10617.211190204656"/>
    <x v="2"/>
  </r>
  <r>
    <s v="Sistema de Compensação"/>
    <x v="1"/>
    <x v="0"/>
    <x v="1"/>
    <x v="5"/>
    <x v="0"/>
    <x v="0"/>
    <x v="0"/>
    <x v="5"/>
    <n v="0"/>
    <n v="0"/>
    <n v="1.6419999999999999"/>
    <n v="1.6419999999999999"/>
    <n v="1.6419999999999999"/>
    <n v="1.6419999999999999"/>
    <n v="7"/>
    <s v="CATIVO"/>
    <n v="0"/>
    <n v="0"/>
    <n v="29"/>
    <n v="66"/>
    <n v="0"/>
    <n v="448.29"/>
    <n v="221.63"/>
    <m/>
    <n v="619.209664567809"/>
    <n v="240.51169066583299"/>
    <n v="0"/>
    <n v="150.01311999999993"/>
    <n v="0"/>
    <n v="90.106114805977171"/>
    <x v="2"/>
  </r>
  <r>
    <s v="Regular"/>
    <x v="1"/>
    <x v="0"/>
    <x v="1"/>
    <x v="5"/>
    <x v="0"/>
    <x v="0"/>
    <x v="0"/>
    <x v="6"/>
    <n v="0"/>
    <n v="0"/>
    <n v="233.98599999999999"/>
    <n v="233.98599999999999"/>
    <n v="233.98599999999999"/>
    <n v="233.98599999999999"/>
    <n v="1752"/>
    <s v="CATIVO"/>
    <n v="0"/>
    <n v="0"/>
    <n v="29"/>
    <n v="66"/>
    <n v="0"/>
    <n v="448.29"/>
    <n v="221.63"/>
    <m/>
    <n v="619.209664567809"/>
    <n v="240.51169066583299"/>
    <n v="0"/>
    <n v="21376.960959999989"/>
    <n v="0"/>
    <n v="12840.176235682933"/>
    <x v="2"/>
  </r>
  <r>
    <s v="Sistema de Compensação"/>
    <x v="1"/>
    <x v="0"/>
    <x v="1"/>
    <x v="5"/>
    <x v="0"/>
    <x v="0"/>
    <x v="0"/>
    <x v="6"/>
    <n v="0"/>
    <n v="0"/>
    <n v="5.5339999999999998"/>
    <n v="5.5339999999999998"/>
    <n v="5.5339999999999998"/>
    <n v="5.5339999999999998"/>
    <n v="7"/>
    <s v="CATIVO"/>
    <n v="0"/>
    <n v="0"/>
    <n v="29"/>
    <n v="66"/>
    <n v="0"/>
    <n v="448.29"/>
    <n v="221.63"/>
    <m/>
    <n v="619.209664567809"/>
    <n v="240.51169066583299"/>
    <n v="0"/>
    <n v="505.58623999999975"/>
    <n v="0"/>
    <n v="303.68284977848822"/>
    <x v="2"/>
  </r>
  <r>
    <s v="Regular"/>
    <x v="1"/>
    <x v="0"/>
    <x v="1"/>
    <x v="5"/>
    <x v="0"/>
    <x v="0"/>
    <x v="0"/>
    <x v="7"/>
    <n v="0"/>
    <n v="0"/>
    <n v="212.27"/>
    <n v="212.27"/>
    <n v="212.27"/>
    <n v="212.27"/>
    <n v="1736"/>
    <s v="CATIVO"/>
    <n v="0"/>
    <n v="0"/>
    <n v="29"/>
    <n v="66"/>
    <n v="0"/>
    <n v="448.29"/>
    <n v="221.63"/>
    <m/>
    <n v="619.209664567809"/>
    <n v="240.51169066583299"/>
    <n v="0"/>
    <n v="19392.987199999992"/>
    <n v="0"/>
    <n v="11648.492685666733"/>
    <x v="2"/>
  </r>
  <r>
    <s v="Sistema de Compensação"/>
    <x v="1"/>
    <x v="0"/>
    <x v="1"/>
    <x v="5"/>
    <x v="0"/>
    <x v="0"/>
    <x v="0"/>
    <x v="7"/>
    <n v="0"/>
    <n v="0"/>
    <n v="0.88800000000000001"/>
    <n v="0.88800000000000001"/>
    <n v="0.88800000000000001"/>
    <n v="0.88800000000000001"/>
    <n v="8"/>
    <s v="CATIVO"/>
    <n v="0"/>
    <n v="0"/>
    <n v="29"/>
    <n v="66"/>
    <n v="0"/>
    <n v="448.29"/>
    <n v="221.63"/>
    <m/>
    <n v="619.209664567809"/>
    <n v="240.51169066583299"/>
    <n v="0"/>
    <n v="81.12767999999997"/>
    <n v="0"/>
    <n v="48.72973809239204"/>
    <x v="2"/>
  </r>
  <r>
    <s v="Regular"/>
    <x v="1"/>
    <x v="0"/>
    <x v="1"/>
    <x v="5"/>
    <x v="0"/>
    <x v="0"/>
    <x v="0"/>
    <x v="8"/>
    <n v="0"/>
    <n v="0"/>
    <n v="196.99100000000001"/>
    <n v="196.99100000000001"/>
    <n v="196.99100000000001"/>
    <n v="196.99100000000001"/>
    <n v="1715"/>
    <s v="CATIVO"/>
    <n v="0"/>
    <n v="0"/>
    <n v="29"/>
    <n v="66"/>
    <n v="0"/>
    <n v="448.29"/>
    <n v="221.63"/>
    <m/>
    <n v="619.209664567809"/>
    <n v="240.51169066583299"/>
    <n v="0"/>
    <n v="17997.097759999993"/>
    <n v="0"/>
    <n v="10810.04486098919"/>
    <x v="2"/>
  </r>
  <r>
    <s v="Sistema de Compensação"/>
    <x v="1"/>
    <x v="0"/>
    <x v="1"/>
    <x v="5"/>
    <x v="0"/>
    <x v="0"/>
    <x v="0"/>
    <x v="8"/>
    <n v="0"/>
    <n v="0"/>
    <n v="8.8620000000000001"/>
    <n v="8.8620000000000001"/>
    <n v="8.8620000000000001"/>
    <n v="8.8620000000000001"/>
    <n v="8"/>
    <s v="CATIVO"/>
    <n v="0"/>
    <n v="0"/>
    <n v="29"/>
    <n v="66"/>
    <n v="0"/>
    <n v="448.29"/>
    <n v="221.63"/>
    <m/>
    <n v="619.209664567809"/>
    <n v="240.51169066583299"/>
    <n v="0"/>
    <n v="809.63231999999959"/>
    <n v="0"/>
    <n v="486.30961596258817"/>
    <x v="2"/>
  </r>
  <r>
    <s v="Regular"/>
    <x v="1"/>
    <x v="0"/>
    <x v="1"/>
    <x v="5"/>
    <x v="0"/>
    <x v="0"/>
    <x v="0"/>
    <x v="9"/>
    <n v="0"/>
    <n v="0"/>
    <n v="194.405"/>
    <n v="194.405"/>
    <n v="194.405"/>
    <n v="194.405"/>
    <n v="1596"/>
    <s v="CATIVO"/>
    <n v="0"/>
    <n v="0"/>
    <n v="29"/>
    <n v="66"/>
    <n v="0"/>
    <n v="448.29"/>
    <n v="221.63"/>
    <m/>
    <n v="619.209664567809"/>
    <n v="240.51169066583299"/>
    <n v="0"/>
    <n v="17760.840799999991"/>
    <n v="0"/>
    <n v="10668.135961544454"/>
    <x v="2"/>
  </r>
  <r>
    <s v="Sistema de Compensação"/>
    <x v="1"/>
    <x v="0"/>
    <x v="1"/>
    <x v="5"/>
    <x v="0"/>
    <x v="0"/>
    <x v="0"/>
    <x v="9"/>
    <n v="0"/>
    <n v="0"/>
    <n v="10.568"/>
    <n v="10.568"/>
    <n v="10.568"/>
    <n v="10.568"/>
    <n v="8"/>
    <s v="CATIVO"/>
    <n v="0"/>
    <n v="0"/>
    <n v="29"/>
    <n v="66"/>
    <n v="0"/>
    <n v="448.29"/>
    <n v="221.63"/>
    <m/>
    <n v="619.209664567809"/>
    <n v="240.51169066583299"/>
    <n v="0"/>
    <n v="965.49247999999955"/>
    <n v="0"/>
    <n v="579.92778396441338"/>
    <x v="2"/>
  </r>
  <r>
    <s v="Regular"/>
    <x v="1"/>
    <x v="0"/>
    <x v="1"/>
    <x v="5"/>
    <x v="0"/>
    <x v="0"/>
    <x v="0"/>
    <x v="10"/>
    <n v="0"/>
    <n v="0"/>
    <n v="211.785"/>
    <n v="211.785"/>
    <n v="211.785"/>
    <n v="211.785"/>
    <n v="1573"/>
    <s v="CATIVO"/>
    <n v="0"/>
    <n v="0"/>
    <n v="29"/>
    <n v="66"/>
    <n v="0"/>
    <n v="448.29"/>
    <n v="221.63"/>
    <m/>
    <n v="619.209664567809"/>
    <n v="240.51169066583299"/>
    <n v="0"/>
    <n v="19348.677599999992"/>
    <n v="0"/>
    <n v="11621.877907541946"/>
    <x v="2"/>
  </r>
  <r>
    <s v="Sistema de Compensação"/>
    <x v="1"/>
    <x v="0"/>
    <x v="1"/>
    <x v="5"/>
    <x v="0"/>
    <x v="0"/>
    <x v="0"/>
    <x v="10"/>
    <n v="0"/>
    <n v="0"/>
    <n v="1.1879999999999999"/>
    <n v="1.1879999999999999"/>
    <n v="1.1879999999999999"/>
    <n v="1.1879999999999999"/>
    <n v="8"/>
    <s v="CATIVO"/>
    <n v="0"/>
    <n v="0"/>
    <n v="29"/>
    <n v="66"/>
    <n v="0"/>
    <n v="448.29"/>
    <n v="221.63"/>
    <m/>
    <n v="619.209664567809"/>
    <n v="240.51169066583299"/>
    <n v="0"/>
    <n v="108.53567999999994"/>
    <n v="0"/>
    <n v="65.192487447929892"/>
    <x v="2"/>
  </r>
  <r>
    <s v="Regular"/>
    <x v="1"/>
    <x v="0"/>
    <x v="1"/>
    <x v="5"/>
    <x v="0"/>
    <x v="0"/>
    <x v="0"/>
    <x v="11"/>
    <n v="0"/>
    <n v="0"/>
    <n v="184.376"/>
    <n v="184.376"/>
    <n v="184.376"/>
    <n v="184.376"/>
    <n v="1537"/>
    <s v="CATIVO"/>
    <n v="0"/>
    <n v="0"/>
    <n v="29"/>
    <n v="66"/>
    <n v="0"/>
    <n v="448.29"/>
    <n v="221.63"/>
    <m/>
    <n v="619.209664567809"/>
    <n v="240.51169066583299"/>
    <n v="0"/>
    <n v="16844.591359999991"/>
    <n v="0"/>
    <n v="10117.786250588824"/>
    <x v="2"/>
  </r>
  <r>
    <s v="Sistema de Compensação"/>
    <x v="1"/>
    <x v="0"/>
    <x v="1"/>
    <x v="5"/>
    <x v="0"/>
    <x v="0"/>
    <x v="0"/>
    <x v="11"/>
    <n v="0"/>
    <n v="0"/>
    <n v="12.340999999999999"/>
    <n v="12.340999999999999"/>
    <n v="12.340999999999999"/>
    <n v="12.340999999999999"/>
    <n v="7"/>
    <s v="CATIVO"/>
    <n v="0"/>
    <n v="0"/>
    <n v="29"/>
    <n v="66"/>
    <n v="0"/>
    <n v="448.29"/>
    <n v="221.63"/>
    <m/>
    <n v="619.209664567809"/>
    <n v="240.51169066583299"/>
    <n v="0"/>
    <n v="1127.4737599999994"/>
    <n v="0"/>
    <n v="677.22263265564209"/>
    <x v="2"/>
  </r>
  <r>
    <s v="Regular"/>
    <x v="2"/>
    <x v="0"/>
    <x v="2"/>
    <x v="7"/>
    <x v="0"/>
    <x v="0"/>
    <x v="0"/>
    <x v="0"/>
    <n v="0"/>
    <n v="0"/>
    <n v="60.37"/>
    <n v="56.747799999999991"/>
    <n v="60.37"/>
    <n v="56.747799999999991"/>
    <n v="9"/>
    <s v="CATIVO"/>
    <n v="0"/>
    <n v="0"/>
    <n v="44"/>
    <n v="81"/>
    <n v="0"/>
    <n v="509.43"/>
    <n v="251.85"/>
    <m/>
    <n v="658.73368571043511"/>
    <n v="255.86350070833299"/>
    <n v="0"/>
    <n v="2757.5084160000051"/>
    <n v="0"/>
    <n v="3312.8539286460677"/>
    <x v="4"/>
  </r>
  <r>
    <s v="Regular"/>
    <x v="2"/>
    <x v="0"/>
    <x v="2"/>
    <x v="7"/>
    <x v="0"/>
    <x v="0"/>
    <x v="0"/>
    <x v="1"/>
    <n v="0"/>
    <n v="0"/>
    <n v="66.103999999999999"/>
    <n v="62.137759999999993"/>
    <n v="66.103999999999999"/>
    <n v="62.137759999999993"/>
    <n v="9"/>
    <s v="CATIVO"/>
    <n v="0"/>
    <n v="0"/>
    <n v="44"/>
    <n v="81"/>
    <n v="0"/>
    <n v="509.43"/>
    <n v="251.85"/>
    <m/>
    <n v="658.73368571043511"/>
    <n v="255.86350070833299"/>
    <n v="0"/>
    <n v="3019.4191872000047"/>
    <n v="0"/>
    <n v="3627.5119446615804"/>
    <x v="4"/>
  </r>
  <r>
    <s v="Regular"/>
    <x v="2"/>
    <x v="0"/>
    <x v="2"/>
    <x v="7"/>
    <x v="0"/>
    <x v="0"/>
    <x v="0"/>
    <x v="2"/>
    <n v="0"/>
    <n v="0"/>
    <n v="64.19"/>
    <n v="60.3386"/>
    <n v="64.19"/>
    <n v="60.3386"/>
    <n v="9"/>
    <s v="CATIVO"/>
    <n v="0"/>
    <n v="0"/>
    <n v="44"/>
    <n v="81"/>
    <n v="0"/>
    <n v="509.43"/>
    <n v="251.85"/>
    <m/>
    <n v="658.73368571043511"/>
    <n v="255.86350070833299"/>
    <n v="0"/>
    <n v="2931.9937919999988"/>
    <n v="0"/>
    <n v="3522.4796037732422"/>
    <x v="4"/>
  </r>
  <r>
    <s v="Regular"/>
    <x v="2"/>
    <x v="0"/>
    <x v="2"/>
    <x v="7"/>
    <x v="0"/>
    <x v="0"/>
    <x v="0"/>
    <x v="3"/>
    <n v="0"/>
    <n v="0"/>
    <n v="55.654000000000003"/>
    <n v="52.31476"/>
    <n v="55.654000000000003"/>
    <n v="52.31476"/>
    <n v="9"/>
    <s v="CATIVO"/>
    <n v="0"/>
    <n v="0"/>
    <n v="44"/>
    <n v="81"/>
    <n v="0"/>
    <n v="509.43"/>
    <n v="251.85"/>
    <m/>
    <n v="658.73368571043511"/>
    <n v="255.86350070833299"/>
    <n v="0"/>
    <n v="2542.0966272000028"/>
    <n v="0"/>
    <n v="3054.0595087770107"/>
    <x v="4"/>
  </r>
  <r>
    <s v="Regular"/>
    <x v="2"/>
    <x v="0"/>
    <x v="2"/>
    <x v="7"/>
    <x v="0"/>
    <x v="0"/>
    <x v="0"/>
    <x v="4"/>
    <n v="0"/>
    <n v="0"/>
    <n v="65.501999999999995"/>
    <n v="61.57188"/>
    <n v="65.501999999999995"/>
    <n v="61.57188"/>
    <n v="9"/>
    <s v="CATIVO"/>
    <n v="0"/>
    <n v="0"/>
    <n v="44"/>
    <n v="81"/>
    <n v="0"/>
    <n v="509.43"/>
    <n v="251.85"/>
    <m/>
    <n v="658.73368571043511"/>
    <n v="255.86350070833299"/>
    <n v="0"/>
    <n v="2991.9217535999965"/>
    <n v="0"/>
    <n v="3594.4766942881242"/>
    <x v="4"/>
  </r>
  <r>
    <s v="Regular"/>
    <x v="2"/>
    <x v="0"/>
    <x v="2"/>
    <x v="7"/>
    <x v="0"/>
    <x v="0"/>
    <x v="0"/>
    <x v="5"/>
    <n v="0"/>
    <n v="0"/>
    <n v="57.7"/>
    <n v="54.238"/>
    <n v="57.7"/>
    <n v="54.238"/>
    <n v="9"/>
    <s v="CATIVO"/>
    <n v="0"/>
    <n v="0"/>
    <n v="44"/>
    <n v="81"/>
    <n v="0"/>
    <n v="509.43"/>
    <n v="251.85"/>
    <m/>
    <n v="658.73368571043511"/>
    <n v="255.86350070833299"/>
    <n v="0"/>
    <n v="2635.5513600000027"/>
    <n v="0"/>
    <n v="3166.3354593817785"/>
    <x v="4"/>
  </r>
  <r>
    <s v="Regular"/>
    <x v="2"/>
    <x v="0"/>
    <x v="2"/>
    <x v="7"/>
    <x v="0"/>
    <x v="0"/>
    <x v="0"/>
    <x v="6"/>
    <n v="0"/>
    <n v="0"/>
    <n v="66.826999999999998"/>
    <n v="62.81738"/>
    <n v="66.826999999999998"/>
    <n v="62.81738"/>
    <n v="9"/>
    <s v="CATIVO"/>
    <n v="0"/>
    <n v="0"/>
    <n v="44"/>
    <n v="81"/>
    <n v="0"/>
    <n v="509.43"/>
    <n v="251.85"/>
    <m/>
    <n v="658.73368571043511"/>
    <n v="255.86350070833299"/>
    <n v="0"/>
    <n v="3052.4435135999984"/>
    <n v="0"/>
    <n v="3667.1871706084194"/>
    <x v="4"/>
  </r>
  <r>
    <s v="Regular"/>
    <x v="2"/>
    <x v="0"/>
    <x v="2"/>
    <x v="7"/>
    <x v="0"/>
    <x v="0"/>
    <x v="0"/>
    <x v="7"/>
    <n v="0"/>
    <n v="0"/>
    <n v="65.108999999999995"/>
    <n v="61.202460000000002"/>
    <n v="65.108999999999995"/>
    <n v="61.202460000000002"/>
    <n v="9"/>
    <s v="CATIVO"/>
    <n v="0"/>
    <n v="0"/>
    <n v="44"/>
    <n v="81"/>
    <n v="0"/>
    <n v="509.43"/>
    <n v="251.85"/>
    <m/>
    <n v="658.73368571043511"/>
    <n v="255.86350070833299"/>
    <n v="0"/>
    <n v="2973.9707711999945"/>
    <n v="0"/>
    <n v="3572.9104926323675"/>
    <x v="4"/>
  </r>
  <r>
    <s v="Regular"/>
    <x v="2"/>
    <x v="0"/>
    <x v="2"/>
    <x v="7"/>
    <x v="0"/>
    <x v="0"/>
    <x v="0"/>
    <x v="8"/>
    <n v="0"/>
    <n v="0"/>
    <n v="55.542000000000002"/>
    <n v="52.209479999999999"/>
    <n v="55.542000000000002"/>
    <n v="52.209479999999999"/>
    <n v="9"/>
    <s v="CATIVO"/>
    <n v="0"/>
    <n v="0"/>
    <n v="44"/>
    <n v="81"/>
    <n v="0"/>
    <n v="509.43"/>
    <n v="251.85"/>
    <m/>
    <n v="658.73368571043511"/>
    <n v="255.86350070833299"/>
    <n v="0"/>
    <n v="2536.9808256000015"/>
    <n v="0"/>
    <n v="3047.9134156842756"/>
    <x v="4"/>
  </r>
  <r>
    <s v="Regular"/>
    <x v="2"/>
    <x v="0"/>
    <x v="2"/>
    <x v="7"/>
    <x v="0"/>
    <x v="0"/>
    <x v="0"/>
    <x v="9"/>
    <n v="0"/>
    <n v="0"/>
    <n v="56.944000000000003"/>
    <n v="53.527360000000002"/>
    <n v="56.944000000000003"/>
    <n v="53.527360000000002"/>
    <n v="9"/>
    <s v="CATIVO"/>
    <n v="0"/>
    <n v="0"/>
    <n v="44"/>
    <n v="81"/>
    <n v="0"/>
    <n v="509.43"/>
    <n v="251.85"/>
    <m/>
    <n v="658.73368571043511"/>
    <n v="255.86350070833299"/>
    <n v="0"/>
    <n v="2601.0196992000006"/>
    <n v="0"/>
    <n v="3124.8493310058207"/>
    <x v="4"/>
  </r>
  <r>
    <s v="Regular"/>
    <x v="2"/>
    <x v="0"/>
    <x v="2"/>
    <x v="7"/>
    <x v="0"/>
    <x v="0"/>
    <x v="0"/>
    <x v="10"/>
    <n v="0"/>
    <n v="0"/>
    <n v="61.503999999999998"/>
    <n v="57.813760000000002"/>
    <n v="61.503999999999998"/>
    <n v="57.813760000000002"/>
    <n v="9"/>
    <s v="CATIVO"/>
    <n v="0"/>
    <n v="0"/>
    <n v="44"/>
    <n v="81"/>
    <n v="0"/>
    <n v="509.43"/>
    <n v="251.85"/>
    <m/>
    <n v="658.73368571043511"/>
    <n v="255.86350070833299"/>
    <n v="0"/>
    <n v="2809.3059071999969"/>
    <n v="0"/>
    <n v="3375.0831212099911"/>
    <x v="4"/>
  </r>
  <r>
    <s v="Regular"/>
    <x v="2"/>
    <x v="0"/>
    <x v="2"/>
    <x v="7"/>
    <x v="0"/>
    <x v="0"/>
    <x v="0"/>
    <x v="11"/>
    <n v="0"/>
    <n v="0"/>
    <n v="74.944000000000003"/>
    <n v="70.447360000000003"/>
    <n v="74.944000000000003"/>
    <n v="70.447360000000003"/>
    <n v="9"/>
    <s v="CATIVO"/>
    <n v="0"/>
    <n v="0"/>
    <n v="44"/>
    <n v="81"/>
    <n v="0"/>
    <n v="509.43"/>
    <n v="251.85"/>
    <m/>
    <n v="658.73368571043511"/>
    <n v="255.86350070833299"/>
    <n v="0"/>
    <n v="3423.2020991999998"/>
    <n v="0"/>
    <n v="4112.6142923380885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C43867-ECA5-47D9-98BD-BE47C7EE902F}" name="Efeito Resumo" cacheId="0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5" indent="0" outline="1" outlineData="1" multipleFieldFilters="0">
  <location ref="A1:J402" firstHeaderRow="0" firstDataRow="1" firstDataCol="1"/>
  <pivotFields count="36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9">
        <item x="3"/>
        <item x="4"/>
        <item x="7"/>
        <item x="0"/>
        <item x="5"/>
        <item x="1"/>
        <item x="2"/>
        <item x="6"/>
        <item t="default"/>
      </items>
    </pivotField>
    <pivotField axis="axisRow" showAll="0">
      <items count="10">
        <item x="6"/>
        <item x="7"/>
        <item x="8"/>
        <item x="0"/>
        <item x="1"/>
        <item x="2"/>
        <item x="3"/>
        <item x="4"/>
        <item x="5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axis="axisRow" showAll="0">
      <items count="2">
        <item x="0"/>
        <item t="default"/>
      </items>
    </pivotField>
    <pivotField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9">
    <field x="16"/>
    <field x="1"/>
    <field x="2"/>
    <field x="3"/>
    <field x="4"/>
    <field x="5"/>
    <field x="6"/>
    <field x="7"/>
    <field x="8"/>
  </rowFields>
  <rowItems count="401">
    <i>
      <x/>
    </i>
    <i r="1">
      <x/>
    </i>
    <i r="2">
      <x v="2"/>
    </i>
    <i r="3">
      <x v="3"/>
    </i>
    <i r="4">
      <x v="3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1"/>
    </i>
    <i r="2">
      <x/>
    </i>
    <i r="3">
      <x v="5"/>
    </i>
    <i r="4">
      <x v="4"/>
    </i>
    <i r="5">
      <x v="2"/>
    </i>
    <i r="6">
      <x/>
    </i>
    <i r="7">
      <x/>
    </i>
    <i r="8">
      <x v="7"/>
    </i>
    <i r="8">
      <x v="8"/>
    </i>
    <i r="8">
      <x v="9"/>
    </i>
    <i r="8">
      <x v="10"/>
    </i>
    <i r="8">
      <x v="11"/>
    </i>
    <i r="7">
      <x v="1"/>
    </i>
    <i r="8">
      <x v="7"/>
    </i>
    <i r="8">
      <x v="9"/>
    </i>
    <i r="8">
      <x v="10"/>
    </i>
    <i r="2">
      <x v="1"/>
    </i>
    <i r="3">
      <x v="5"/>
    </i>
    <i r="4">
      <x v="4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5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8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/>
    </i>
    <i r="3">
      <x v="6"/>
    </i>
    <i r="4">
      <x v="3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2">
      <x v="1"/>
    </i>
    <i r="3">
      <x v="6"/>
    </i>
    <i r="4">
      <x/>
    </i>
    <i r="5">
      <x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3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/>
    </i>
    <i r="3">
      <x/>
    </i>
    <i r="4">
      <x v="3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2">
      <x v="1"/>
    </i>
    <i r="3">
      <x/>
    </i>
    <i r="4">
      <x v="3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1"/>
    </i>
    <i r="4">
      <x v="3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3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4"/>
    </i>
    <i r="4">
      <x v="3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7"/>
    </i>
    <i r="4">
      <x v="1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4"/>
    </i>
    <i r="2">
      <x v="1"/>
    </i>
    <i r="3">
      <x v="2"/>
    </i>
    <i r="4">
      <x v="2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oma de RA0 ou RV - TUSD (kW)" fld="27" baseField="0" baseItem="0" numFmtId="40"/>
    <dataField name="Soma de RA1 ou RRD - TUSD (kW)" fld="30" baseField="0" baseItem="0" numFmtId="40"/>
    <dataField name="Soma de RA0 ou RV - TUSD (MWh)" fld="28" baseField="0" baseItem="0" numFmtId="40"/>
    <dataField name="Soma de RA1 ou RRD - TUSD (MWh)" fld="31" baseField="0" baseItem="0" numFmtId="40"/>
    <dataField name="Soma de RA0 ou RV - TE (MWh)" fld="29" baseField="0" baseItem="0" numFmtId="40"/>
    <dataField name="Soma de RA1 ou RRD - TE (MWh)" fld="32" baseField="0" baseItem="0" numFmtId="40"/>
    <dataField name="Soma de Variação TUSD" fld="33" baseField="0" baseItem="0" numFmtId="166"/>
    <dataField name="Soma de Variação TE" fld="34" baseField="0" baseItem="0" numFmtId="166"/>
    <dataField name="Soma de Variação" fld="35" baseField="0" baseItem="0" numFmtId="166"/>
  </dataFields>
  <formats count="224">
    <format dxfId="506">
      <pivotArea outline="0" collapsedLevelsAreSubtotals="1" fieldPosition="0">
        <references count="1">
          <reference field="4294967294" count="6" selected="0">
            <x v="0"/>
            <x v="1"/>
            <x v="2"/>
            <x v="3"/>
            <x v="4"/>
            <x v="5"/>
          </reference>
        </references>
      </pivotArea>
    </format>
    <format dxfId="505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504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503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502">
      <pivotArea type="all" dataOnly="0" outline="0" fieldPosition="0"/>
    </format>
    <format dxfId="501">
      <pivotArea outline="0" collapsedLevelsAreSubtotals="1" fieldPosition="0"/>
    </format>
    <format dxfId="500">
      <pivotArea field="16" type="button" dataOnly="0" labelOnly="1" outline="0" axis="axisRow" fieldPosition="0"/>
    </format>
    <format dxfId="499">
      <pivotArea dataOnly="0" labelOnly="1" fieldPosition="0">
        <references count="1">
          <reference field="16" count="0"/>
        </references>
      </pivotArea>
    </format>
    <format dxfId="498">
      <pivotArea dataOnly="0" labelOnly="1" fieldPosition="0">
        <references count="2">
          <reference field="1" count="0"/>
          <reference field="16" count="0" selected="0"/>
        </references>
      </pivotArea>
    </format>
    <format dxfId="497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0" selected="0"/>
        </references>
      </pivotArea>
    </format>
    <format dxfId="496">
      <pivotArea dataOnly="0" labelOnly="1" fieldPosition="0">
        <references count="3">
          <reference field="1" count="1" selected="0">
            <x v="1"/>
          </reference>
          <reference field="2" count="2">
            <x v="0"/>
            <x v="1"/>
          </reference>
          <reference field="16" count="0" selected="0"/>
        </references>
      </pivotArea>
    </format>
    <format dxfId="495">
      <pivotArea dataOnly="0" labelOnly="1" fieldPosition="0">
        <references count="3">
          <reference field="1" count="1" selected="0">
            <x v="2"/>
          </reference>
          <reference field="2" count="2">
            <x v="0"/>
            <x v="1"/>
          </reference>
          <reference field="16" count="0" selected="0"/>
        </references>
      </pivotArea>
    </format>
    <format dxfId="494">
      <pivotArea dataOnly="0" labelOnly="1" fieldPosition="0">
        <references count="3">
          <reference field="1" count="1" selected="0">
            <x v="3"/>
          </reference>
          <reference field="2" count="2">
            <x v="0"/>
            <x v="1"/>
          </reference>
          <reference field="16" count="0" selected="0"/>
        </references>
      </pivotArea>
    </format>
    <format dxfId="493">
      <pivotArea dataOnly="0" labelOnly="1" fieldPosition="0">
        <references count="3">
          <reference field="1" count="1" selected="0">
            <x v="4"/>
          </reference>
          <reference field="2" count="1">
            <x v="1"/>
          </reference>
          <reference field="16" count="0" selected="0"/>
        </references>
      </pivotArea>
    </format>
    <format dxfId="492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3"/>
          </reference>
          <reference field="16" count="0" selected="0"/>
        </references>
      </pivotArea>
    </format>
    <format dxfId="491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5"/>
          </reference>
          <reference field="16" count="0" selected="0"/>
        </references>
      </pivotArea>
    </format>
    <format dxfId="490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5"/>
          </reference>
          <reference field="16" count="0" selected="0"/>
        </references>
      </pivotArea>
    </format>
    <format dxfId="489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6"/>
          </reference>
          <reference field="16" count="0" selected="0"/>
        </references>
      </pivotArea>
    </format>
    <format dxfId="488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6"/>
          </reference>
          <reference field="16" count="0" selected="0"/>
        </references>
      </pivotArea>
    </format>
    <format dxfId="487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0"/>
          </reference>
          <reference field="16" count="0" selected="0"/>
        </references>
      </pivotArea>
    </format>
    <format dxfId="486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5">
            <x v="0"/>
            <x v="1"/>
            <x v="3"/>
            <x v="4"/>
            <x v="7"/>
          </reference>
          <reference field="16" count="0" selected="0"/>
        </references>
      </pivotArea>
    </format>
    <format dxfId="485">
      <pivotArea dataOnly="0" labelOnly="1" fieldPosition="0">
        <references count="4">
          <reference field="1" count="1" selected="0">
            <x v="4"/>
          </reference>
          <reference field="2" count="1" selected="0">
            <x v="1"/>
          </reference>
          <reference field="3" count="1">
            <x v="2"/>
          </reference>
          <reference field="16" count="0" selected="0"/>
        </references>
      </pivotArea>
    </format>
    <format dxfId="484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3"/>
          </reference>
          <reference field="16" count="0" selected="0"/>
        </references>
      </pivotArea>
    </format>
    <format dxfId="483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4"/>
          </reference>
          <reference field="16" count="0" selected="0"/>
        </references>
      </pivotArea>
    </format>
    <format dxfId="482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5">
            <x v="4"/>
            <x v="5"/>
            <x v="6"/>
            <x v="7"/>
            <x v="8"/>
          </reference>
          <reference field="16" count="0" selected="0"/>
        </references>
      </pivotArea>
    </format>
    <format dxfId="481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>
            <x v="3"/>
          </reference>
          <reference field="16" count="0" selected="0"/>
        </references>
      </pivotArea>
    </format>
    <format dxfId="480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2">
            <x v="0"/>
            <x v="3"/>
          </reference>
          <reference field="16" count="0" selected="0"/>
        </references>
      </pivotArea>
    </format>
    <format dxfId="479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"/>
          </reference>
          <reference field="16" count="0" selected="0"/>
        </references>
      </pivotArea>
    </format>
    <format dxfId="478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3"/>
          </reference>
          <reference field="16" count="0" selected="0"/>
        </references>
      </pivotArea>
    </format>
    <format dxfId="477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3"/>
          </reference>
          <reference field="16" count="0" selected="0"/>
        </references>
      </pivotArea>
    </format>
    <format dxfId="476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3"/>
          </reference>
          <reference field="16" count="0" selected="0"/>
        </references>
      </pivotArea>
    </format>
    <format dxfId="475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>
            <x v="3"/>
          </reference>
          <reference field="16" count="0" selected="0"/>
        </references>
      </pivotArea>
    </format>
    <format dxfId="474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>
            <x v="1"/>
          </reference>
          <reference field="16" count="0" selected="0"/>
        </references>
      </pivotArea>
    </format>
    <format dxfId="473">
      <pivotArea dataOnly="0" labelOnly="1" fieldPosition="0">
        <references count="5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2"/>
          </reference>
          <reference field="16" count="0" selected="0"/>
        </references>
      </pivotArea>
    </format>
    <format dxfId="472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471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70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69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2"/>
          </reference>
          <reference field="16" count="0" selected="0"/>
        </references>
      </pivotArea>
    </format>
    <format dxfId="468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2"/>
          </reference>
          <reference field="16" count="0" selected="0"/>
        </references>
      </pivotArea>
    </format>
    <format dxfId="467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2"/>
          </reference>
          <reference field="16" count="0" selected="0"/>
        </references>
      </pivotArea>
    </format>
    <format dxfId="466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>
            <x v="2"/>
          </reference>
          <reference field="16" count="0" selected="0"/>
        </references>
      </pivotArea>
    </format>
    <format dxfId="465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464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0"/>
            <x v="1"/>
          </reference>
          <reference field="16" count="0" selected="0"/>
        </references>
      </pivotArea>
    </format>
    <format dxfId="463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462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461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460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459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458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457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2"/>
          </reference>
          <reference field="16" count="0" selected="0"/>
        </references>
      </pivotArea>
    </format>
    <format dxfId="456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2"/>
          </reference>
          <reference field="16" count="0" selected="0"/>
        </references>
      </pivotArea>
    </format>
    <format dxfId="455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54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53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52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51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50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49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48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47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16" count="0" selected="0"/>
        </references>
      </pivotArea>
    </format>
    <format dxfId="446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445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44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43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42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41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40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39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38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37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436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2">
            <x v="0"/>
            <x v="1"/>
          </reference>
          <reference field="16" count="0" selected="0"/>
        </references>
      </pivotArea>
    </format>
    <format dxfId="435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34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33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32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31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30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0"/>
          <reference field="16" count="0" selected="0"/>
        </references>
      </pivotArea>
    </format>
    <format dxfId="429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2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27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26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3">
            <x v="0"/>
            <x v="1"/>
            <x v="3"/>
          </reference>
          <reference field="16" count="0" selected="0"/>
        </references>
      </pivotArea>
    </format>
    <format dxfId="425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24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23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22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21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20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1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41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1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416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5">
            <x v="7"/>
            <x v="8"/>
            <x v="9"/>
            <x v="10"/>
            <x v="11"/>
          </reference>
          <reference field="16" count="0" selected="0"/>
        </references>
      </pivotArea>
    </format>
    <format dxfId="415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3">
            <x v="7"/>
            <x v="9"/>
            <x v="10"/>
          </reference>
          <reference field="16" count="0" selected="0"/>
        </references>
      </pivotArea>
    </format>
    <format dxfId="414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13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12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11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10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09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408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07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06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405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0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03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02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401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00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399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98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97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96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95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94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93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392">
      <pivotArea type="all" dataOnly="0" outline="0" fieldPosition="0"/>
    </format>
    <format dxfId="391">
      <pivotArea outline="0" collapsedLevelsAreSubtotals="1" fieldPosition="0"/>
    </format>
    <format dxfId="390">
      <pivotArea field="16" type="button" dataOnly="0" labelOnly="1" outline="0" axis="axisRow" fieldPosition="0"/>
    </format>
    <format dxfId="389">
      <pivotArea dataOnly="0" labelOnly="1" fieldPosition="0">
        <references count="1">
          <reference field="16" count="0"/>
        </references>
      </pivotArea>
    </format>
    <format dxfId="388">
      <pivotArea dataOnly="0" labelOnly="1" fieldPosition="0">
        <references count="2">
          <reference field="1" count="0"/>
          <reference field="16" count="0" selected="0"/>
        </references>
      </pivotArea>
    </format>
    <format dxfId="387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0" selected="0"/>
        </references>
      </pivotArea>
    </format>
    <format dxfId="386">
      <pivotArea dataOnly="0" labelOnly="1" fieldPosition="0">
        <references count="3">
          <reference field="1" count="1" selected="0">
            <x v="1"/>
          </reference>
          <reference field="2" count="2">
            <x v="0"/>
            <x v="1"/>
          </reference>
          <reference field="16" count="0" selected="0"/>
        </references>
      </pivotArea>
    </format>
    <format dxfId="385">
      <pivotArea dataOnly="0" labelOnly="1" fieldPosition="0">
        <references count="3">
          <reference field="1" count="1" selected="0">
            <x v="2"/>
          </reference>
          <reference field="2" count="2">
            <x v="0"/>
            <x v="1"/>
          </reference>
          <reference field="16" count="0" selected="0"/>
        </references>
      </pivotArea>
    </format>
    <format dxfId="384">
      <pivotArea dataOnly="0" labelOnly="1" fieldPosition="0">
        <references count="3">
          <reference field="1" count="1" selected="0">
            <x v="3"/>
          </reference>
          <reference field="2" count="2">
            <x v="0"/>
            <x v="1"/>
          </reference>
          <reference field="16" count="0" selected="0"/>
        </references>
      </pivotArea>
    </format>
    <format dxfId="383">
      <pivotArea dataOnly="0" labelOnly="1" fieldPosition="0">
        <references count="3">
          <reference field="1" count="1" selected="0">
            <x v="4"/>
          </reference>
          <reference field="2" count="1">
            <x v="1"/>
          </reference>
          <reference field="16" count="0" selected="0"/>
        </references>
      </pivotArea>
    </format>
    <format dxfId="382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3"/>
          </reference>
          <reference field="16" count="0" selected="0"/>
        </references>
      </pivotArea>
    </format>
    <format dxfId="381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5"/>
          </reference>
          <reference field="16" count="0" selected="0"/>
        </references>
      </pivotArea>
    </format>
    <format dxfId="380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5"/>
          </reference>
          <reference field="16" count="0" selected="0"/>
        </references>
      </pivotArea>
    </format>
    <format dxfId="379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6"/>
          </reference>
          <reference field="16" count="0" selected="0"/>
        </references>
      </pivotArea>
    </format>
    <format dxfId="378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6"/>
          </reference>
          <reference field="16" count="0" selected="0"/>
        </references>
      </pivotArea>
    </format>
    <format dxfId="377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0"/>
          </reference>
          <reference field="16" count="0" selected="0"/>
        </references>
      </pivotArea>
    </format>
    <format dxfId="376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5">
            <x v="0"/>
            <x v="1"/>
            <x v="3"/>
            <x v="4"/>
            <x v="7"/>
          </reference>
          <reference field="16" count="0" selected="0"/>
        </references>
      </pivotArea>
    </format>
    <format dxfId="375">
      <pivotArea dataOnly="0" labelOnly="1" fieldPosition="0">
        <references count="4">
          <reference field="1" count="1" selected="0">
            <x v="4"/>
          </reference>
          <reference field="2" count="1" selected="0">
            <x v="1"/>
          </reference>
          <reference field="3" count="1">
            <x v="2"/>
          </reference>
          <reference field="16" count="0" selected="0"/>
        </references>
      </pivotArea>
    </format>
    <format dxfId="374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3"/>
          </reference>
          <reference field="16" count="0" selected="0"/>
        </references>
      </pivotArea>
    </format>
    <format dxfId="373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4"/>
          </reference>
          <reference field="16" count="0" selected="0"/>
        </references>
      </pivotArea>
    </format>
    <format dxfId="372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5">
            <x v="4"/>
            <x v="5"/>
            <x v="6"/>
            <x v="7"/>
            <x v="8"/>
          </reference>
          <reference field="16" count="0" selected="0"/>
        </references>
      </pivotArea>
    </format>
    <format dxfId="371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>
            <x v="3"/>
          </reference>
          <reference field="16" count="0" selected="0"/>
        </references>
      </pivotArea>
    </format>
    <format dxfId="370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2">
            <x v="0"/>
            <x v="3"/>
          </reference>
          <reference field="16" count="0" selected="0"/>
        </references>
      </pivotArea>
    </format>
    <format dxfId="369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"/>
          </reference>
          <reference field="16" count="0" selected="0"/>
        </references>
      </pivotArea>
    </format>
    <format dxfId="368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3"/>
          </reference>
          <reference field="16" count="0" selected="0"/>
        </references>
      </pivotArea>
    </format>
    <format dxfId="367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3"/>
          </reference>
          <reference field="16" count="0" selected="0"/>
        </references>
      </pivotArea>
    </format>
    <format dxfId="366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3"/>
          </reference>
          <reference field="16" count="0" selected="0"/>
        </references>
      </pivotArea>
    </format>
    <format dxfId="365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>
            <x v="3"/>
          </reference>
          <reference field="16" count="0" selected="0"/>
        </references>
      </pivotArea>
    </format>
    <format dxfId="364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>
            <x v="1"/>
          </reference>
          <reference field="16" count="0" selected="0"/>
        </references>
      </pivotArea>
    </format>
    <format dxfId="363">
      <pivotArea dataOnly="0" labelOnly="1" fieldPosition="0">
        <references count="5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2"/>
          </reference>
          <reference field="16" count="0" selected="0"/>
        </references>
      </pivotArea>
    </format>
    <format dxfId="362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361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360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359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2"/>
          </reference>
          <reference field="16" count="0" selected="0"/>
        </references>
      </pivotArea>
    </format>
    <format dxfId="358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2"/>
          </reference>
          <reference field="16" count="0" selected="0"/>
        </references>
      </pivotArea>
    </format>
    <format dxfId="357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2"/>
          </reference>
          <reference field="16" count="0" selected="0"/>
        </references>
      </pivotArea>
    </format>
    <format dxfId="356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>
            <x v="2"/>
          </reference>
          <reference field="16" count="0" selected="0"/>
        </references>
      </pivotArea>
    </format>
    <format dxfId="355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354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0"/>
            <x v="1"/>
          </reference>
          <reference field="16" count="0" selected="0"/>
        </references>
      </pivotArea>
    </format>
    <format dxfId="353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352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351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350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349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348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347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2"/>
          </reference>
          <reference field="16" count="0" selected="0"/>
        </references>
      </pivotArea>
    </format>
    <format dxfId="346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2"/>
          </reference>
          <reference field="16" count="0" selected="0"/>
        </references>
      </pivotArea>
    </format>
    <format dxfId="345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44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43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42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41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40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39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38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37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16" count="0" selected="0"/>
        </references>
      </pivotArea>
    </format>
    <format dxfId="336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35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34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33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32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31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30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29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28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27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326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2">
            <x v="0"/>
            <x v="1"/>
          </reference>
          <reference field="16" count="0" selected="0"/>
        </references>
      </pivotArea>
    </format>
    <format dxfId="325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24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23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22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21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20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0"/>
          <reference field="16" count="0" selected="0"/>
        </references>
      </pivotArea>
    </format>
    <format dxfId="319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1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17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16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3">
            <x v="0"/>
            <x v="1"/>
            <x v="3"/>
          </reference>
          <reference field="16" count="0" selected="0"/>
        </references>
      </pivotArea>
    </format>
    <format dxfId="315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14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13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12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11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10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0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0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0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306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5">
            <x v="7"/>
            <x v="8"/>
            <x v="9"/>
            <x v="10"/>
            <x v="11"/>
          </reference>
          <reference field="16" count="0" selected="0"/>
        </references>
      </pivotArea>
    </format>
    <format dxfId="305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3">
            <x v="7"/>
            <x v="9"/>
            <x v="10"/>
          </reference>
          <reference field="16" count="0" selected="0"/>
        </references>
      </pivotArea>
    </format>
    <format dxfId="304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03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02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01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00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99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298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97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96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295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9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93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92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291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90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289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88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87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86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85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84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83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BF538B-0440-40E7-93DE-466714E2C377}" name="Subsidio Resumo" cacheId="1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5" indent="0" outline="1" outlineData="1" multipleFieldFilters="0">
  <location ref="A1:G211" firstHeaderRow="0" firstDataRow="1" firstDataCol="1"/>
  <pivotFields count="34">
    <pivotField showAll="0"/>
    <pivotField axis="axisRow" showAll="0">
      <items count="4">
        <item x="0"/>
        <item x="1"/>
        <item x="2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showAll="0">
      <items count="9">
        <item x="6"/>
        <item x="7"/>
        <item x="5"/>
        <item x="0"/>
        <item x="1"/>
        <item x="2"/>
        <item x="3"/>
        <item x="4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5">
        <item x="1"/>
        <item x="2"/>
        <item x="0"/>
        <item x="3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showAll="0"/>
    <pivotField showAll="0"/>
    <pivotField numFmtId="40" showAll="0"/>
    <pivotField numFmtId="40" showAll="0"/>
    <pivotField numFmtId="40" showAll="0"/>
    <pivotField showAll="0"/>
    <pivotField numFmtId="40" showAll="0"/>
    <pivotField numFmtId="40" showAll="0"/>
    <pivotField dataField="1" numFmtId="40" showAll="0"/>
    <pivotField dataField="1" numFmtId="40" showAll="0"/>
    <pivotField dataField="1" numFmtId="40" showAll="0"/>
    <pivotField dataField="1" numFmtId="40" showAll="0"/>
    <pivotField axis="axisRow" showAll="0">
      <items count="6">
        <item x="4"/>
        <item x="1"/>
        <item x="3"/>
        <item x="2"/>
        <item x="0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9">
    <field x="31"/>
    <field x="1"/>
    <field x="2"/>
    <field x="3"/>
    <field x="4"/>
    <field x="5"/>
    <field x="6"/>
    <field x="7"/>
    <field x="8"/>
  </rowFields>
  <rowItems count="210">
    <i>
      <x/>
    </i>
    <i r="1">
      <x v="2"/>
    </i>
    <i r="2">
      <x v="1"/>
    </i>
    <i r="3">
      <x v="2"/>
    </i>
    <i r="4">
      <x v="1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/>
    </i>
    <i r="2">
      <x v="1"/>
    </i>
    <i r="3">
      <x/>
    </i>
    <i r="4">
      <x v="4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5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2"/>
    </i>
    <i r="1">
      <x v="1"/>
    </i>
    <i r="2">
      <x v="1"/>
    </i>
    <i r="3">
      <x v="1"/>
    </i>
    <i r="4">
      <x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3"/>
    </i>
    <i r="1">
      <x v="1"/>
    </i>
    <i r="2">
      <x/>
    </i>
    <i r="3">
      <x v="1"/>
    </i>
    <i r="4">
      <x v="2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2">
      <x v="1"/>
    </i>
    <i r="3">
      <x v="1"/>
    </i>
    <i r="4">
      <x/>
    </i>
    <i r="5">
      <x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2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4"/>
    </i>
    <i r="1">
      <x/>
    </i>
    <i r="2">
      <x v="1"/>
    </i>
    <i r="3">
      <x/>
    </i>
    <i r="4">
      <x v="3"/>
    </i>
    <i r="5">
      <x v="2"/>
    </i>
    <i r="6">
      <x/>
    </i>
    <i r="7">
      <x v="2"/>
    </i>
    <i r="8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a de SUBSIDIO kW - TV" fld="27" baseField="0" baseItem="0"/>
    <dataField name="Soma de SUBSIDIO MWh - TV" fld="28" baseField="0" baseItem="0"/>
    <dataField name="Soma de SUBSIDIO kW - TN" fld="29" baseField="0" baseItem="0"/>
    <dataField name="Soma de SUBSIDIO MWh - TN" fld="30" baseField="0" baseItem="0"/>
    <dataField name="Soma de TOTAL TV" fld="32" baseField="0" baseItem="0" numFmtId="40"/>
    <dataField name="Soma de TOTAL TN" fld="33" baseField="0" baseItem="0" numFmtId="40"/>
  </dataFields>
  <formats count="142">
    <format dxfId="282">
      <pivotArea outline="0" collapsedLevelsAreSubtotals="1" fieldPosition="0"/>
    </format>
    <format dxfId="281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80">
      <pivotArea type="all" dataOnly="0" outline="0" fieldPosition="0"/>
    </format>
    <format dxfId="279">
      <pivotArea outline="0" collapsedLevelsAreSubtotals="1" fieldPosition="0"/>
    </format>
    <format dxfId="278">
      <pivotArea field="31" type="button" dataOnly="0" labelOnly="1" outline="0" axis="axisRow" fieldPosition="0"/>
    </format>
    <format dxfId="277">
      <pivotArea dataOnly="0" labelOnly="1" fieldPosition="0">
        <references count="1">
          <reference field="31" count="0"/>
        </references>
      </pivotArea>
    </format>
    <format dxfId="276">
      <pivotArea dataOnly="0" labelOnly="1" fieldPosition="0">
        <references count="2">
          <reference field="1" count="1">
            <x v="2"/>
          </reference>
          <reference field="31" count="1" selected="0">
            <x v="0"/>
          </reference>
        </references>
      </pivotArea>
    </format>
    <format dxfId="275">
      <pivotArea dataOnly="0" labelOnly="1" fieldPosition="0">
        <references count="2">
          <reference field="1" count="1">
            <x v="0"/>
          </reference>
          <reference field="31" count="1" selected="0">
            <x v="1"/>
          </reference>
        </references>
      </pivotArea>
    </format>
    <format dxfId="274">
      <pivotArea dataOnly="0" labelOnly="1" fieldPosition="0">
        <references count="2">
          <reference field="1" count="1">
            <x v="1"/>
          </reference>
          <reference field="31" count="1" selected="0">
            <x v="2"/>
          </reference>
        </references>
      </pivotArea>
    </format>
    <format dxfId="273">
      <pivotArea dataOnly="0" labelOnly="1" fieldPosition="0">
        <references count="2">
          <reference field="1" count="1">
            <x v="1"/>
          </reference>
          <reference field="31" count="1" selected="0">
            <x v="3"/>
          </reference>
        </references>
      </pivotArea>
    </format>
    <format dxfId="272">
      <pivotArea dataOnly="0" labelOnly="1" fieldPosition="0">
        <references count="2">
          <reference field="1" count="1">
            <x v="0"/>
          </reference>
          <reference field="31" count="1" selected="0">
            <x v="4"/>
          </reference>
        </references>
      </pivotArea>
    </format>
    <format dxfId="271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31" count="1" selected="0">
            <x v="0"/>
          </reference>
        </references>
      </pivotArea>
    </format>
    <format dxfId="270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1"/>
          </reference>
        </references>
      </pivotArea>
    </format>
    <format dxfId="269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2"/>
          </reference>
        </references>
      </pivotArea>
    </format>
    <format dxfId="268">
      <pivotArea dataOnly="0" labelOnly="1" fieldPosition="0">
        <references count="3">
          <reference field="1" count="1" selected="0">
            <x v="1"/>
          </reference>
          <reference field="2" count="0"/>
          <reference field="31" count="1" selected="0">
            <x v="3"/>
          </reference>
        </references>
      </pivotArea>
    </format>
    <format dxfId="267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4"/>
          </reference>
        </references>
      </pivotArea>
    </format>
    <format dxfId="266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0"/>
          </reference>
        </references>
      </pivotArea>
    </format>
    <format dxfId="265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0"/>
          </reference>
          <reference field="31" count="1" selected="0">
            <x v="1"/>
          </reference>
        </references>
      </pivotArea>
    </format>
    <format dxfId="264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2"/>
          </reference>
        </references>
      </pivotArea>
    </format>
    <format dxfId="263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262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261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0"/>
          </reference>
          <reference field="31" count="1" selected="0">
            <x v="4"/>
          </reference>
        </references>
      </pivotArea>
    </format>
    <format dxfId="260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259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4">
            <x v="4"/>
            <x v="5"/>
            <x v="6"/>
            <x v="7"/>
          </reference>
          <reference field="31" count="1" selected="0">
            <x v="1"/>
          </reference>
        </references>
      </pivotArea>
    </format>
    <format dxfId="258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0"/>
          </reference>
          <reference field="31" count="1" selected="0">
            <x v="2"/>
          </reference>
        </references>
      </pivotArea>
    </format>
    <format dxfId="257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2"/>
          </reference>
          <reference field="31" count="1" selected="0">
            <x v="3"/>
          </reference>
        </references>
      </pivotArea>
    </format>
    <format dxfId="256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2">
            <x v="0"/>
            <x v="2"/>
          </reference>
          <reference field="31" count="1" selected="0">
            <x v="3"/>
          </reference>
        </references>
      </pivotArea>
    </format>
    <format dxfId="255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3"/>
          </reference>
          <reference field="31" count="1" selected="0">
            <x v="4"/>
          </reference>
        </references>
      </pivotArea>
    </format>
    <format dxfId="254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2"/>
          </reference>
          <reference field="31" count="1" selected="0">
            <x v="0"/>
          </reference>
        </references>
      </pivotArea>
    </format>
    <format dxfId="253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52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51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6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50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7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49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248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247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0"/>
          </reference>
          <reference field="31" count="1" selected="0">
            <x v="3"/>
          </reference>
        </references>
      </pivotArea>
    </format>
    <format dxfId="246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245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244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31" count="1" selected="0">
            <x v="0"/>
          </reference>
        </references>
      </pivotArea>
    </format>
    <format dxfId="243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242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241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240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239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238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237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31" count="1" selected="0">
            <x v="3"/>
          </reference>
        </references>
      </pivotArea>
    </format>
    <format dxfId="236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235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31" count="1" selected="0">
            <x v="4"/>
          </reference>
        </references>
      </pivotArea>
    </format>
    <format dxfId="234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31" count="1" selected="0">
            <x v="0"/>
          </reference>
        </references>
      </pivotArea>
    </format>
    <format dxfId="233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31" count="1" selected="0">
            <x v="1"/>
          </reference>
        </references>
      </pivotArea>
    </format>
    <format dxfId="232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31" count="1" selected="0">
            <x v="1"/>
          </reference>
        </references>
      </pivotArea>
    </format>
    <format dxfId="231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31" count="1" selected="0">
            <x v="1"/>
          </reference>
        </references>
      </pivotArea>
    </format>
    <format dxfId="230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31" count="1" selected="0">
            <x v="1"/>
          </reference>
        </references>
      </pivotArea>
    </format>
    <format dxfId="229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31" count="1" selected="0">
            <x v="2"/>
          </reference>
        </references>
      </pivotArea>
    </format>
    <format dxfId="228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0"/>
          <reference field="31" count="1" selected="0">
            <x v="3"/>
          </reference>
        </references>
      </pivotArea>
    </format>
    <format dxfId="227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2"/>
          </reference>
          <reference field="31" count="1" selected="0">
            <x v="3"/>
          </reference>
        </references>
      </pivotArea>
    </format>
    <format dxfId="226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31" count="1" selected="0">
            <x v="3"/>
          </reference>
        </references>
      </pivotArea>
    </format>
    <format dxfId="225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31" count="1" selected="0">
            <x v="4"/>
          </reference>
        </references>
      </pivotArea>
    </format>
    <format dxfId="22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0"/>
          </reference>
        </references>
      </pivotArea>
    </format>
    <format dxfId="223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1"/>
          </reference>
        </references>
      </pivotArea>
    </format>
    <format dxfId="222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1"/>
          </reference>
        </references>
      </pivotArea>
    </format>
    <format dxfId="221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1"/>
          </reference>
        </references>
      </pivotArea>
    </format>
    <format dxfId="220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1"/>
          </reference>
        </references>
      </pivotArea>
    </format>
    <format dxfId="219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2"/>
          </reference>
        </references>
      </pivotArea>
    </format>
    <format dxfId="218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3"/>
          </reference>
        </references>
      </pivotArea>
    </format>
    <format dxfId="217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16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3"/>
          </reference>
        </references>
      </pivotArea>
    </format>
    <format dxfId="215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31" count="1" selected="0">
            <x v="3"/>
          </reference>
        </references>
      </pivotArea>
    </format>
    <format dxfId="214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3"/>
          </reference>
        </references>
      </pivotArea>
    </format>
    <format dxfId="213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3"/>
          </reference>
        </references>
      </pivotArea>
    </format>
    <format dxfId="212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1">
            <x v="0"/>
          </reference>
          <reference field="31" count="1" selected="0">
            <x v="4"/>
          </reference>
        </references>
      </pivotArea>
    </format>
    <format dxfId="211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10">
      <pivotArea type="all" dataOnly="0" outline="0" fieldPosition="0"/>
    </format>
    <format dxfId="209">
      <pivotArea outline="0" collapsedLevelsAreSubtotals="1" fieldPosition="0"/>
    </format>
    <format dxfId="208">
      <pivotArea field="31" type="button" dataOnly="0" labelOnly="1" outline="0" axis="axisRow" fieldPosition="0"/>
    </format>
    <format dxfId="207">
      <pivotArea dataOnly="0" labelOnly="1" fieldPosition="0">
        <references count="1">
          <reference field="31" count="0"/>
        </references>
      </pivotArea>
    </format>
    <format dxfId="206">
      <pivotArea dataOnly="0" labelOnly="1" fieldPosition="0">
        <references count="2">
          <reference field="1" count="1">
            <x v="2"/>
          </reference>
          <reference field="31" count="1" selected="0">
            <x v="0"/>
          </reference>
        </references>
      </pivotArea>
    </format>
    <format dxfId="205">
      <pivotArea dataOnly="0" labelOnly="1" fieldPosition="0">
        <references count="2">
          <reference field="1" count="1">
            <x v="0"/>
          </reference>
          <reference field="31" count="1" selected="0">
            <x v="1"/>
          </reference>
        </references>
      </pivotArea>
    </format>
    <format dxfId="204">
      <pivotArea dataOnly="0" labelOnly="1" fieldPosition="0">
        <references count="2">
          <reference field="1" count="1">
            <x v="1"/>
          </reference>
          <reference field="31" count="1" selected="0">
            <x v="2"/>
          </reference>
        </references>
      </pivotArea>
    </format>
    <format dxfId="203">
      <pivotArea dataOnly="0" labelOnly="1" fieldPosition="0">
        <references count="2">
          <reference field="1" count="1">
            <x v="1"/>
          </reference>
          <reference field="31" count="1" selected="0">
            <x v="3"/>
          </reference>
        </references>
      </pivotArea>
    </format>
    <format dxfId="202">
      <pivotArea dataOnly="0" labelOnly="1" fieldPosition="0">
        <references count="2">
          <reference field="1" count="1">
            <x v="0"/>
          </reference>
          <reference field="31" count="1" selected="0">
            <x v="4"/>
          </reference>
        </references>
      </pivotArea>
    </format>
    <format dxfId="201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31" count="1" selected="0">
            <x v="0"/>
          </reference>
        </references>
      </pivotArea>
    </format>
    <format dxfId="200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1"/>
          </reference>
        </references>
      </pivotArea>
    </format>
    <format dxfId="199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2"/>
          </reference>
        </references>
      </pivotArea>
    </format>
    <format dxfId="198">
      <pivotArea dataOnly="0" labelOnly="1" fieldPosition="0">
        <references count="3">
          <reference field="1" count="1" selected="0">
            <x v="1"/>
          </reference>
          <reference field="2" count="0"/>
          <reference field="31" count="1" selected="0">
            <x v="3"/>
          </reference>
        </references>
      </pivotArea>
    </format>
    <format dxfId="197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4"/>
          </reference>
        </references>
      </pivotArea>
    </format>
    <format dxfId="196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0"/>
          </reference>
        </references>
      </pivotArea>
    </format>
    <format dxfId="195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0"/>
          </reference>
          <reference field="31" count="1" selected="0">
            <x v="1"/>
          </reference>
        </references>
      </pivotArea>
    </format>
    <format dxfId="194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2"/>
          </reference>
        </references>
      </pivotArea>
    </format>
    <format dxfId="193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192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191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0"/>
          </reference>
          <reference field="31" count="1" selected="0">
            <x v="4"/>
          </reference>
        </references>
      </pivotArea>
    </format>
    <format dxfId="190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189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4">
            <x v="4"/>
            <x v="5"/>
            <x v="6"/>
            <x v="7"/>
          </reference>
          <reference field="31" count="1" selected="0">
            <x v="1"/>
          </reference>
        </references>
      </pivotArea>
    </format>
    <format dxfId="188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0"/>
          </reference>
          <reference field="31" count="1" selected="0">
            <x v="2"/>
          </reference>
        </references>
      </pivotArea>
    </format>
    <format dxfId="187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2"/>
          </reference>
          <reference field="31" count="1" selected="0">
            <x v="3"/>
          </reference>
        </references>
      </pivotArea>
    </format>
    <format dxfId="186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2">
            <x v="0"/>
            <x v="2"/>
          </reference>
          <reference field="31" count="1" selected="0">
            <x v="3"/>
          </reference>
        </references>
      </pivotArea>
    </format>
    <format dxfId="185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3"/>
          </reference>
          <reference field="31" count="1" selected="0">
            <x v="4"/>
          </reference>
        </references>
      </pivotArea>
    </format>
    <format dxfId="184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2"/>
          </reference>
          <reference field="31" count="1" selected="0">
            <x v="0"/>
          </reference>
        </references>
      </pivotArea>
    </format>
    <format dxfId="183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182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181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6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180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7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179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178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177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0"/>
          </reference>
          <reference field="31" count="1" selected="0">
            <x v="3"/>
          </reference>
        </references>
      </pivotArea>
    </format>
    <format dxfId="176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175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174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31" count="1" selected="0">
            <x v="0"/>
          </reference>
        </references>
      </pivotArea>
    </format>
    <format dxfId="173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72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71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70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69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168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167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31" count="1" selected="0">
            <x v="3"/>
          </reference>
        </references>
      </pivotArea>
    </format>
    <format dxfId="166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165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31" count="1" selected="0">
            <x v="4"/>
          </reference>
        </references>
      </pivotArea>
    </format>
    <format dxfId="164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31" count="1" selected="0">
            <x v="0"/>
          </reference>
        </references>
      </pivotArea>
    </format>
    <format dxfId="163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31" count="1" selected="0">
            <x v="1"/>
          </reference>
        </references>
      </pivotArea>
    </format>
    <format dxfId="162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31" count="1" selected="0">
            <x v="1"/>
          </reference>
        </references>
      </pivotArea>
    </format>
    <format dxfId="161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31" count="1" selected="0">
            <x v="1"/>
          </reference>
        </references>
      </pivotArea>
    </format>
    <format dxfId="160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31" count="1" selected="0">
            <x v="1"/>
          </reference>
        </references>
      </pivotArea>
    </format>
    <format dxfId="159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31" count="1" selected="0">
            <x v="2"/>
          </reference>
        </references>
      </pivotArea>
    </format>
    <format dxfId="158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0"/>
          <reference field="31" count="1" selected="0">
            <x v="3"/>
          </reference>
        </references>
      </pivotArea>
    </format>
    <format dxfId="157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2"/>
          </reference>
          <reference field="31" count="1" selected="0">
            <x v="3"/>
          </reference>
        </references>
      </pivotArea>
    </format>
    <format dxfId="156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31" count="1" selected="0">
            <x v="3"/>
          </reference>
        </references>
      </pivotArea>
    </format>
    <format dxfId="155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31" count="1" selected="0">
            <x v="4"/>
          </reference>
        </references>
      </pivotArea>
    </format>
    <format dxfId="15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0"/>
          </reference>
        </references>
      </pivotArea>
    </format>
    <format dxfId="153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1"/>
          </reference>
        </references>
      </pivotArea>
    </format>
    <format dxfId="152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1"/>
          </reference>
        </references>
      </pivotArea>
    </format>
    <format dxfId="151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1"/>
          </reference>
        </references>
      </pivotArea>
    </format>
    <format dxfId="150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1"/>
          </reference>
        </references>
      </pivotArea>
    </format>
    <format dxfId="149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2"/>
          </reference>
        </references>
      </pivotArea>
    </format>
    <format dxfId="148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3"/>
          </reference>
        </references>
      </pivotArea>
    </format>
    <format dxfId="147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46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3"/>
          </reference>
        </references>
      </pivotArea>
    </format>
    <format dxfId="145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31" count="1" selected="0">
            <x v="3"/>
          </reference>
        </references>
      </pivotArea>
    </format>
    <format dxfId="144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3"/>
          </reference>
        </references>
      </pivotArea>
    </format>
    <format dxfId="143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3"/>
          </reference>
        </references>
      </pivotArea>
    </format>
    <format dxfId="142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1">
            <x v="0"/>
          </reference>
          <reference field="31" count="1" selected="0">
            <x v="4"/>
          </reference>
        </references>
      </pivotArea>
    </format>
    <format dxfId="141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EB96878-E84E-4A16-9BDE-17BF70C102C5}" autoFormatId="0" applyNumberFormats="0" applyBorderFormats="0" applyFontFormats="1" applyPatternFormats="1" applyAlignmentFormats="0" applyWidthHeightFormats="0">
  <queryTableRefresh nextId="43">
    <queryTableFields count="42">
      <queryTableField id="1" name="SUBGRUPO" tableColumnId="43"/>
      <queryTableField id="2" name="MODALIDADE" tableColumnId="44"/>
      <queryTableField id="3" name="CLASSE" tableColumnId="45"/>
      <queryTableField id="4" name="SUBCLASSE" tableColumnId="46"/>
      <queryTableField id="5" name="DETALHE" tableColumnId="47"/>
      <queryTableField id="6" name="POSTO" tableColumnId="48"/>
      <queryTableField id="7" name="UNIDADE" tableColumnId="49"/>
      <queryTableField id="8" name="ACESSANTE" tableColumnId="50"/>
      <queryTableField id="9" name="Total TUSD" tableColumnId="51"/>
      <queryTableField id="10" name="Total TE" tableColumnId="52"/>
      <queryTableField id="11" name="TUSD_CDE_COVID" tableColumnId="53"/>
      <queryTableField id="12" name="TUSD_TFSEE" tableColumnId="54"/>
      <queryTableField id="13" name="TUSD_PeD" tableColumnId="55"/>
      <queryTableField id="14" name="TUSD_ONS" tableColumnId="56"/>
      <queryTableField id="15" name="TUSD_CCC" tableColumnId="57"/>
      <queryTableField id="16" name="TUSD_CDE" tableColumnId="58"/>
      <queryTableField id="17" name="TUSD_PROINFA" tableColumnId="59"/>
      <queryTableField id="18" name="Liminar1" tableColumnId="60"/>
      <queryTableField id="19" name="TUSD_RB" tableColumnId="61"/>
      <queryTableField id="20" name="TUSD_FR" tableColumnId="62"/>
      <queryTableField id="21" name="TUSD_CCT" tableColumnId="63"/>
      <queryTableField id="22" name="TUSD_CCD" tableColumnId="64"/>
      <queryTableField id="23" name="TUSD_CUSD" tableColumnId="65"/>
      <queryTableField id="24" name="TUSDG_T" tableColumnId="66"/>
      <queryTableField id="25" name="TUSDG_ONS" tableColumnId="67"/>
      <queryTableField id="26" name="TUSD_FioB" tableColumnId="68"/>
      <queryTableField id="27" name="TUSD Subsidio" tableColumnId="69"/>
      <queryTableField id="28" name="TUSD Outros" tableColumnId="70"/>
      <queryTableField id="29" name="TUSD_PT" tableColumnId="71"/>
      <queryTableField id="30" name="TUSD_Per_RB_D" tableColumnId="72"/>
      <queryTableField id="31" name="TUSD_PNT" tableColumnId="73"/>
      <queryTableField id="32" name="TUSD_RI" tableColumnId="74"/>
      <queryTableField id="33" name="TE_CDE_COVID" tableColumnId="75"/>
      <queryTableField id="34" name="TE_PeD" tableColumnId="76"/>
      <queryTableField id="35" name="TE_ESSERR" tableColumnId="77"/>
      <queryTableField id="36" name="TE_CFURH" tableColumnId="78"/>
      <queryTableField id="37" name="TE_ENERGIA" tableColumnId="79"/>
      <queryTableField id="38" name="TE_TRANSPORTE_ITAIPU" tableColumnId="80"/>
      <queryTableField id="39" name="TE_TUST_ITAIPU" tableColumnId="81"/>
      <queryTableField id="40" name="TE_TUST_CI" tableColumnId="82"/>
      <queryTableField id="41" name="TE Subsidio" tableColumnId="83"/>
      <queryTableField id="42" name="TE_Per_RB" tableColumnId="8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217AE7C5-BE7C-4B86-8C0E-71F8CAE3D8ED}" autoFormatId="0" applyNumberFormats="0" applyBorderFormats="0" applyFontFormats="1" applyPatternFormats="1" applyAlignmentFormats="0" applyWidthHeightFormats="0">
  <queryTableRefresh nextId="43">
    <queryTableFields count="42">
      <queryTableField id="1" name="SUBGRUPO" tableColumnId="43"/>
      <queryTableField id="2" name="MODALIDADE" tableColumnId="44"/>
      <queryTableField id="3" name="CLASSE" tableColumnId="45"/>
      <queryTableField id="4" name="SUBCLASSE" tableColumnId="46"/>
      <queryTableField id="5" name="DETALHE" tableColumnId="47"/>
      <queryTableField id="6" name="POSTO" tableColumnId="48"/>
      <queryTableField id="7" name="UNIDADE" tableColumnId="49"/>
      <queryTableField id="8" name="ACESSANTE" tableColumnId="50"/>
      <queryTableField id="9" name="Total TUSD" tableColumnId="51"/>
      <queryTableField id="10" name="Total TE" tableColumnId="52"/>
      <queryTableField id="11" name="TUSD_CDE_COVID" tableColumnId="53"/>
      <queryTableField id="12" name="TUSD_TFSEE" tableColumnId="54"/>
      <queryTableField id="13" name="TUSD_PeD" tableColumnId="55"/>
      <queryTableField id="14" name="TUSD_ONS" tableColumnId="56"/>
      <queryTableField id="15" name="TUSD_CCC" tableColumnId="57"/>
      <queryTableField id="16" name="TUSD_CDE" tableColumnId="58"/>
      <queryTableField id="17" name="TUSD_PROINFA" tableColumnId="59"/>
      <queryTableField id="18" name="Liminar1" tableColumnId="60"/>
      <queryTableField id="19" name="TUSD_RB" tableColumnId="61"/>
      <queryTableField id="20" name="TUSD_FR" tableColumnId="62"/>
      <queryTableField id="21" name="TUSD_CCT" tableColumnId="63"/>
      <queryTableField id="22" name="TUSD_CCD" tableColumnId="64"/>
      <queryTableField id="23" name="TUSD_CUSD" tableColumnId="65"/>
      <queryTableField id="24" name="TUSDG_T" tableColumnId="66"/>
      <queryTableField id="25" name="TUSDG_ONS" tableColumnId="67"/>
      <queryTableField id="26" name="TUSD_FioB" tableColumnId="68"/>
      <queryTableField id="27" name="TUSD Subsidio" tableColumnId="69"/>
      <queryTableField id="28" name="TUSD Outros" tableColumnId="70"/>
      <queryTableField id="29" name="TUSD_PT" tableColumnId="71"/>
      <queryTableField id="30" name="TUSD_Per_RB_D" tableColumnId="72"/>
      <queryTableField id="31" name="TUSD_PNT" tableColumnId="73"/>
      <queryTableField id="32" name="TUSD_RI" tableColumnId="74"/>
      <queryTableField id="33" name="TE_CDE_COVID" tableColumnId="75"/>
      <queryTableField id="34" name="TE_PeD" tableColumnId="76"/>
      <queryTableField id="35" name="TE_ESSERR" tableColumnId="77"/>
      <queryTableField id="36" name="TE_CFURH" tableColumnId="78"/>
      <queryTableField id="37" name="TE_ENERGIA" tableColumnId="79"/>
      <queryTableField id="38" name="TE_TRANSPORTE_ITAIPU" tableColumnId="80"/>
      <queryTableField id="39" name="TE_TUST_ITAIPU" tableColumnId="81"/>
      <queryTableField id="40" name="TE_TUST_CI" tableColumnId="82"/>
      <queryTableField id="41" name="TE Subsidio" tableColumnId="83"/>
      <queryTableField id="42" name="TE_Per_RB" tableColumnId="8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F01452C3-1AC9-4762-9DC1-71DF206A3365}" autoFormatId="0" applyNumberFormats="0" applyBorderFormats="0" applyFontFormats="1" applyPatternFormats="1" applyAlignmentFormats="0" applyWidthHeightFormats="0">
  <queryTableRefresh nextId="43">
    <queryTableFields count="42">
      <queryTableField id="1" name="SUBGRUPO" tableColumnId="43"/>
      <queryTableField id="2" name="MODALIDADE" tableColumnId="44"/>
      <queryTableField id="3" name="CLASSE" tableColumnId="45"/>
      <queryTableField id="4" name="SUBCLASSE" tableColumnId="46"/>
      <queryTableField id="5" name="DETALHE" tableColumnId="47"/>
      <queryTableField id="6" name="POSTO" tableColumnId="48"/>
      <queryTableField id="7" name="UNIDADE" tableColumnId="49"/>
      <queryTableField id="8" name="ACESSANTE" tableColumnId="50"/>
      <queryTableField id="9" name="Total TUSD" tableColumnId="51"/>
      <queryTableField id="10" name="Total TE" tableColumnId="52"/>
      <queryTableField id="11" name="TUSD_CDE_COVID" tableColumnId="53"/>
      <queryTableField id="12" name="TUSD_TFSEE" tableColumnId="54"/>
      <queryTableField id="13" name="TUSD_PeD" tableColumnId="55"/>
      <queryTableField id="14" name="TUSD_ONS" tableColumnId="56"/>
      <queryTableField id="15" name="TUSD_CCC" tableColumnId="57"/>
      <queryTableField id="16" name="TUSD_CDE" tableColumnId="58"/>
      <queryTableField id="17" name="TUSD_PROINFA" tableColumnId="59"/>
      <queryTableField id="18" name="Liminar1" tableColumnId="60"/>
      <queryTableField id="19" name="TUSD_RB" tableColumnId="61"/>
      <queryTableField id="20" name="TUSD_FR" tableColumnId="62"/>
      <queryTableField id="21" name="TUSD_CCT" tableColumnId="63"/>
      <queryTableField id="22" name="TUSD_CCD" tableColumnId="64"/>
      <queryTableField id="23" name="TUSD_CUSD" tableColumnId="65"/>
      <queryTableField id="24" name="TUSDG_T" tableColumnId="66"/>
      <queryTableField id="25" name="TUSDG_ONS" tableColumnId="67"/>
      <queryTableField id="26" name="TUSD_FioB" tableColumnId="68"/>
      <queryTableField id="27" name="TUSD Subsidio" tableColumnId="69"/>
      <queryTableField id="28" name="TUSD Outros" tableColumnId="70"/>
      <queryTableField id="29" name="TUSD_PT" tableColumnId="71"/>
      <queryTableField id="30" name="TUSD_Per_RB_D" tableColumnId="72"/>
      <queryTableField id="31" name="TUSD_PNT" tableColumnId="73"/>
      <queryTableField id="32" name="TUSD_RI" tableColumnId="74"/>
      <queryTableField id="33" name="TE_CDE_COVID" tableColumnId="75"/>
      <queryTableField id="34" name="TE_PeD" tableColumnId="76"/>
      <queryTableField id="35" name="TE_ESSERR" tableColumnId="77"/>
      <queryTableField id="36" name="TE_CFURH" tableColumnId="78"/>
      <queryTableField id="37" name="TE_ENERGIA" tableColumnId="79"/>
      <queryTableField id="38" name="TE_TRANSPORTE_ITAIPU" tableColumnId="80"/>
      <queryTableField id="39" name="TE_TUST_ITAIPU" tableColumnId="81"/>
      <queryTableField id="40" name="TE_TUST_CI" tableColumnId="82"/>
      <queryTableField id="41" name="TE Subsidio" tableColumnId="83"/>
      <queryTableField id="42" name="TE_Per_RB" tableColumnId="8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E25A31-95CD-4423-8AD2-6F682682124E}" name="Efeito" displayName="Efeito" ref="A1:AG332" totalsRowShown="0" headerRowDxfId="575" dataDxfId="574">
  <autoFilter ref="A1:AG332" xr:uid="{7FE25A31-95CD-4423-8AD2-6F682682124E}"/>
  <tableColumns count="33">
    <tableColumn id="1" xr3:uid="{C64B8654-C1AD-4E95-8790-AE576D3CACF4}" name="TipoMercado" dataDxfId="573"/>
    <tableColumn id="2" xr3:uid="{47669191-75CD-4E6E-A873-BCFC97AA2024}" name="Subgrupo" dataDxfId="572"/>
    <tableColumn id="3" xr3:uid="{5FBF6B41-DBD5-4624-81A0-BD2A2DD850BB}" name="Modalidade" dataDxfId="571"/>
    <tableColumn id="4" xr3:uid="{47BB4074-6096-4ED1-A4CA-8CFE96F1FA73}" name="Classe" dataDxfId="570"/>
    <tableColumn id="5" xr3:uid="{E3E71B67-5723-43F5-8911-B13A271CDB2F}" name="Subclasse" dataDxfId="569"/>
    <tableColumn id="6" xr3:uid="{9C01B743-DA53-4C1F-822E-246A34E63910}" name="Detalhe" dataDxfId="568"/>
    <tableColumn id="7" xr3:uid="{D77F0B62-55F3-4C0E-A47F-820D8407350E}" name="Agente" dataDxfId="567"/>
    <tableColumn id="8" xr3:uid="{E6D146DE-6E8B-49BD-B6BB-5EB894932E03}" name="Posto" dataDxfId="566"/>
    <tableColumn id="9" xr3:uid="{8A3D9A0A-5992-45A8-B2D9-DAB53138200F}" name="AnoMes" dataDxfId="565"/>
    <tableColumn id="10" xr3:uid="{6ED1668E-D85E-42DA-BE13-98788A974BB9}" name="D" dataDxfId="564"/>
    <tableColumn id="11" xr3:uid="{FC44912F-EAB2-44FE-A6FF-DEF6079DE9FA}" name="Daj" dataDxfId="563"/>
    <tableColumn id="12" xr3:uid="{D9EBA986-1B3C-4A5A-A4CB-C4E418A2ADE1}" name="TUSD_E" dataDxfId="562"/>
    <tableColumn id="13" xr3:uid="{0F13C628-B89D-432B-A4E0-487D9663D33D}" name="TUSD_Eaj" dataDxfId="561"/>
    <tableColumn id="14" xr3:uid="{7EF67884-8B0B-4E80-8F5D-6889C0F8B87B}" name="TE_E" dataDxfId="560"/>
    <tableColumn id="15" xr3:uid="{1176890E-068F-46FB-9B60-9C2BDF6265FF}" name="TE_Eaj" dataDxfId="559"/>
    <tableColumn id="16" xr3:uid="{C036C942-04E5-4FAC-9482-9981465218D8}" name="UC" dataDxfId="558"/>
    <tableColumn id="17" xr3:uid="{B1859262-C7DB-42AC-9219-2CCFA1A5576B}" name="OPÇÃO" dataDxfId="557"/>
    <tableColumn id="18" xr3:uid="{A0D91F9D-B69A-452C-9C91-39AC1B28D14D}" name="CóD. AUX." dataDxfId="556"/>
    <tableColumn id="19" xr3:uid="{5A161B68-8274-41CF-B909-C0ADF46217C5}" name="CóD. AUX. TUSD R$/kW" dataDxfId="555"/>
    <tableColumn id="20" xr3:uid="{E76A4BC3-753A-4A83-AAA7-46A9CC67681C}" name="CóD. AUX. TUSD R$/MWh" dataDxfId="554"/>
    <tableColumn id="21" xr3:uid="{D8AC4842-9595-4701-B3A9-DE671E12097C}" name="CóD. AUX. TE R$/MWh" dataDxfId="553"/>
    <tableColumn id="22" xr3:uid="{551D81C2-4579-4E25-AAD5-BE4EEA4B3DF6}" name="TUSD (R$/kW)" dataDxfId="552"/>
    <tableColumn id="23" xr3:uid="{8940329E-519C-4DFD-8F19-7C9A9AB31965}" name="TUSD (R$/MWh)" dataDxfId="551"/>
    <tableColumn id="24" xr3:uid="{C3AA1293-DFC8-40AF-AF78-10650B7CDE3E}" name="TE (R$/MWh)" dataDxfId="550"/>
    <tableColumn id="25" xr3:uid="{3CB882DF-047A-4B01-81CE-47C4BE844C08}" name="TUSD (R$/kW) NOVA" dataDxfId="549"/>
    <tableColumn id="26" xr3:uid="{2E085E2E-D737-4E27-AFE0-9840ABB21356}" name="TUSD (R$/MWh) NOVA" dataDxfId="548">
      <calculatedColumnFormula>('TUSD BE'!$AM$50+'TUSD BF'!$AM$50+'TUSD CVA'!$AM$50)*1</calculatedColumnFormula>
    </tableColumn>
    <tableColumn id="27" xr3:uid="{4AD83A0F-4D0E-42E0-843D-D5172721C913}" name="TE (R$/MWh) NOVA" dataDxfId="547">
      <calculatedColumnFormula>('TE BE'!$AA$41+'TE BF'!$AA$41+'TE CVA'!$AA$41)*1</calculatedColumnFormula>
    </tableColumn>
    <tableColumn id="28" xr3:uid="{D9DBDD24-DFB6-472F-96CD-CF6AEBD4CD20}" name="RA0 ou RV - TUSD (kW)" dataDxfId="546"/>
    <tableColumn id="29" xr3:uid="{3BD04374-E73B-4A80-BC05-0940B16BC6C1}" name="RA0 ou RV - TUSD (MWh)" dataDxfId="545"/>
    <tableColumn id="30" xr3:uid="{C4C5B49B-7513-490A-845F-FFD8BF91B8ED}" name="RA0 ou RV - TE (MWh)" dataDxfId="544"/>
    <tableColumn id="31" xr3:uid="{B99D59A2-F30C-45AE-9C09-F5C3D9E3EA29}" name="RA1 ou RRD - TUSD (kW)" dataDxfId="543"/>
    <tableColumn id="32" xr3:uid="{8A0D024E-CFBC-45C6-BCB4-793D0CAA035E}" name="RA1 ou RRD - TUSD (MWh)" dataDxfId="542"/>
    <tableColumn id="33" xr3:uid="{494636D0-4184-42E6-B79E-FC3F83DE73EF}" name="RA1 ou RRD - TE (MWh)" dataDxfId="54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169513-3569-4F96-92B6-C239C36A4A16}" name="Subsidio" displayName="Subsidio" ref="A1:AF157" totalsRowShown="0" headerRowDxfId="540" dataDxfId="539">
  <autoFilter ref="A1:AF157" xr:uid="{98169513-3569-4F96-92B6-C239C36A4A16}"/>
  <tableColumns count="32">
    <tableColumn id="1" xr3:uid="{9C144C6A-402D-4475-82E1-5814B84C3999}" name="TipoMercado" dataDxfId="538"/>
    <tableColumn id="2" xr3:uid="{C9B54F4B-1330-46B6-BCAD-B92316778881}" name="Subgrupo" dataDxfId="537"/>
    <tableColumn id="3" xr3:uid="{5863A245-7ECD-4A30-9A6D-EA30729D61FA}" name="Modalidade" dataDxfId="536"/>
    <tableColumn id="4" xr3:uid="{D63A4617-FA15-4103-ABB2-B007E31DA8C0}" name="Classe" dataDxfId="535"/>
    <tableColumn id="5" xr3:uid="{47739FF0-CD70-4928-A780-A08BB2D13056}" name="Subclasse" dataDxfId="534"/>
    <tableColumn id="6" xr3:uid="{01A3DA5F-47DF-4813-8BBE-FABE5E311662}" name="Detalhe" dataDxfId="533"/>
    <tableColumn id="7" xr3:uid="{76A885BA-7A26-49C1-9D2C-6A710CC73DBC}" name="Agente" dataDxfId="532"/>
    <tableColumn id="8" xr3:uid="{DC2B0A02-1ECC-4A3E-97F2-9117E8188623}" name="Posto" dataDxfId="531"/>
    <tableColumn id="9" xr3:uid="{A7384EF4-6055-4575-A631-33AB778D8099}" name="AnoMes" dataDxfId="530"/>
    <tableColumn id="10" xr3:uid="{6F3B45D5-74D1-4C30-B14D-9A867631481F}" name="D" dataDxfId="529"/>
    <tableColumn id="11" xr3:uid="{46F6A074-7938-481B-84C0-5908FEA762D8}" name="Daj" dataDxfId="528"/>
    <tableColumn id="12" xr3:uid="{8773F79A-CF34-4572-9682-DE8B40BFD588}" name="TUSD_E" dataDxfId="527"/>
    <tableColumn id="13" xr3:uid="{9C68FDC5-A600-42EC-B946-5E7F80D42C31}" name="TUSD_Eaj" dataDxfId="526"/>
    <tableColumn id="14" xr3:uid="{76F41CBD-7CDE-4B02-A3D9-04B107DD7C03}" name="TE_E" dataDxfId="525"/>
    <tableColumn id="15" xr3:uid="{C1F0C064-7061-4F4F-A83F-453194E52858}" name="TE_Eaj" dataDxfId="524"/>
    <tableColumn id="16" xr3:uid="{4E038DBA-066A-4BB2-A849-7A761486A316}" name="UC" dataDxfId="523"/>
    <tableColumn id="17" xr3:uid="{6A3CCE55-2F4E-46A3-84AD-A424B12C6F80}" name="OPÇÃO" dataDxfId="522"/>
    <tableColumn id="18" xr3:uid="{93778DBA-0A80-4E6C-86E2-626E0A535880}" name="CóD. AUX." dataDxfId="521"/>
    <tableColumn id="19" xr3:uid="{B7AD3BC7-0643-4080-9551-F5895ADB37CB}" name="CóD. AUX. TUSD R$/kW" dataDxfId="520"/>
    <tableColumn id="20" xr3:uid="{1D3A34C7-6DFF-4970-84FC-E0913C17DA0D}" name="CóD. AUX. TUSD R$/MWh" dataDxfId="519"/>
    <tableColumn id="21" xr3:uid="{8F35CC5A-A86F-4674-9F5B-F89E1F5547F1}" name="CóD. AUX. TE R$/MWh" dataDxfId="518"/>
    <tableColumn id="22" xr3:uid="{C82E72AD-1874-4878-BC2A-69D8BAD631BF}" name="TUSD (R$/kW)" dataDxfId="517"/>
    <tableColumn id="23" xr3:uid="{CD9F2117-7C5E-4AB0-AF57-0BCD81EF863B}" name="TUSD (R$/MWh)" dataDxfId="516"/>
    <tableColumn id="24" xr3:uid="{58182641-CB75-4112-A9EA-5F1B4D0120CB}" name="TE (R$/MWh)" dataDxfId="515"/>
    <tableColumn id="25" xr3:uid="{35CA4B7B-6185-4BA4-BB4D-9100F5E10BDB}" name="TUSD (R$/kW) NOVA" dataDxfId="514"/>
    <tableColumn id="26" xr3:uid="{E6B470DF-F859-4D86-BE1C-570BE70D68EB}" name="TUSD (R$/MWh) NOVA" dataDxfId="513">
      <calculatedColumnFormula>('TUSD BE'!$AM$48+'TUSD BF'!$AM$48+'TUSD CVA'!$AM$48)*1</calculatedColumnFormula>
    </tableColumn>
    <tableColumn id="27" xr3:uid="{B6C1823B-0876-4D7C-BABC-F40DE4D36CFB}" name="TE (R$/MWh) NOVA" dataDxfId="512">
      <calculatedColumnFormula>('TE BE'!$AA$39+'TE BF'!$AA$39+'TE CVA'!$AA$39)*1</calculatedColumnFormula>
    </tableColumn>
    <tableColumn id="28" xr3:uid="{D3099CC6-8A12-45D9-8D0B-AD857A7DDAF0}" name="SUBSIDIO kW - TV" dataDxfId="511">
      <calculatedColumnFormula>(J2-K2)*V2</calculatedColumnFormula>
    </tableColumn>
    <tableColumn id="29" xr3:uid="{1F59EFFD-AA7B-43C5-9C5B-06913FF1022E}" name="SUBSIDIO MWh - TV" dataDxfId="510">
      <calculatedColumnFormula>(L2-M2)*W2+(N2-O2)*X2</calculatedColumnFormula>
    </tableColumn>
    <tableColumn id="30" xr3:uid="{A277F2AF-46A3-4308-B44A-FE8BDA898E66}" name="SUBSIDIO kW - TN" dataDxfId="509">
      <calculatedColumnFormula>(J2-K2)*Y2</calculatedColumnFormula>
    </tableColumn>
    <tableColumn id="31" xr3:uid="{079A6A0D-5661-4CD6-8107-3CCF297C9048}" name="SUBSIDIO MWh - TN" dataDxfId="508">
      <calculatedColumnFormula>(L2-M2)*Z2+(N2-O2)*AA2</calculatedColumnFormula>
    </tableColumn>
    <tableColumn id="32" xr3:uid="{DA7531B7-01EF-4485-8778-BBFB553D0E01}" name="TIPO" dataDxfId="50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3F60D4-C2CB-4E41-9584-588475F50034}" name="TabelaFin" displayName="TabelaFin" ref="B3:AQ50" tableType="queryTable" totalsRowShown="0" headerRowDxfId="140" dataDxfId="138" headerRowBorderDxfId="139" tableBorderDxfId="137" totalsRowBorderDxfId="136">
  <autoFilter ref="B3:AQ50" xr:uid="{A13F60D4-C2CB-4E41-9584-588475F50034}"/>
  <sortState xmlns:xlrd2="http://schemas.microsoft.com/office/spreadsheetml/2017/richdata2" ref="B4:AQ50">
    <sortCondition ref="B4:B50"/>
    <sortCondition ref="C4:C50"/>
    <sortCondition ref="D4:D50"/>
    <sortCondition ref="E4:E50"/>
    <sortCondition ref="F4:F50"/>
    <sortCondition descending="1" ref="G4:G50"/>
    <sortCondition descending="1" ref="H4:H50"/>
    <sortCondition ref="I4:I50"/>
  </sortState>
  <tableColumns count="42">
    <tableColumn id="43" xr3:uid="{7D696625-8B78-49F9-B242-7B6CFAA800AE}" uniqueName="43" name="SUBGRUPO" queryTableFieldId="1" dataDxfId="135"/>
    <tableColumn id="44" xr3:uid="{F4C39E52-92BC-48B8-B102-E3CE8A2359C7}" uniqueName="44" name="MODALIDADE" queryTableFieldId="2" dataDxfId="134"/>
    <tableColumn id="45" xr3:uid="{3CE329E4-93D8-4C86-A874-5DB0C6F895EE}" uniqueName="45" name="CLASSE" queryTableFieldId="3" dataDxfId="133"/>
    <tableColumn id="46" xr3:uid="{F50570B9-5193-40E8-8770-95CE94E1C10A}" uniqueName="46" name="SUBCLASSE" queryTableFieldId="4" dataDxfId="132"/>
    <tableColumn id="47" xr3:uid="{64318E8D-1313-4CD0-80AE-848FBA4CB15E}" uniqueName="47" name="DETALHE" queryTableFieldId="5" dataDxfId="131"/>
    <tableColumn id="48" xr3:uid="{FC581B84-5F44-4059-8178-D1AE11F04D7E}" uniqueName="48" name="POSTO" queryTableFieldId="6" dataDxfId="130"/>
    <tableColumn id="49" xr3:uid="{CF809574-E2D3-440F-ACB2-27170CE67F65}" uniqueName="49" name="UNIDADE" queryTableFieldId="7" dataDxfId="129"/>
    <tableColumn id="50" xr3:uid="{25604775-D576-4907-8096-D8129E77EC09}" uniqueName="50" name="ACESSANTE" queryTableFieldId="8" dataDxfId="128"/>
    <tableColumn id="51" xr3:uid="{ABA1DAC2-5C45-4BC3-AD19-78CB4102CE84}" uniqueName="51" name="Total TUSD" queryTableFieldId="9" dataDxfId="127"/>
    <tableColumn id="52" xr3:uid="{8C9FEE71-16B8-4B0E-A070-053EDB7B2126}" uniqueName="52" name="Total TE" queryTableFieldId="10" dataDxfId="126"/>
    <tableColumn id="53" xr3:uid="{247DF93A-3AB4-4ED3-9B5C-A1F8A472F45C}" uniqueName="53" name="TUSD_CDE_COVID" queryTableFieldId="11" dataDxfId="125"/>
    <tableColumn id="54" xr3:uid="{10850C27-1F35-4D50-A2EE-138FEEDB1B3A}" uniqueName="54" name="TUSD_TFSEE" queryTableFieldId="12" dataDxfId="124"/>
    <tableColumn id="55" xr3:uid="{20613558-12F9-4859-8671-9C69C5F1BC17}" uniqueName="55" name="TUSD_PeD" queryTableFieldId="13" dataDxfId="123"/>
    <tableColumn id="56" xr3:uid="{48DA0CC0-FE1A-4BF0-9C4C-EF424931A888}" uniqueName="56" name="TUSD_ONS" queryTableFieldId="14" dataDxfId="122"/>
    <tableColumn id="57" xr3:uid="{4E24335A-6E2A-4B58-90C9-08A9491126C9}" uniqueName="57" name="TUSD_CCC" queryTableFieldId="15" dataDxfId="121"/>
    <tableColumn id="58" xr3:uid="{77555846-B148-4F97-91DD-00235C0D3D18}" uniqueName="58" name="TUSD_CDE" queryTableFieldId="16" dataDxfId="120"/>
    <tableColumn id="59" xr3:uid="{68E6982C-CC91-4643-A3A9-4C41991354C7}" uniqueName="59" name="TUSD_PROINFA" queryTableFieldId="17" dataDxfId="119"/>
    <tableColumn id="60" xr3:uid="{86D748C5-EAF6-4E9B-BB15-3D2AF5076054}" uniqueName="60" name="Liminar1" queryTableFieldId="18" dataDxfId="118"/>
    <tableColumn id="61" xr3:uid="{6B485009-4106-46EF-9ED5-9803902F684F}" uniqueName="61" name="TUSD_RB" queryTableFieldId="19" dataDxfId="117"/>
    <tableColumn id="62" xr3:uid="{C2D08740-07E5-4F89-9174-C037DB7ABADC}" uniqueName="62" name="TUSD_FR" queryTableFieldId="20" dataDxfId="116"/>
    <tableColumn id="63" xr3:uid="{A5F1761A-3B62-48BC-8C9A-EB38A460866B}" uniqueName="63" name="TUSD_CCT" queryTableFieldId="21" dataDxfId="115"/>
    <tableColumn id="64" xr3:uid="{074E56B5-E0B3-442C-99CA-231EDE02F14C}" uniqueName="64" name="TUSD_CCD" queryTableFieldId="22" dataDxfId="114"/>
    <tableColumn id="65" xr3:uid="{2CEF3108-A737-4F29-B2D4-108E82F678B5}" uniqueName="65" name="TUSD_CUSD" queryTableFieldId="23" dataDxfId="113"/>
    <tableColumn id="66" xr3:uid="{0BAF198D-FA37-42AB-8D8A-BB64B857033E}" uniqueName="66" name="TUSDG_T" queryTableFieldId="24" dataDxfId="112"/>
    <tableColumn id="67" xr3:uid="{9E33CCA6-818E-4B62-B3E1-C96E508F9D97}" uniqueName="67" name="TUSDG_ONS" queryTableFieldId="25" dataDxfId="111"/>
    <tableColumn id="68" xr3:uid="{B637961B-2C3A-4171-BC01-128E4E69C73F}" uniqueName="68" name="TUSD_FioB" queryTableFieldId="26" dataDxfId="110"/>
    <tableColumn id="69" xr3:uid="{1AABAC11-820B-4C4C-8912-4DADB2AE76CB}" uniqueName="69" name="TUSD Subsidio" queryTableFieldId="27" dataDxfId="109"/>
    <tableColumn id="70" xr3:uid="{42513E65-2AFC-4D9E-ACAA-5E5047029169}" uniqueName="70" name="TUSD Outros" queryTableFieldId="28" dataDxfId="108"/>
    <tableColumn id="71" xr3:uid="{F4D0F0AF-FA74-450A-AC0E-1453DDA89A5B}" uniqueName="71" name="TUSD_PT" queryTableFieldId="29" dataDxfId="107"/>
    <tableColumn id="72" xr3:uid="{C530EEFB-117E-4054-97B1-9E5BD823F0B1}" uniqueName="72" name="TUSD_Per_RB_D" queryTableFieldId="30" dataDxfId="106"/>
    <tableColumn id="73" xr3:uid="{CD0987AE-A75F-4232-9801-748F20830A3E}" uniqueName="73" name="TUSD_PNT" queryTableFieldId="31" dataDxfId="105"/>
    <tableColumn id="74" xr3:uid="{A6CACD5C-F468-4EA5-B944-2AEB19DE4806}" uniqueName="74" name="TUSD_RI" queryTableFieldId="32" dataDxfId="104"/>
    <tableColumn id="75" xr3:uid="{BC0F9866-CF01-488D-871D-94FC5D9836F7}" uniqueName="75" name="TE_CDE_COVID" queryTableFieldId="33" dataDxfId="103"/>
    <tableColumn id="76" xr3:uid="{C76BCF96-DA66-4C02-93FE-9CA6087697A2}" uniqueName="76" name="TE_PeD" queryTableFieldId="34" dataDxfId="102"/>
    <tableColumn id="77" xr3:uid="{F068A6CE-CCF5-44F7-84FD-7E0173122CC2}" uniqueName="77" name="TE_ESSERR" queryTableFieldId="35" dataDxfId="101"/>
    <tableColumn id="78" xr3:uid="{D9E7DE01-BB32-444D-9855-345A664CDA72}" uniqueName="78" name="TE_CFURH" queryTableFieldId="36" dataDxfId="100"/>
    <tableColumn id="79" xr3:uid="{EEEB611E-A648-4950-A85C-D19501C7B6D6}" uniqueName="79" name="TE_ENERGIA" queryTableFieldId="37" dataDxfId="99"/>
    <tableColumn id="80" xr3:uid="{7F406310-B2D9-4F0E-831C-2FD45FC2D024}" uniqueName="80" name="TE_TRANSPORTE_ITAIPU" queryTableFieldId="38" dataDxfId="98"/>
    <tableColumn id="81" xr3:uid="{50F5B04C-7A9E-47CC-A824-99A125128876}" uniqueName="81" name="TE_TUST_ITAIPU" queryTableFieldId="39" dataDxfId="97"/>
    <tableColumn id="82" xr3:uid="{89365C6D-CECD-4E8A-BD14-8973CA72C7BE}" uniqueName="82" name="TE_TUST_CI" queryTableFieldId="40" dataDxfId="96"/>
    <tableColumn id="83" xr3:uid="{184FBA7A-8455-4DBA-AA82-D7C1E0448F61}" uniqueName="83" name="TE Subsidio" queryTableFieldId="41" dataDxfId="95"/>
    <tableColumn id="84" xr3:uid="{206C144A-E038-433E-8E4D-31598894232D}" uniqueName="84" name="TE_Per_RB" queryTableFieldId="42" dataDxfId="9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19AC77-49E6-4239-8529-4C6B57EFB2CA}" name="TabelaEc" displayName="TabelaEc" ref="B3:AQ50" tableType="queryTable" totalsRowShown="0" headerRowDxfId="93" dataDxfId="91" headerRowBorderDxfId="92" tableBorderDxfId="90" totalsRowBorderDxfId="89">
  <autoFilter ref="B3:AQ50" xr:uid="{0E19AC77-49E6-4239-8529-4C6B57EFB2CA}"/>
  <sortState xmlns:xlrd2="http://schemas.microsoft.com/office/spreadsheetml/2017/richdata2" ref="B4:AQ50">
    <sortCondition ref="B4:B50"/>
    <sortCondition ref="C4:C50"/>
    <sortCondition ref="D4:D50"/>
    <sortCondition ref="E4:E50"/>
    <sortCondition ref="F4:F50"/>
    <sortCondition descending="1" ref="G4:G50"/>
    <sortCondition descending="1" ref="H4:H50"/>
    <sortCondition ref="I4:I50"/>
  </sortState>
  <tableColumns count="42">
    <tableColumn id="43" xr3:uid="{13D419E9-0163-4456-9A76-1C732B87AD1B}" uniqueName="43" name="SUBGRUPO" queryTableFieldId="1" dataDxfId="88"/>
    <tableColumn id="44" xr3:uid="{93812486-0544-483D-820D-AC6788411E2E}" uniqueName="44" name="MODALIDADE" queryTableFieldId="2" dataDxfId="87"/>
    <tableColumn id="45" xr3:uid="{62A609D2-A037-4620-8FC5-69060F512CF5}" uniqueName="45" name="CLASSE" queryTableFieldId="3" dataDxfId="86"/>
    <tableColumn id="46" xr3:uid="{0E3DF60A-C76F-4AA1-B782-610BF98C8DAC}" uniqueName="46" name="SUBCLASSE" queryTableFieldId="4" dataDxfId="85"/>
    <tableColumn id="47" xr3:uid="{89660606-4CAC-4D88-BAAC-2ABC430C71E8}" uniqueName="47" name="DETALHE" queryTableFieldId="5" dataDxfId="84"/>
    <tableColumn id="48" xr3:uid="{F489B0DE-9A58-45E7-8986-13B95A9F8F51}" uniqueName="48" name="POSTO" queryTableFieldId="6" dataDxfId="83"/>
    <tableColumn id="49" xr3:uid="{0E5A462F-5B9B-4D7E-9726-668EEF025C50}" uniqueName="49" name="UNIDADE" queryTableFieldId="7" dataDxfId="82"/>
    <tableColumn id="50" xr3:uid="{B68FA387-AFEC-433A-9FEC-5CEC5B2AD5E3}" uniqueName="50" name="ACESSANTE" queryTableFieldId="8" dataDxfId="81"/>
    <tableColumn id="51" xr3:uid="{7D288839-293B-4E42-9827-4457DD47F320}" uniqueName="51" name="Total TUSD" queryTableFieldId="9" dataDxfId="80"/>
    <tableColumn id="52" xr3:uid="{3487B62F-619C-47CB-BBE0-78439E924801}" uniqueName="52" name="Total TE" queryTableFieldId="10" dataDxfId="79"/>
    <tableColumn id="53" xr3:uid="{2BAA1179-9426-4359-8FFE-1FE66FD1C500}" uniqueName="53" name="TUSD_CDE_COVID" queryTableFieldId="11" dataDxfId="78"/>
    <tableColumn id="54" xr3:uid="{82133FCC-0640-4A7A-87E9-A880ADD6BF8D}" uniqueName="54" name="TUSD_TFSEE" queryTableFieldId="12" dataDxfId="77"/>
    <tableColumn id="55" xr3:uid="{2E724606-2420-4779-BBF3-AD2DE823E533}" uniqueName="55" name="TUSD_PeD" queryTableFieldId="13" dataDxfId="76"/>
    <tableColumn id="56" xr3:uid="{3650090B-BAD5-4940-8E17-00C32535B31F}" uniqueName="56" name="TUSD_ONS" queryTableFieldId="14" dataDxfId="75"/>
    <tableColumn id="57" xr3:uid="{86D8A49E-9A7D-4B20-8F59-A751AB03E275}" uniqueName="57" name="TUSD_CCC" queryTableFieldId="15" dataDxfId="74"/>
    <tableColumn id="58" xr3:uid="{3A3CA09E-35AA-4841-86E1-A65B769380BD}" uniqueName="58" name="TUSD_CDE" queryTableFieldId="16" dataDxfId="73"/>
    <tableColumn id="59" xr3:uid="{B32FF2A8-A175-4083-A682-538CA8B6D568}" uniqueName="59" name="TUSD_PROINFA" queryTableFieldId="17" dataDxfId="72"/>
    <tableColumn id="60" xr3:uid="{4472F966-AC9E-4BA8-B322-F2CB17F80C6C}" uniqueName="60" name="Liminar1" queryTableFieldId="18" dataDxfId="71"/>
    <tableColumn id="61" xr3:uid="{0AC9B1E6-6353-47D3-857D-90B611A3CC2A}" uniqueName="61" name="TUSD_RB" queryTableFieldId="19" dataDxfId="70"/>
    <tableColumn id="62" xr3:uid="{51F1862A-3651-43CB-A301-CED436703043}" uniqueName="62" name="TUSD_FR" queryTableFieldId="20" dataDxfId="69"/>
    <tableColumn id="63" xr3:uid="{0DD54FCC-CC8B-4C7E-9C75-636806CCEFC5}" uniqueName="63" name="TUSD_CCT" queryTableFieldId="21" dataDxfId="68"/>
    <tableColumn id="64" xr3:uid="{3C76D3A0-2486-4163-B3E4-0C6805C89E69}" uniqueName="64" name="TUSD_CCD" queryTableFieldId="22" dataDxfId="67"/>
    <tableColumn id="65" xr3:uid="{31835823-0BA9-462B-806B-D18DA8701D09}" uniqueName="65" name="TUSD_CUSD" queryTableFieldId="23" dataDxfId="66"/>
    <tableColumn id="66" xr3:uid="{A81B1EF4-65EC-4D37-BB85-64A602864645}" uniqueName="66" name="TUSDG_T" queryTableFieldId="24" dataDxfId="65"/>
    <tableColumn id="67" xr3:uid="{5F7F816D-B264-465E-8370-3C0B46DF6D76}" uniqueName="67" name="TUSDG_ONS" queryTableFieldId="25" dataDxfId="64"/>
    <tableColumn id="68" xr3:uid="{B51E0A10-1D54-4F53-82E0-7B09C1DEEE62}" uniqueName="68" name="TUSD_FioB" queryTableFieldId="26" dataDxfId="63"/>
    <tableColumn id="69" xr3:uid="{25BF551D-9E49-44D8-8928-43F49115CCA0}" uniqueName="69" name="TUSD Subsidio" queryTableFieldId="27" dataDxfId="62"/>
    <tableColumn id="70" xr3:uid="{A70047F4-EBD4-4DE8-A238-041C01B6D926}" uniqueName="70" name="TUSD Outros" queryTableFieldId="28" dataDxfId="61"/>
    <tableColumn id="71" xr3:uid="{42287834-8027-4774-93C4-FFDA8FCBB785}" uniqueName="71" name="TUSD_PT" queryTableFieldId="29" dataDxfId="60"/>
    <tableColumn id="72" xr3:uid="{9AC63C4C-6005-4766-9CF1-CD092CDDC405}" uniqueName="72" name="TUSD_Per_RB_D" queryTableFieldId="30" dataDxfId="59"/>
    <tableColumn id="73" xr3:uid="{6329C0D4-C690-40D1-AF10-D859E1139B93}" uniqueName="73" name="TUSD_PNT" queryTableFieldId="31" dataDxfId="58"/>
    <tableColumn id="74" xr3:uid="{7EDD6F33-99FA-4009-9C2F-3A719AF08FFF}" uniqueName="74" name="TUSD_RI" queryTableFieldId="32" dataDxfId="57"/>
    <tableColumn id="75" xr3:uid="{8CD0F387-A23F-46AA-A391-0A15DA72AC33}" uniqueName="75" name="TE_CDE_COVID" queryTableFieldId="33" dataDxfId="56"/>
    <tableColumn id="76" xr3:uid="{3B451A16-28B9-4204-A856-0D3206084E6D}" uniqueName="76" name="TE_PeD" queryTableFieldId="34" dataDxfId="55"/>
    <tableColumn id="77" xr3:uid="{9AEF8FCC-72E8-4EBB-9A26-183E5109A7C3}" uniqueName="77" name="TE_ESSERR" queryTableFieldId="35" dataDxfId="54"/>
    <tableColumn id="78" xr3:uid="{15169D7F-7CC8-48E8-86FE-43B728CF784B}" uniqueName="78" name="TE_CFURH" queryTableFieldId="36" dataDxfId="53"/>
    <tableColumn id="79" xr3:uid="{408919D7-97B1-41DA-B1BB-6CD6D76AB6A9}" uniqueName="79" name="TE_ENERGIA" queryTableFieldId="37" dataDxfId="52"/>
    <tableColumn id="80" xr3:uid="{1440A4FE-46B5-42CE-8BCF-A1320B9278B1}" uniqueName="80" name="TE_TRANSPORTE_ITAIPU" queryTableFieldId="38" dataDxfId="51"/>
    <tableColumn id="81" xr3:uid="{9D7DB97E-6932-48B8-9B8E-292A0BEA7339}" uniqueName="81" name="TE_TUST_ITAIPU" queryTableFieldId="39" dataDxfId="50"/>
    <tableColumn id="82" xr3:uid="{D058AC9B-8F74-445D-BE88-F284A35E6331}" uniqueName="82" name="TE_TUST_CI" queryTableFieldId="40" dataDxfId="49"/>
    <tableColumn id="83" xr3:uid="{E0EEAA36-26D8-4DA1-8C69-0B5D1AEE8CE1}" uniqueName="83" name="TE Subsidio" queryTableFieldId="41" dataDxfId="48"/>
    <tableColumn id="84" xr3:uid="{9B172DF8-26AE-4E09-AA42-E050C550167B}" uniqueName="84" name="TE_Per_RB" queryTableFieldId="42" dataDxfId="4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2A9862-5FFD-4EAC-95AB-AEDE36E469BD}" name="TabelaCVA" displayName="TabelaCVA" ref="B3:AQ50" tableType="queryTable" totalsRowShown="0" headerRowDxfId="46" dataDxfId="44" headerRowBorderDxfId="45" tableBorderDxfId="43" totalsRowBorderDxfId="42">
  <autoFilter ref="B3:AQ50" xr:uid="{C32A9862-5FFD-4EAC-95AB-AEDE36E469BD}"/>
  <sortState xmlns:xlrd2="http://schemas.microsoft.com/office/spreadsheetml/2017/richdata2" ref="B4:AQ50">
    <sortCondition ref="B4:B50"/>
    <sortCondition ref="C4:C50"/>
    <sortCondition ref="D4:D50"/>
    <sortCondition ref="E4:E50"/>
    <sortCondition ref="F4:F50"/>
    <sortCondition descending="1" ref="G4:G50"/>
    <sortCondition descending="1" ref="H4:H50"/>
    <sortCondition ref="I4:I50"/>
  </sortState>
  <tableColumns count="42">
    <tableColumn id="43" xr3:uid="{C649E794-4AE8-458A-ACE0-72FEB26327F4}" uniqueName="43" name="SUBGRUPO" queryTableFieldId="1" dataDxfId="41"/>
    <tableColumn id="44" xr3:uid="{3D78E3F7-44FC-4C0A-822C-76E14FCA0E7E}" uniqueName="44" name="MODALIDADE" queryTableFieldId="2" dataDxfId="40"/>
    <tableColumn id="45" xr3:uid="{A631FA37-8945-4A96-909E-14FD46B33D92}" uniqueName="45" name="CLASSE" queryTableFieldId="3" dataDxfId="39"/>
    <tableColumn id="46" xr3:uid="{F5B90AF7-5B0A-44F9-B67E-1D70F57B7E4A}" uniqueName="46" name="SUBCLASSE" queryTableFieldId="4" dataDxfId="38"/>
    <tableColumn id="47" xr3:uid="{D0A04277-B88C-4C9E-9070-551ECDEEBAA6}" uniqueName="47" name="DETALHE" queryTableFieldId="5" dataDxfId="37"/>
    <tableColumn id="48" xr3:uid="{A8740161-A710-474B-B36E-29BC28DC9735}" uniqueName="48" name="POSTO" queryTableFieldId="6" dataDxfId="36"/>
    <tableColumn id="49" xr3:uid="{C667DE99-D230-423D-9DAD-3495D8E2A4F3}" uniqueName="49" name="UNIDADE" queryTableFieldId="7" dataDxfId="35"/>
    <tableColumn id="50" xr3:uid="{297EE8E5-BD18-44BB-9E90-9017C794F0E2}" uniqueName="50" name="ACESSANTE" queryTableFieldId="8" dataDxfId="34"/>
    <tableColumn id="51" xr3:uid="{050C94B2-12DB-48CA-BB51-8F4BB85D6A4A}" uniqueName="51" name="Total TUSD" queryTableFieldId="9" dataDxfId="33"/>
    <tableColumn id="52" xr3:uid="{5172D84A-C994-4768-8F1E-F83CD23BF048}" uniqueName="52" name="Total TE" queryTableFieldId="10" dataDxfId="32"/>
    <tableColumn id="53" xr3:uid="{B25BF311-76AC-408B-B0C5-5F137A21D388}" uniqueName="53" name="TUSD_CDE_COVID" queryTableFieldId="11" dataDxfId="31"/>
    <tableColumn id="54" xr3:uid="{BA4B8852-7EEA-450F-A54B-677589F7B628}" uniqueName="54" name="TUSD_TFSEE" queryTableFieldId="12" dataDxfId="30"/>
    <tableColumn id="55" xr3:uid="{C93D71A4-9768-4172-A04D-BC63CDB17268}" uniqueName="55" name="TUSD_PeD" queryTableFieldId="13" dataDxfId="29"/>
    <tableColumn id="56" xr3:uid="{903ABC3B-6606-4538-851E-7E96FA013D17}" uniqueName="56" name="TUSD_ONS" queryTableFieldId="14" dataDxfId="28"/>
    <tableColumn id="57" xr3:uid="{C420F6F3-E335-4DD9-8916-2ADF452A1246}" uniqueName="57" name="TUSD_CCC" queryTableFieldId="15" dataDxfId="27"/>
    <tableColumn id="58" xr3:uid="{8250B199-A0D0-404B-9F1E-DCC7B7451614}" uniqueName="58" name="TUSD_CDE" queryTableFieldId="16" dataDxfId="26"/>
    <tableColumn id="59" xr3:uid="{747AA33D-CA77-44CF-9E9A-3D9A27F484ED}" uniqueName="59" name="TUSD_PROINFA" queryTableFieldId="17" dataDxfId="25"/>
    <tableColumn id="60" xr3:uid="{51A9E91D-8C0A-4287-A13C-EB5D46C1A980}" uniqueName="60" name="Liminar1" queryTableFieldId="18" dataDxfId="24"/>
    <tableColumn id="61" xr3:uid="{31BF718D-1F5A-4FEF-9D15-86516E083971}" uniqueName="61" name="TUSD_RB" queryTableFieldId="19" dataDxfId="23"/>
    <tableColumn id="62" xr3:uid="{96DDBDC1-5974-4F33-8B62-98ADAD8960B1}" uniqueName="62" name="TUSD_FR" queryTableFieldId="20" dataDxfId="22"/>
    <tableColumn id="63" xr3:uid="{BCC1397C-BB86-411C-B551-647FA76EE3A0}" uniqueName="63" name="TUSD_CCT" queryTableFieldId="21" dataDxfId="21"/>
    <tableColumn id="64" xr3:uid="{C16CBD99-73E4-4CF3-B5D7-66EA175342C5}" uniqueName="64" name="TUSD_CCD" queryTableFieldId="22" dataDxfId="20"/>
    <tableColumn id="65" xr3:uid="{CBBD2A37-2D17-42B4-840D-F91D4A6E220C}" uniqueName="65" name="TUSD_CUSD" queryTableFieldId="23" dataDxfId="19"/>
    <tableColumn id="66" xr3:uid="{3FFFEAFE-962D-4DE2-93F9-15B77920583E}" uniqueName="66" name="TUSDG_T" queryTableFieldId="24" dataDxfId="18"/>
    <tableColumn id="67" xr3:uid="{F9FDABAC-5358-4822-BDBB-22382247ADC2}" uniqueName="67" name="TUSDG_ONS" queryTableFieldId="25" dataDxfId="17"/>
    <tableColumn id="68" xr3:uid="{98647107-08AA-4AF3-90E2-C4DAF9606388}" uniqueName="68" name="TUSD_FioB" queryTableFieldId="26" dataDxfId="16"/>
    <tableColumn id="69" xr3:uid="{777E9AA8-E73C-4785-AAD7-CE001FC45D6E}" uniqueName="69" name="TUSD Subsidio" queryTableFieldId="27" dataDxfId="15"/>
    <tableColumn id="70" xr3:uid="{E851BE9E-DCB8-4C0F-B332-C72EB1E92FA4}" uniqueName="70" name="TUSD Outros" queryTableFieldId="28" dataDxfId="14"/>
    <tableColumn id="71" xr3:uid="{367C8ED8-B79A-4722-8729-C3B3E8A879EC}" uniqueName="71" name="TUSD_PT" queryTableFieldId="29" dataDxfId="13"/>
    <tableColumn id="72" xr3:uid="{27D0F162-B844-47D1-B3E6-3B8E7E38023E}" uniqueName="72" name="TUSD_Per_RB_D" queryTableFieldId="30" dataDxfId="12"/>
    <tableColumn id="73" xr3:uid="{CD5785A7-7F66-4FE7-8E5B-B00580FDA48F}" uniqueName="73" name="TUSD_PNT" queryTableFieldId="31" dataDxfId="11"/>
    <tableColumn id="74" xr3:uid="{AF964A02-D235-4D85-BBFD-CCE4B69F7FFE}" uniqueName="74" name="TUSD_RI" queryTableFieldId="32" dataDxfId="10"/>
    <tableColumn id="75" xr3:uid="{3D67CF2F-6BB4-4332-B2F4-18A727CE06E8}" uniqueName="75" name="TE_CDE_COVID" queryTableFieldId="33" dataDxfId="9"/>
    <tableColumn id="76" xr3:uid="{B733365C-2E81-4F54-9D83-7FBB4AC07DBE}" uniqueName="76" name="TE_PeD" queryTableFieldId="34" dataDxfId="8"/>
    <tableColumn id="77" xr3:uid="{BE074C9D-A86E-4231-BBA0-F9984AB86CA2}" uniqueName="77" name="TE_ESSERR" queryTableFieldId="35" dataDxfId="7"/>
    <tableColumn id="78" xr3:uid="{25535AE9-533F-4EA5-98F8-E982A054FED0}" uniqueName="78" name="TE_CFURH" queryTableFieldId="36" dataDxfId="6"/>
    <tableColumn id="79" xr3:uid="{23A59C1A-E41B-4C0C-82A1-63EEEDB0680B}" uniqueName="79" name="TE_ENERGIA" queryTableFieldId="37" dataDxfId="5"/>
    <tableColumn id="80" xr3:uid="{9A27EC98-E62A-409A-BF18-F04ACE7EC909}" uniqueName="80" name="TE_TRANSPORTE_ITAIPU" queryTableFieldId="38" dataDxfId="4"/>
    <tableColumn id="81" xr3:uid="{D8164687-0986-47F9-AD80-0E9E9110495C}" uniqueName="81" name="TE_TUST_ITAIPU" queryTableFieldId="39" dataDxfId="3"/>
    <tableColumn id="82" xr3:uid="{3D49479F-699B-4F64-BB97-C3515031A8FB}" uniqueName="82" name="TE_TUST_CI" queryTableFieldId="40" dataDxfId="2"/>
    <tableColumn id="83" xr3:uid="{CD201BCD-6D6D-4084-83D7-13295DCD2FDA}" uniqueName="83" name="TE Subsidio" queryTableFieldId="41" dataDxfId="1"/>
    <tableColumn id="84" xr3:uid="{50FC759E-01C3-4E88-B413-3FD14D8D4B00}" uniqueName="84" name="TE_Per_RB" queryTableFieldId="4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1C992-CCA8-4105-9C21-55C47C7237FF}">
  <dimension ref="A1:W332"/>
  <sheetViews>
    <sheetView showGridLines="0" topLeftCell="A289" workbookViewId="0">
      <selection activeCell="T333" sqref="T333"/>
    </sheetView>
  </sheetViews>
  <sheetFormatPr defaultRowHeight="11.25" customHeight="1" x14ac:dyDescent="0.25"/>
  <cols>
    <col min="1" max="1" width="19.140625" style="4" bestFit="1" customWidth="1"/>
    <col min="2" max="2" width="8.7109375" style="4" bestFit="1" customWidth="1"/>
    <col min="3" max="3" width="10.28515625" style="4" bestFit="1" customWidth="1"/>
    <col min="4" max="4" width="13.5703125" style="4" bestFit="1" customWidth="1"/>
    <col min="5" max="5" width="25.140625" style="4" bestFit="1" customWidth="1"/>
    <col min="6" max="6" width="12.85546875" style="4" bestFit="1" customWidth="1"/>
    <col min="7" max="8" width="10.28515625" style="4" bestFit="1" customWidth="1"/>
    <col min="9" max="9" width="8.7109375" style="5" bestFit="1" customWidth="1"/>
    <col min="10" max="11" width="5.7109375" style="6" bestFit="1" customWidth="1"/>
    <col min="12" max="12" width="6.7109375" style="6" bestFit="1" customWidth="1"/>
    <col min="13" max="13" width="8" style="6" bestFit="1" customWidth="1"/>
    <col min="14" max="14" width="5.7109375" style="6" bestFit="1" customWidth="1"/>
    <col min="15" max="15" width="5.85546875" style="6" bestFit="1" customWidth="1"/>
    <col min="16" max="16" width="7" style="6" bestFit="1" customWidth="1"/>
    <col min="17" max="17" width="6.5703125" style="4" bestFit="1" customWidth="1"/>
    <col min="18" max="18" width="8.5703125" style="4" bestFit="1" customWidth="1"/>
    <col min="19" max="19" width="78.140625" style="4" bestFit="1" customWidth="1"/>
    <col min="20" max="20" width="83.85546875" style="4" bestFit="1" customWidth="1"/>
    <col min="21" max="21" width="18.42578125" style="4" bestFit="1" customWidth="1"/>
    <col min="22" max="22" width="19.85546875" style="4" bestFit="1" customWidth="1"/>
    <col min="23" max="23" width="17.7109375" style="4" bestFit="1" customWidth="1"/>
    <col min="24" max="16384" width="9.140625" style="4"/>
  </cols>
  <sheetData>
    <row r="1" spans="1:23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89</v>
      </c>
      <c r="T1" s="1" t="s">
        <v>302</v>
      </c>
      <c r="U1" s="1" t="s">
        <v>18</v>
      </c>
      <c r="V1" s="1" t="s">
        <v>19</v>
      </c>
      <c r="W1" s="1" t="s">
        <v>20</v>
      </c>
    </row>
    <row r="2" spans="1:23" ht="11.25" customHeight="1" x14ac:dyDescent="0.25">
      <c r="A2" s="4" t="s">
        <v>21</v>
      </c>
      <c r="B2" s="4" t="s">
        <v>34</v>
      </c>
      <c r="C2" s="4" t="s">
        <v>35</v>
      </c>
      <c r="D2" s="4" t="s">
        <v>33</v>
      </c>
      <c r="E2" s="4" t="s">
        <v>25</v>
      </c>
      <c r="F2" s="4" t="s">
        <v>25</v>
      </c>
      <c r="G2" s="4" t="s">
        <v>25</v>
      </c>
      <c r="H2" s="4" t="s">
        <v>37</v>
      </c>
      <c r="I2" s="5">
        <v>44317</v>
      </c>
      <c r="J2" s="6">
        <v>0</v>
      </c>
      <c r="K2" s="6">
        <v>0</v>
      </c>
      <c r="L2" s="6">
        <v>20.687999999999999</v>
      </c>
      <c r="M2" s="6">
        <v>20.687999999999999</v>
      </c>
      <c r="N2" s="6">
        <v>20.687999999999999</v>
      </c>
      <c r="O2" s="6">
        <v>20.687999999999999</v>
      </c>
      <c r="P2" s="6">
        <v>0</v>
      </c>
      <c r="Q2" s="4" t="s">
        <v>26</v>
      </c>
      <c r="R2" s="4">
        <v>0</v>
      </c>
      <c r="S2" s="4" t="s">
        <v>90</v>
      </c>
      <c r="T2" s="4" t="s">
        <v>303</v>
      </c>
      <c r="U2" s="4">
        <v>0</v>
      </c>
      <c r="V2" s="4">
        <v>8</v>
      </c>
      <c r="W2" s="4">
        <v>49</v>
      </c>
    </row>
    <row r="3" spans="1:23" ht="11.25" customHeight="1" x14ac:dyDescent="0.25">
      <c r="A3" s="4" t="s">
        <v>21</v>
      </c>
      <c r="B3" s="4" t="s">
        <v>34</v>
      </c>
      <c r="C3" s="4" t="s">
        <v>35</v>
      </c>
      <c r="D3" s="4" t="s">
        <v>33</v>
      </c>
      <c r="E3" s="4" t="s">
        <v>25</v>
      </c>
      <c r="F3" s="4" t="s">
        <v>25</v>
      </c>
      <c r="G3" s="4" t="s">
        <v>25</v>
      </c>
      <c r="H3" s="4" t="s">
        <v>37</v>
      </c>
      <c r="I3" s="5">
        <v>44348</v>
      </c>
      <c r="J3" s="6">
        <v>0</v>
      </c>
      <c r="K3" s="6">
        <v>0</v>
      </c>
      <c r="L3" s="6">
        <v>22.076000000000001</v>
      </c>
      <c r="M3" s="6">
        <v>22.076000000000001</v>
      </c>
      <c r="N3" s="6">
        <v>22.076000000000001</v>
      </c>
      <c r="O3" s="6">
        <v>22.076000000000001</v>
      </c>
      <c r="P3" s="6">
        <v>0</v>
      </c>
      <c r="Q3" s="4" t="s">
        <v>26</v>
      </c>
      <c r="R3" s="4">
        <v>0</v>
      </c>
      <c r="S3" s="4" t="s">
        <v>91</v>
      </c>
      <c r="T3" s="4" t="s">
        <v>304</v>
      </c>
      <c r="U3" s="4">
        <v>0</v>
      </c>
      <c r="V3" s="4">
        <v>8</v>
      </c>
      <c r="W3" s="4">
        <v>49</v>
      </c>
    </row>
    <row r="4" spans="1:23" ht="11.25" customHeight="1" x14ac:dyDescent="0.25">
      <c r="A4" s="4" t="s">
        <v>21</v>
      </c>
      <c r="B4" s="4" t="s">
        <v>34</v>
      </c>
      <c r="C4" s="4" t="s">
        <v>35</v>
      </c>
      <c r="D4" s="4" t="s">
        <v>33</v>
      </c>
      <c r="E4" s="4" t="s">
        <v>25</v>
      </c>
      <c r="F4" s="4" t="s">
        <v>25</v>
      </c>
      <c r="G4" s="4" t="s">
        <v>25</v>
      </c>
      <c r="H4" s="4" t="s">
        <v>37</v>
      </c>
      <c r="I4" s="5">
        <v>44378</v>
      </c>
      <c r="J4" s="6">
        <v>0</v>
      </c>
      <c r="K4" s="6">
        <v>0</v>
      </c>
      <c r="L4" s="6">
        <v>22.064</v>
      </c>
      <c r="M4" s="6">
        <v>22.064</v>
      </c>
      <c r="N4" s="6">
        <v>22.064</v>
      </c>
      <c r="O4" s="6">
        <v>22.064</v>
      </c>
      <c r="P4" s="6">
        <v>0</v>
      </c>
      <c r="Q4" s="4" t="s">
        <v>26</v>
      </c>
      <c r="R4" s="4">
        <v>0</v>
      </c>
      <c r="S4" s="4" t="s">
        <v>92</v>
      </c>
      <c r="T4" s="4" t="s">
        <v>305</v>
      </c>
      <c r="U4" s="4">
        <v>0</v>
      </c>
      <c r="V4" s="4">
        <v>8</v>
      </c>
      <c r="W4" s="4">
        <v>49</v>
      </c>
    </row>
    <row r="5" spans="1:23" ht="11.25" customHeight="1" x14ac:dyDescent="0.25">
      <c r="A5" s="4" t="s">
        <v>21</v>
      </c>
      <c r="B5" s="4" t="s">
        <v>34</v>
      </c>
      <c r="C5" s="4" t="s">
        <v>35</v>
      </c>
      <c r="D5" s="4" t="s">
        <v>33</v>
      </c>
      <c r="E5" s="4" t="s">
        <v>25</v>
      </c>
      <c r="F5" s="4" t="s">
        <v>25</v>
      </c>
      <c r="G5" s="4" t="s">
        <v>25</v>
      </c>
      <c r="H5" s="4" t="s">
        <v>37</v>
      </c>
      <c r="I5" s="5">
        <v>44409</v>
      </c>
      <c r="J5" s="6">
        <v>0</v>
      </c>
      <c r="K5" s="6">
        <v>0</v>
      </c>
      <c r="L5" s="6">
        <v>24.585999999999999</v>
      </c>
      <c r="M5" s="6">
        <v>24.585999999999999</v>
      </c>
      <c r="N5" s="6">
        <v>24.585999999999999</v>
      </c>
      <c r="O5" s="6">
        <v>24.585999999999999</v>
      </c>
      <c r="P5" s="6">
        <v>0</v>
      </c>
      <c r="Q5" s="4" t="s">
        <v>26</v>
      </c>
      <c r="R5" s="4">
        <v>0</v>
      </c>
      <c r="S5" s="4" t="s">
        <v>93</v>
      </c>
      <c r="T5" s="4" t="s">
        <v>306</v>
      </c>
      <c r="U5" s="4">
        <v>0</v>
      </c>
      <c r="V5" s="4">
        <v>8</v>
      </c>
      <c r="W5" s="4">
        <v>49</v>
      </c>
    </row>
    <row r="6" spans="1:23" ht="11.25" customHeight="1" x14ac:dyDescent="0.25">
      <c r="A6" s="4" t="s">
        <v>21</v>
      </c>
      <c r="B6" s="4" t="s">
        <v>34</v>
      </c>
      <c r="C6" s="4" t="s">
        <v>35</v>
      </c>
      <c r="D6" s="4" t="s">
        <v>33</v>
      </c>
      <c r="E6" s="4" t="s">
        <v>25</v>
      </c>
      <c r="F6" s="4" t="s">
        <v>25</v>
      </c>
      <c r="G6" s="4" t="s">
        <v>25</v>
      </c>
      <c r="H6" s="4" t="s">
        <v>37</v>
      </c>
      <c r="I6" s="5">
        <v>44440</v>
      </c>
      <c r="J6" s="6">
        <v>0</v>
      </c>
      <c r="K6" s="6">
        <v>0</v>
      </c>
      <c r="L6" s="6">
        <v>30.41</v>
      </c>
      <c r="M6" s="6">
        <v>30.41</v>
      </c>
      <c r="N6" s="6">
        <v>30.41</v>
      </c>
      <c r="O6" s="6">
        <v>30.41</v>
      </c>
      <c r="P6" s="6">
        <v>0</v>
      </c>
      <c r="Q6" s="4" t="s">
        <v>26</v>
      </c>
      <c r="R6" s="4">
        <v>0</v>
      </c>
      <c r="S6" s="4" t="s">
        <v>94</v>
      </c>
      <c r="T6" s="4" t="s">
        <v>307</v>
      </c>
      <c r="U6" s="4">
        <v>0</v>
      </c>
      <c r="V6" s="4">
        <v>8</v>
      </c>
      <c r="W6" s="4">
        <v>49</v>
      </c>
    </row>
    <row r="7" spans="1:23" ht="11.25" customHeight="1" x14ac:dyDescent="0.25">
      <c r="A7" s="4" t="s">
        <v>21</v>
      </c>
      <c r="B7" s="4" t="s">
        <v>34</v>
      </c>
      <c r="C7" s="4" t="s">
        <v>35</v>
      </c>
      <c r="D7" s="4" t="s">
        <v>33</v>
      </c>
      <c r="E7" s="4" t="s">
        <v>25</v>
      </c>
      <c r="F7" s="4" t="s">
        <v>25</v>
      </c>
      <c r="G7" s="4" t="s">
        <v>25</v>
      </c>
      <c r="H7" s="4" t="s">
        <v>37</v>
      </c>
      <c r="I7" s="5">
        <v>44470</v>
      </c>
      <c r="J7" s="6">
        <v>0</v>
      </c>
      <c r="K7" s="6">
        <v>0</v>
      </c>
      <c r="L7" s="6">
        <v>27.844000000000001</v>
      </c>
      <c r="M7" s="6">
        <v>27.844000000000001</v>
      </c>
      <c r="N7" s="6">
        <v>27.844000000000001</v>
      </c>
      <c r="O7" s="6">
        <v>27.844000000000001</v>
      </c>
      <c r="P7" s="6">
        <v>0</v>
      </c>
      <c r="Q7" s="4" t="s">
        <v>26</v>
      </c>
      <c r="R7" s="4">
        <v>0</v>
      </c>
      <c r="S7" s="4" t="s">
        <v>95</v>
      </c>
      <c r="T7" s="4" t="s">
        <v>308</v>
      </c>
      <c r="U7" s="4">
        <v>0</v>
      </c>
      <c r="V7" s="4">
        <v>8</v>
      </c>
      <c r="W7" s="4">
        <v>49</v>
      </c>
    </row>
    <row r="8" spans="1:23" ht="11.25" customHeight="1" x14ac:dyDescent="0.25">
      <c r="A8" s="4" t="s">
        <v>21</v>
      </c>
      <c r="B8" s="4" t="s">
        <v>34</v>
      </c>
      <c r="C8" s="4" t="s">
        <v>35</v>
      </c>
      <c r="D8" s="4" t="s">
        <v>33</v>
      </c>
      <c r="E8" s="4" t="s">
        <v>25</v>
      </c>
      <c r="F8" s="4" t="s">
        <v>25</v>
      </c>
      <c r="G8" s="4" t="s">
        <v>25</v>
      </c>
      <c r="H8" s="4" t="s">
        <v>37</v>
      </c>
      <c r="I8" s="5">
        <v>44501</v>
      </c>
      <c r="J8" s="6">
        <v>0</v>
      </c>
      <c r="K8" s="6">
        <v>0</v>
      </c>
      <c r="L8" s="6">
        <v>30.475000000000001</v>
      </c>
      <c r="M8" s="6">
        <v>30.475000000000001</v>
      </c>
      <c r="N8" s="6">
        <v>30.475000000000001</v>
      </c>
      <c r="O8" s="6">
        <v>30.475000000000001</v>
      </c>
      <c r="P8" s="6">
        <v>0</v>
      </c>
      <c r="Q8" s="4" t="s">
        <v>26</v>
      </c>
      <c r="R8" s="4">
        <v>0</v>
      </c>
      <c r="S8" s="4" t="s">
        <v>96</v>
      </c>
      <c r="T8" s="4" t="s">
        <v>309</v>
      </c>
      <c r="U8" s="4">
        <v>0</v>
      </c>
      <c r="V8" s="4">
        <v>8</v>
      </c>
      <c r="W8" s="4">
        <v>49</v>
      </c>
    </row>
    <row r="9" spans="1:23" ht="11.25" customHeight="1" x14ac:dyDescent="0.25">
      <c r="A9" s="4" t="s">
        <v>21</v>
      </c>
      <c r="B9" s="4" t="s">
        <v>34</v>
      </c>
      <c r="C9" s="4" t="s">
        <v>35</v>
      </c>
      <c r="D9" s="4" t="s">
        <v>33</v>
      </c>
      <c r="E9" s="4" t="s">
        <v>25</v>
      </c>
      <c r="F9" s="4" t="s">
        <v>25</v>
      </c>
      <c r="G9" s="4" t="s">
        <v>25</v>
      </c>
      <c r="H9" s="4" t="s">
        <v>37</v>
      </c>
      <c r="I9" s="5">
        <v>44531</v>
      </c>
      <c r="J9" s="6">
        <v>0</v>
      </c>
      <c r="K9" s="6">
        <v>0</v>
      </c>
      <c r="L9" s="6">
        <v>31.911000000000001</v>
      </c>
      <c r="M9" s="6">
        <v>31.911000000000001</v>
      </c>
      <c r="N9" s="6">
        <v>31.911000000000001</v>
      </c>
      <c r="O9" s="6">
        <v>31.911000000000001</v>
      </c>
      <c r="P9" s="6">
        <v>0</v>
      </c>
      <c r="Q9" s="4" t="s">
        <v>26</v>
      </c>
      <c r="R9" s="4">
        <v>0</v>
      </c>
      <c r="S9" s="4" t="s">
        <v>97</v>
      </c>
      <c r="T9" s="4" t="s">
        <v>310</v>
      </c>
      <c r="U9" s="4">
        <v>0</v>
      </c>
      <c r="V9" s="4">
        <v>8</v>
      </c>
      <c r="W9" s="4">
        <v>49</v>
      </c>
    </row>
    <row r="10" spans="1:23" ht="11.25" customHeight="1" x14ac:dyDescent="0.25">
      <c r="A10" s="4" t="s">
        <v>21</v>
      </c>
      <c r="B10" s="4" t="s">
        <v>34</v>
      </c>
      <c r="C10" s="4" t="s">
        <v>35</v>
      </c>
      <c r="D10" s="4" t="s">
        <v>33</v>
      </c>
      <c r="E10" s="4" t="s">
        <v>25</v>
      </c>
      <c r="F10" s="4" t="s">
        <v>25</v>
      </c>
      <c r="G10" s="4" t="s">
        <v>25</v>
      </c>
      <c r="H10" s="4" t="s">
        <v>37</v>
      </c>
      <c r="I10" s="5">
        <v>44562</v>
      </c>
      <c r="J10" s="6">
        <v>0</v>
      </c>
      <c r="K10" s="6">
        <v>0</v>
      </c>
      <c r="L10" s="6">
        <v>23.591000000000001</v>
      </c>
      <c r="M10" s="6">
        <v>23.591000000000001</v>
      </c>
      <c r="N10" s="6">
        <v>23.591000000000001</v>
      </c>
      <c r="O10" s="6">
        <v>23.591000000000001</v>
      </c>
      <c r="P10" s="6">
        <v>0</v>
      </c>
      <c r="Q10" s="4" t="s">
        <v>26</v>
      </c>
      <c r="R10" s="4">
        <v>0</v>
      </c>
      <c r="S10" s="4" t="s">
        <v>98</v>
      </c>
      <c r="T10" s="4" t="s">
        <v>311</v>
      </c>
      <c r="U10" s="4">
        <v>0</v>
      </c>
      <c r="V10" s="4">
        <v>8</v>
      </c>
      <c r="W10" s="4">
        <v>49</v>
      </c>
    </row>
    <row r="11" spans="1:23" ht="11.25" customHeight="1" x14ac:dyDescent="0.25">
      <c r="A11" s="4" t="s">
        <v>21</v>
      </c>
      <c r="B11" s="4" t="s">
        <v>34</v>
      </c>
      <c r="C11" s="4" t="s">
        <v>35</v>
      </c>
      <c r="D11" s="4" t="s">
        <v>33</v>
      </c>
      <c r="E11" s="4" t="s">
        <v>25</v>
      </c>
      <c r="F11" s="4" t="s">
        <v>25</v>
      </c>
      <c r="G11" s="4" t="s">
        <v>25</v>
      </c>
      <c r="H11" s="4" t="s">
        <v>37</v>
      </c>
      <c r="I11" s="5">
        <v>44593</v>
      </c>
      <c r="J11" s="6">
        <v>0</v>
      </c>
      <c r="K11" s="6">
        <v>0</v>
      </c>
      <c r="L11" s="6">
        <v>23.384</v>
      </c>
      <c r="M11" s="6">
        <v>23.384</v>
      </c>
      <c r="N11" s="6">
        <v>23.384</v>
      </c>
      <c r="O11" s="6">
        <v>23.384</v>
      </c>
      <c r="P11" s="6">
        <v>0</v>
      </c>
      <c r="Q11" s="4" t="s">
        <v>26</v>
      </c>
      <c r="R11" s="4">
        <v>0</v>
      </c>
      <c r="S11" s="4" t="s">
        <v>99</v>
      </c>
      <c r="T11" s="4" t="s">
        <v>312</v>
      </c>
      <c r="U11" s="4">
        <v>0</v>
      </c>
      <c r="V11" s="4">
        <v>8</v>
      </c>
      <c r="W11" s="4">
        <v>49</v>
      </c>
    </row>
    <row r="12" spans="1:23" ht="11.25" customHeight="1" x14ac:dyDescent="0.25">
      <c r="A12" s="4" t="s">
        <v>21</v>
      </c>
      <c r="B12" s="4" t="s">
        <v>34</v>
      </c>
      <c r="C12" s="4" t="s">
        <v>35</v>
      </c>
      <c r="D12" s="4" t="s">
        <v>33</v>
      </c>
      <c r="E12" s="4" t="s">
        <v>25</v>
      </c>
      <c r="F12" s="4" t="s">
        <v>25</v>
      </c>
      <c r="G12" s="4" t="s">
        <v>25</v>
      </c>
      <c r="H12" s="4" t="s">
        <v>37</v>
      </c>
      <c r="I12" s="5">
        <v>44621</v>
      </c>
      <c r="J12" s="6">
        <v>0</v>
      </c>
      <c r="K12" s="6">
        <v>0</v>
      </c>
      <c r="L12" s="6">
        <v>27.555</v>
      </c>
      <c r="M12" s="6">
        <v>27.555</v>
      </c>
      <c r="N12" s="6">
        <v>27.555</v>
      </c>
      <c r="O12" s="6">
        <v>27.555</v>
      </c>
      <c r="P12" s="6">
        <v>0</v>
      </c>
      <c r="Q12" s="4" t="s">
        <v>26</v>
      </c>
      <c r="R12" s="4">
        <v>0</v>
      </c>
      <c r="S12" s="4" t="s">
        <v>100</v>
      </c>
      <c r="T12" s="4" t="s">
        <v>313</v>
      </c>
      <c r="U12" s="4">
        <v>0</v>
      </c>
      <c r="V12" s="4">
        <v>8</v>
      </c>
      <c r="W12" s="4">
        <v>49</v>
      </c>
    </row>
    <row r="13" spans="1:23" ht="11.25" customHeight="1" x14ac:dyDescent="0.25">
      <c r="A13" s="4" t="s">
        <v>21</v>
      </c>
      <c r="B13" s="4" t="s">
        <v>34</v>
      </c>
      <c r="C13" s="4" t="s">
        <v>35</v>
      </c>
      <c r="D13" s="4" t="s">
        <v>33</v>
      </c>
      <c r="E13" s="4" t="s">
        <v>25</v>
      </c>
      <c r="F13" s="4" t="s">
        <v>25</v>
      </c>
      <c r="G13" s="4" t="s">
        <v>25</v>
      </c>
      <c r="H13" s="4" t="s">
        <v>37</v>
      </c>
      <c r="I13" s="5">
        <v>44652</v>
      </c>
      <c r="J13" s="6">
        <v>0</v>
      </c>
      <c r="K13" s="6">
        <v>0</v>
      </c>
      <c r="L13" s="6">
        <v>25.942</v>
      </c>
      <c r="M13" s="6">
        <v>25.942</v>
      </c>
      <c r="N13" s="6">
        <v>25.942</v>
      </c>
      <c r="O13" s="6">
        <v>25.942</v>
      </c>
      <c r="P13" s="6">
        <v>0</v>
      </c>
      <c r="Q13" s="4" t="s">
        <v>26</v>
      </c>
      <c r="R13" s="4">
        <v>0</v>
      </c>
      <c r="S13" s="4" t="s">
        <v>101</v>
      </c>
      <c r="T13" s="4" t="s">
        <v>314</v>
      </c>
      <c r="U13" s="4">
        <v>0</v>
      </c>
      <c r="V13" s="4">
        <v>8</v>
      </c>
      <c r="W13" s="4">
        <v>49</v>
      </c>
    </row>
    <row r="14" spans="1:23" ht="11.25" customHeight="1" x14ac:dyDescent="0.25">
      <c r="A14" s="4" t="s">
        <v>21</v>
      </c>
      <c r="B14" s="4" t="s">
        <v>34</v>
      </c>
      <c r="C14" s="4" t="s">
        <v>35</v>
      </c>
      <c r="D14" s="4" t="s">
        <v>33</v>
      </c>
      <c r="E14" s="4" t="s">
        <v>25</v>
      </c>
      <c r="F14" s="4" t="s">
        <v>25</v>
      </c>
      <c r="G14" s="4" t="s">
        <v>25</v>
      </c>
      <c r="H14" s="4" t="s">
        <v>25</v>
      </c>
      <c r="I14" s="5">
        <v>44317</v>
      </c>
      <c r="J14" s="6">
        <v>120</v>
      </c>
      <c r="K14" s="6">
        <v>120</v>
      </c>
      <c r="L14" s="6">
        <v>0</v>
      </c>
      <c r="M14" s="6">
        <v>0</v>
      </c>
      <c r="N14" s="6">
        <v>0</v>
      </c>
      <c r="O14" s="6">
        <v>0</v>
      </c>
      <c r="P14" s="6">
        <v>1</v>
      </c>
      <c r="Q14" s="4" t="s">
        <v>26</v>
      </c>
      <c r="R14" s="4">
        <v>0</v>
      </c>
      <c r="S14" s="4" t="s">
        <v>102</v>
      </c>
      <c r="U14" s="4">
        <v>6</v>
      </c>
      <c r="V14" s="4">
        <v>0</v>
      </c>
      <c r="W14" s="4">
        <v>0</v>
      </c>
    </row>
    <row r="15" spans="1:23" ht="11.25" customHeight="1" x14ac:dyDescent="0.25">
      <c r="A15" s="4" t="s">
        <v>21</v>
      </c>
      <c r="B15" s="4" t="s">
        <v>34</v>
      </c>
      <c r="C15" s="4" t="s">
        <v>35</v>
      </c>
      <c r="D15" s="4" t="s">
        <v>33</v>
      </c>
      <c r="E15" s="4" t="s">
        <v>25</v>
      </c>
      <c r="F15" s="4" t="s">
        <v>25</v>
      </c>
      <c r="G15" s="4" t="s">
        <v>25</v>
      </c>
      <c r="H15" s="4" t="s">
        <v>25</v>
      </c>
      <c r="I15" s="5">
        <v>44348</v>
      </c>
      <c r="J15" s="6">
        <v>120</v>
      </c>
      <c r="K15" s="6">
        <v>120</v>
      </c>
      <c r="L15" s="6">
        <v>0</v>
      </c>
      <c r="M15" s="6">
        <v>0</v>
      </c>
      <c r="N15" s="6">
        <v>0</v>
      </c>
      <c r="O15" s="6">
        <v>0</v>
      </c>
      <c r="P15" s="6">
        <v>1</v>
      </c>
      <c r="Q15" s="4" t="s">
        <v>26</v>
      </c>
      <c r="R15" s="4">
        <v>0</v>
      </c>
      <c r="S15" s="4" t="s">
        <v>103</v>
      </c>
      <c r="U15" s="4">
        <v>6</v>
      </c>
      <c r="V15" s="4">
        <v>0</v>
      </c>
      <c r="W15" s="4">
        <v>0</v>
      </c>
    </row>
    <row r="16" spans="1:23" ht="11.25" customHeight="1" x14ac:dyDescent="0.25">
      <c r="A16" s="4" t="s">
        <v>21</v>
      </c>
      <c r="B16" s="4" t="s">
        <v>34</v>
      </c>
      <c r="C16" s="4" t="s">
        <v>35</v>
      </c>
      <c r="D16" s="4" t="s">
        <v>33</v>
      </c>
      <c r="E16" s="4" t="s">
        <v>25</v>
      </c>
      <c r="F16" s="4" t="s">
        <v>25</v>
      </c>
      <c r="G16" s="4" t="s">
        <v>25</v>
      </c>
      <c r="H16" s="4" t="s">
        <v>25</v>
      </c>
      <c r="I16" s="5">
        <v>44378</v>
      </c>
      <c r="J16" s="6">
        <v>120</v>
      </c>
      <c r="K16" s="6">
        <v>120</v>
      </c>
      <c r="L16" s="6">
        <v>0</v>
      </c>
      <c r="M16" s="6">
        <v>0</v>
      </c>
      <c r="N16" s="6">
        <v>0</v>
      </c>
      <c r="O16" s="6">
        <v>0</v>
      </c>
      <c r="P16" s="6">
        <v>1</v>
      </c>
      <c r="Q16" s="4" t="s">
        <v>26</v>
      </c>
      <c r="R16" s="4">
        <v>0</v>
      </c>
      <c r="S16" s="4" t="s">
        <v>104</v>
      </c>
      <c r="U16" s="4">
        <v>6</v>
      </c>
      <c r="V16" s="4">
        <v>0</v>
      </c>
      <c r="W16" s="4">
        <v>0</v>
      </c>
    </row>
    <row r="17" spans="1:23" ht="11.25" customHeight="1" x14ac:dyDescent="0.25">
      <c r="A17" s="4" t="s">
        <v>21</v>
      </c>
      <c r="B17" s="4" t="s">
        <v>34</v>
      </c>
      <c r="C17" s="4" t="s">
        <v>35</v>
      </c>
      <c r="D17" s="4" t="s">
        <v>33</v>
      </c>
      <c r="E17" s="4" t="s">
        <v>25</v>
      </c>
      <c r="F17" s="4" t="s">
        <v>25</v>
      </c>
      <c r="G17" s="4" t="s">
        <v>25</v>
      </c>
      <c r="H17" s="4" t="s">
        <v>25</v>
      </c>
      <c r="I17" s="5">
        <v>44409</v>
      </c>
      <c r="J17" s="6">
        <v>120</v>
      </c>
      <c r="K17" s="6">
        <v>120</v>
      </c>
      <c r="L17" s="6">
        <v>0</v>
      </c>
      <c r="M17" s="6">
        <v>0</v>
      </c>
      <c r="N17" s="6">
        <v>0</v>
      </c>
      <c r="O17" s="6">
        <v>0</v>
      </c>
      <c r="P17" s="6">
        <v>1</v>
      </c>
      <c r="Q17" s="4" t="s">
        <v>26</v>
      </c>
      <c r="R17" s="4">
        <v>0</v>
      </c>
      <c r="S17" s="4" t="s">
        <v>105</v>
      </c>
      <c r="U17" s="4">
        <v>6</v>
      </c>
      <c r="V17" s="4">
        <v>0</v>
      </c>
      <c r="W17" s="4">
        <v>0</v>
      </c>
    </row>
    <row r="18" spans="1:23" ht="11.25" customHeight="1" x14ac:dyDescent="0.25">
      <c r="A18" s="4" t="s">
        <v>21</v>
      </c>
      <c r="B18" s="4" t="s">
        <v>34</v>
      </c>
      <c r="C18" s="4" t="s">
        <v>35</v>
      </c>
      <c r="D18" s="4" t="s">
        <v>33</v>
      </c>
      <c r="E18" s="4" t="s">
        <v>25</v>
      </c>
      <c r="F18" s="4" t="s">
        <v>25</v>
      </c>
      <c r="G18" s="4" t="s">
        <v>25</v>
      </c>
      <c r="H18" s="4" t="s">
        <v>25</v>
      </c>
      <c r="I18" s="5">
        <v>44440</v>
      </c>
      <c r="J18" s="6">
        <v>120</v>
      </c>
      <c r="K18" s="6">
        <v>120</v>
      </c>
      <c r="L18" s="6">
        <v>0</v>
      </c>
      <c r="M18" s="6">
        <v>0</v>
      </c>
      <c r="N18" s="6">
        <v>0</v>
      </c>
      <c r="O18" s="6">
        <v>0</v>
      </c>
      <c r="P18" s="6">
        <v>1</v>
      </c>
      <c r="Q18" s="4" t="s">
        <v>26</v>
      </c>
      <c r="R18" s="4">
        <v>0</v>
      </c>
      <c r="S18" s="4" t="s">
        <v>106</v>
      </c>
      <c r="U18" s="4">
        <v>6</v>
      </c>
      <c r="V18" s="4">
        <v>0</v>
      </c>
      <c r="W18" s="4">
        <v>0</v>
      </c>
    </row>
    <row r="19" spans="1:23" ht="11.25" customHeight="1" x14ac:dyDescent="0.25">
      <c r="A19" s="4" t="s">
        <v>21</v>
      </c>
      <c r="B19" s="4" t="s">
        <v>34</v>
      </c>
      <c r="C19" s="4" t="s">
        <v>35</v>
      </c>
      <c r="D19" s="4" t="s">
        <v>33</v>
      </c>
      <c r="E19" s="4" t="s">
        <v>25</v>
      </c>
      <c r="F19" s="4" t="s">
        <v>25</v>
      </c>
      <c r="G19" s="4" t="s">
        <v>25</v>
      </c>
      <c r="H19" s="4" t="s">
        <v>25</v>
      </c>
      <c r="I19" s="5">
        <v>44470</v>
      </c>
      <c r="J19" s="6">
        <v>123</v>
      </c>
      <c r="K19" s="6">
        <v>123</v>
      </c>
      <c r="L19" s="6">
        <v>0</v>
      </c>
      <c r="M19" s="6">
        <v>0</v>
      </c>
      <c r="N19" s="6">
        <v>0</v>
      </c>
      <c r="O19" s="6">
        <v>0</v>
      </c>
      <c r="P19" s="6">
        <v>1</v>
      </c>
      <c r="Q19" s="4" t="s">
        <v>26</v>
      </c>
      <c r="R19" s="4">
        <v>0</v>
      </c>
      <c r="S19" s="4" t="s">
        <v>107</v>
      </c>
      <c r="U19" s="4">
        <v>6</v>
      </c>
      <c r="V19" s="4">
        <v>0</v>
      </c>
      <c r="W19" s="4">
        <v>0</v>
      </c>
    </row>
    <row r="20" spans="1:23" ht="11.25" customHeight="1" x14ac:dyDescent="0.25">
      <c r="A20" s="4" t="s">
        <v>21</v>
      </c>
      <c r="B20" s="4" t="s">
        <v>34</v>
      </c>
      <c r="C20" s="4" t="s">
        <v>35</v>
      </c>
      <c r="D20" s="4" t="s">
        <v>33</v>
      </c>
      <c r="E20" s="4" t="s">
        <v>25</v>
      </c>
      <c r="F20" s="4" t="s">
        <v>25</v>
      </c>
      <c r="G20" s="4" t="s">
        <v>25</v>
      </c>
      <c r="H20" s="4" t="s">
        <v>25</v>
      </c>
      <c r="I20" s="5">
        <v>44501</v>
      </c>
      <c r="J20" s="6">
        <v>120</v>
      </c>
      <c r="K20" s="6">
        <v>120</v>
      </c>
      <c r="L20" s="6">
        <v>0</v>
      </c>
      <c r="M20" s="6">
        <v>0</v>
      </c>
      <c r="N20" s="6">
        <v>0</v>
      </c>
      <c r="O20" s="6">
        <v>0</v>
      </c>
      <c r="P20" s="6">
        <v>1</v>
      </c>
      <c r="Q20" s="4" t="s">
        <v>26</v>
      </c>
      <c r="R20" s="4">
        <v>0</v>
      </c>
      <c r="S20" s="4" t="s">
        <v>108</v>
      </c>
      <c r="U20" s="4">
        <v>6</v>
      </c>
      <c r="V20" s="4">
        <v>0</v>
      </c>
      <c r="W20" s="4">
        <v>0</v>
      </c>
    </row>
    <row r="21" spans="1:23" ht="11.25" customHeight="1" x14ac:dyDescent="0.25">
      <c r="A21" s="4" t="s">
        <v>21</v>
      </c>
      <c r="B21" s="4" t="s">
        <v>34</v>
      </c>
      <c r="C21" s="4" t="s">
        <v>35</v>
      </c>
      <c r="D21" s="4" t="s">
        <v>33</v>
      </c>
      <c r="E21" s="4" t="s">
        <v>25</v>
      </c>
      <c r="F21" s="4" t="s">
        <v>25</v>
      </c>
      <c r="G21" s="4" t="s">
        <v>25</v>
      </c>
      <c r="H21" s="4" t="s">
        <v>25</v>
      </c>
      <c r="I21" s="5">
        <v>44531</v>
      </c>
      <c r="J21" s="6">
        <v>120</v>
      </c>
      <c r="K21" s="6">
        <v>120</v>
      </c>
      <c r="L21" s="6">
        <v>0</v>
      </c>
      <c r="M21" s="6">
        <v>0</v>
      </c>
      <c r="N21" s="6">
        <v>0</v>
      </c>
      <c r="O21" s="6">
        <v>0</v>
      </c>
      <c r="P21" s="6">
        <v>1</v>
      </c>
      <c r="Q21" s="4" t="s">
        <v>26</v>
      </c>
      <c r="R21" s="4">
        <v>0</v>
      </c>
      <c r="S21" s="4" t="s">
        <v>109</v>
      </c>
      <c r="U21" s="4">
        <v>6</v>
      </c>
      <c r="V21" s="4">
        <v>0</v>
      </c>
      <c r="W21" s="4">
        <v>0</v>
      </c>
    </row>
    <row r="22" spans="1:23" ht="11.25" customHeight="1" x14ac:dyDescent="0.25">
      <c r="A22" s="4" t="s">
        <v>21</v>
      </c>
      <c r="B22" s="4" t="s">
        <v>34</v>
      </c>
      <c r="C22" s="4" t="s">
        <v>35</v>
      </c>
      <c r="D22" s="4" t="s">
        <v>33</v>
      </c>
      <c r="E22" s="4" t="s">
        <v>25</v>
      </c>
      <c r="F22" s="4" t="s">
        <v>25</v>
      </c>
      <c r="G22" s="4" t="s">
        <v>25</v>
      </c>
      <c r="H22" s="4" t="s">
        <v>25</v>
      </c>
      <c r="I22" s="5">
        <v>44562</v>
      </c>
      <c r="J22" s="6">
        <v>120</v>
      </c>
      <c r="K22" s="6">
        <v>120</v>
      </c>
      <c r="L22" s="6">
        <v>0</v>
      </c>
      <c r="M22" s="6">
        <v>0</v>
      </c>
      <c r="N22" s="6">
        <v>0</v>
      </c>
      <c r="O22" s="6">
        <v>0</v>
      </c>
      <c r="P22" s="6">
        <v>1</v>
      </c>
      <c r="Q22" s="4" t="s">
        <v>26</v>
      </c>
      <c r="R22" s="4">
        <v>0</v>
      </c>
      <c r="S22" s="4" t="s">
        <v>110</v>
      </c>
      <c r="U22" s="4">
        <v>6</v>
      </c>
      <c r="V22" s="4">
        <v>0</v>
      </c>
      <c r="W22" s="4">
        <v>0</v>
      </c>
    </row>
    <row r="23" spans="1:23" ht="11.25" customHeight="1" x14ac:dyDescent="0.25">
      <c r="A23" s="4" t="s">
        <v>21</v>
      </c>
      <c r="B23" s="4" t="s">
        <v>34</v>
      </c>
      <c r="C23" s="4" t="s">
        <v>35</v>
      </c>
      <c r="D23" s="4" t="s">
        <v>33</v>
      </c>
      <c r="E23" s="4" t="s">
        <v>25</v>
      </c>
      <c r="F23" s="4" t="s">
        <v>25</v>
      </c>
      <c r="G23" s="4" t="s">
        <v>25</v>
      </c>
      <c r="H23" s="4" t="s">
        <v>25</v>
      </c>
      <c r="I23" s="5">
        <v>44593</v>
      </c>
      <c r="J23" s="6">
        <v>120</v>
      </c>
      <c r="K23" s="6">
        <v>120</v>
      </c>
      <c r="L23" s="6">
        <v>0</v>
      </c>
      <c r="M23" s="6">
        <v>0</v>
      </c>
      <c r="N23" s="6">
        <v>0</v>
      </c>
      <c r="O23" s="6">
        <v>0</v>
      </c>
      <c r="P23" s="6">
        <v>1</v>
      </c>
      <c r="Q23" s="4" t="s">
        <v>26</v>
      </c>
      <c r="R23" s="4">
        <v>0</v>
      </c>
      <c r="S23" s="4" t="s">
        <v>111</v>
      </c>
      <c r="U23" s="4">
        <v>6</v>
      </c>
      <c r="V23" s="4">
        <v>0</v>
      </c>
      <c r="W23" s="4">
        <v>0</v>
      </c>
    </row>
    <row r="24" spans="1:23" ht="11.25" customHeight="1" x14ac:dyDescent="0.25">
      <c r="A24" s="4" t="s">
        <v>21</v>
      </c>
      <c r="B24" s="4" t="s">
        <v>34</v>
      </c>
      <c r="C24" s="4" t="s">
        <v>35</v>
      </c>
      <c r="D24" s="4" t="s">
        <v>33</v>
      </c>
      <c r="E24" s="4" t="s">
        <v>25</v>
      </c>
      <c r="F24" s="4" t="s">
        <v>25</v>
      </c>
      <c r="G24" s="4" t="s">
        <v>25</v>
      </c>
      <c r="H24" s="4" t="s">
        <v>25</v>
      </c>
      <c r="I24" s="5">
        <v>44621</v>
      </c>
      <c r="J24" s="6">
        <v>122</v>
      </c>
      <c r="K24" s="6">
        <v>122</v>
      </c>
      <c r="L24" s="6">
        <v>0</v>
      </c>
      <c r="M24" s="6">
        <v>0</v>
      </c>
      <c r="N24" s="6">
        <v>0</v>
      </c>
      <c r="O24" s="6">
        <v>0</v>
      </c>
      <c r="P24" s="6">
        <v>1</v>
      </c>
      <c r="Q24" s="4" t="s">
        <v>26</v>
      </c>
      <c r="R24" s="4">
        <v>0</v>
      </c>
      <c r="S24" s="4" t="s">
        <v>112</v>
      </c>
      <c r="U24" s="4">
        <v>6</v>
      </c>
      <c r="V24" s="4">
        <v>0</v>
      </c>
      <c r="W24" s="4">
        <v>0</v>
      </c>
    </row>
    <row r="25" spans="1:23" ht="11.25" customHeight="1" x14ac:dyDescent="0.25">
      <c r="A25" s="4" t="s">
        <v>21</v>
      </c>
      <c r="B25" s="4" t="s">
        <v>34</v>
      </c>
      <c r="C25" s="4" t="s">
        <v>35</v>
      </c>
      <c r="D25" s="4" t="s">
        <v>33</v>
      </c>
      <c r="E25" s="4" t="s">
        <v>25</v>
      </c>
      <c r="F25" s="4" t="s">
        <v>25</v>
      </c>
      <c r="G25" s="4" t="s">
        <v>25</v>
      </c>
      <c r="H25" s="4" t="s">
        <v>25</v>
      </c>
      <c r="I25" s="5">
        <v>44652</v>
      </c>
      <c r="J25" s="6">
        <v>120</v>
      </c>
      <c r="K25" s="6">
        <v>120</v>
      </c>
      <c r="L25" s="6">
        <v>0</v>
      </c>
      <c r="M25" s="6">
        <v>0</v>
      </c>
      <c r="N25" s="6">
        <v>0</v>
      </c>
      <c r="O25" s="6">
        <v>0</v>
      </c>
      <c r="P25" s="6">
        <v>1</v>
      </c>
      <c r="Q25" s="4" t="s">
        <v>26</v>
      </c>
      <c r="R25" s="4">
        <v>0</v>
      </c>
      <c r="S25" s="4" t="s">
        <v>113</v>
      </c>
      <c r="U25" s="4">
        <v>6</v>
      </c>
      <c r="V25" s="4">
        <v>0</v>
      </c>
      <c r="W25" s="4">
        <v>0</v>
      </c>
    </row>
    <row r="26" spans="1:23" ht="11.25" customHeight="1" x14ac:dyDescent="0.25">
      <c r="A26" s="4" t="s">
        <v>21</v>
      </c>
      <c r="B26" s="4" t="s">
        <v>34</v>
      </c>
      <c r="C26" s="4" t="s">
        <v>35</v>
      </c>
      <c r="D26" s="4" t="s">
        <v>33</v>
      </c>
      <c r="E26" s="4" t="s">
        <v>25</v>
      </c>
      <c r="F26" s="4" t="s">
        <v>25</v>
      </c>
      <c r="G26" s="4" t="s">
        <v>25</v>
      </c>
      <c r="H26" s="4" t="s">
        <v>36</v>
      </c>
      <c r="I26" s="5">
        <v>44317</v>
      </c>
      <c r="J26" s="6">
        <v>0</v>
      </c>
      <c r="K26" s="6">
        <v>0</v>
      </c>
      <c r="L26" s="6">
        <v>0.17</v>
      </c>
      <c r="M26" s="6">
        <v>0.17</v>
      </c>
      <c r="N26" s="6">
        <v>0.17</v>
      </c>
      <c r="O26" s="6">
        <v>0.17</v>
      </c>
      <c r="P26" s="6">
        <v>0</v>
      </c>
      <c r="Q26" s="4" t="s">
        <v>26</v>
      </c>
      <c r="R26" s="4">
        <v>0</v>
      </c>
      <c r="S26" s="4" t="s">
        <v>114</v>
      </c>
      <c r="T26" s="4" t="s">
        <v>319</v>
      </c>
      <c r="U26" s="4">
        <v>0</v>
      </c>
      <c r="V26" s="4">
        <v>7</v>
      </c>
      <c r="W26" s="4">
        <v>48</v>
      </c>
    </row>
    <row r="27" spans="1:23" ht="11.25" customHeight="1" x14ac:dyDescent="0.25">
      <c r="A27" s="4" t="s">
        <v>21</v>
      </c>
      <c r="B27" s="4" t="s">
        <v>34</v>
      </c>
      <c r="C27" s="4" t="s">
        <v>35</v>
      </c>
      <c r="D27" s="4" t="s">
        <v>33</v>
      </c>
      <c r="E27" s="4" t="s">
        <v>25</v>
      </c>
      <c r="F27" s="4" t="s">
        <v>25</v>
      </c>
      <c r="G27" s="4" t="s">
        <v>25</v>
      </c>
      <c r="H27" s="4" t="s">
        <v>36</v>
      </c>
      <c r="I27" s="5">
        <v>44348</v>
      </c>
      <c r="J27" s="6">
        <v>0</v>
      </c>
      <c r="K27" s="6">
        <v>0</v>
      </c>
      <c r="L27" s="6">
        <v>0.17599999999999999</v>
      </c>
      <c r="M27" s="6">
        <v>0.17599999999999999</v>
      </c>
      <c r="N27" s="6">
        <v>0.17599999999999999</v>
      </c>
      <c r="O27" s="6">
        <v>0.17599999999999999</v>
      </c>
      <c r="P27" s="6">
        <v>0</v>
      </c>
      <c r="Q27" s="4" t="s">
        <v>26</v>
      </c>
      <c r="R27" s="4">
        <v>0</v>
      </c>
      <c r="S27" s="4" t="s">
        <v>115</v>
      </c>
      <c r="T27" s="4" t="s">
        <v>320</v>
      </c>
      <c r="U27" s="4">
        <v>0</v>
      </c>
      <c r="V27" s="4">
        <v>7</v>
      </c>
      <c r="W27" s="4">
        <v>48</v>
      </c>
    </row>
    <row r="28" spans="1:23" ht="11.25" customHeight="1" x14ac:dyDescent="0.25">
      <c r="A28" s="4" t="s">
        <v>21</v>
      </c>
      <c r="B28" s="4" t="s">
        <v>34</v>
      </c>
      <c r="C28" s="4" t="s">
        <v>35</v>
      </c>
      <c r="D28" s="4" t="s">
        <v>33</v>
      </c>
      <c r="E28" s="4" t="s">
        <v>25</v>
      </c>
      <c r="F28" s="4" t="s">
        <v>25</v>
      </c>
      <c r="G28" s="4" t="s">
        <v>25</v>
      </c>
      <c r="H28" s="4" t="s">
        <v>36</v>
      </c>
      <c r="I28" s="5">
        <v>44378</v>
      </c>
      <c r="J28" s="6">
        <v>0</v>
      </c>
      <c r="K28" s="6">
        <v>0</v>
      </c>
      <c r="L28" s="6">
        <v>0.23699999999999999</v>
      </c>
      <c r="M28" s="6">
        <v>0.23699999999999999</v>
      </c>
      <c r="N28" s="6">
        <v>0.23699999999999999</v>
      </c>
      <c r="O28" s="6">
        <v>0.23699999999999999</v>
      </c>
      <c r="P28" s="6">
        <v>0</v>
      </c>
      <c r="Q28" s="4" t="s">
        <v>26</v>
      </c>
      <c r="R28" s="4">
        <v>0</v>
      </c>
      <c r="S28" s="4" t="s">
        <v>116</v>
      </c>
      <c r="T28" s="4" t="s">
        <v>321</v>
      </c>
      <c r="U28" s="4">
        <v>0</v>
      </c>
      <c r="V28" s="4">
        <v>7</v>
      </c>
      <c r="W28" s="4">
        <v>48</v>
      </c>
    </row>
    <row r="29" spans="1:23" ht="11.25" customHeight="1" x14ac:dyDescent="0.25">
      <c r="A29" s="4" t="s">
        <v>21</v>
      </c>
      <c r="B29" s="4" t="s">
        <v>34</v>
      </c>
      <c r="C29" s="4" t="s">
        <v>35</v>
      </c>
      <c r="D29" s="4" t="s">
        <v>33</v>
      </c>
      <c r="E29" s="4" t="s">
        <v>25</v>
      </c>
      <c r="F29" s="4" t="s">
        <v>25</v>
      </c>
      <c r="G29" s="4" t="s">
        <v>25</v>
      </c>
      <c r="H29" s="4" t="s">
        <v>36</v>
      </c>
      <c r="I29" s="5">
        <v>44409</v>
      </c>
      <c r="J29" s="6">
        <v>0</v>
      </c>
      <c r="K29" s="6">
        <v>0</v>
      </c>
      <c r="L29" s="6">
        <v>0.28000000000000003</v>
      </c>
      <c r="M29" s="6">
        <v>0.28000000000000003</v>
      </c>
      <c r="N29" s="6">
        <v>0.28000000000000003</v>
      </c>
      <c r="O29" s="6">
        <v>0.28000000000000003</v>
      </c>
      <c r="P29" s="6">
        <v>0</v>
      </c>
      <c r="Q29" s="4" t="s">
        <v>26</v>
      </c>
      <c r="R29" s="4">
        <v>0</v>
      </c>
      <c r="S29" s="4" t="s">
        <v>117</v>
      </c>
      <c r="T29" s="4" t="s">
        <v>322</v>
      </c>
      <c r="U29" s="4">
        <v>0</v>
      </c>
      <c r="V29" s="4">
        <v>7</v>
      </c>
      <c r="W29" s="4">
        <v>48</v>
      </c>
    </row>
    <row r="30" spans="1:23" ht="11.25" customHeight="1" x14ac:dyDescent="0.25">
      <c r="A30" s="4" t="s">
        <v>21</v>
      </c>
      <c r="B30" s="4" t="s">
        <v>34</v>
      </c>
      <c r="C30" s="4" t="s">
        <v>35</v>
      </c>
      <c r="D30" s="4" t="s">
        <v>33</v>
      </c>
      <c r="E30" s="4" t="s">
        <v>25</v>
      </c>
      <c r="F30" s="4" t="s">
        <v>25</v>
      </c>
      <c r="G30" s="4" t="s">
        <v>25</v>
      </c>
      <c r="H30" s="4" t="s">
        <v>36</v>
      </c>
      <c r="I30" s="5">
        <v>44440</v>
      </c>
      <c r="J30" s="6">
        <v>0</v>
      </c>
      <c r="K30" s="6">
        <v>0</v>
      </c>
      <c r="L30" s="6">
        <v>0.21299999999999999</v>
      </c>
      <c r="M30" s="6">
        <v>0.21299999999999999</v>
      </c>
      <c r="N30" s="6">
        <v>0.21299999999999999</v>
      </c>
      <c r="O30" s="6">
        <v>0.21299999999999999</v>
      </c>
      <c r="P30" s="6">
        <v>0</v>
      </c>
      <c r="Q30" s="4" t="s">
        <v>26</v>
      </c>
      <c r="R30" s="4">
        <v>0</v>
      </c>
      <c r="S30" s="4" t="s">
        <v>118</v>
      </c>
      <c r="T30" s="4" t="s">
        <v>323</v>
      </c>
      <c r="U30" s="4">
        <v>0</v>
      </c>
      <c r="V30" s="4">
        <v>7</v>
      </c>
      <c r="W30" s="4">
        <v>48</v>
      </c>
    </row>
    <row r="31" spans="1:23" ht="11.25" customHeight="1" x14ac:dyDescent="0.25">
      <c r="A31" s="4" t="s">
        <v>21</v>
      </c>
      <c r="B31" s="4" t="s">
        <v>34</v>
      </c>
      <c r="C31" s="4" t="s">
        <v>35</v>
      </c>
      <c r="D31" s="4" t="s">
        <v>33</v>
      </c>
      <c r="E31" s="4" t="s">
        <v>25</v>
      </c>
      <c r="F31" s="4" t="s">
        <v>25</v>
      </c>
      <c r="G31" s="4" t="s">
        <v>25</v>
      </c>
      <c r="H31" s="4" t="s">
        <v>36</v>
      </c>
      <c r="I31" s="5">
        <v>44470</v>
      </c>
      <c r="J31" s="6">
        <v>0</v>
      </c>
      <c r="K31" s="6">
        <v>0</v>
      </c>
      <c r="L31" s="6">
        <v>0.14199999999999999</v>
      </c>
      <c r="M31" s="6">
        <v>0.14199999999999999</v>
      </c>
      <c r="N31" s="6">
        <v>0.14199999999999999</v>
      </c>
      <c r="O31" s="6">
        <v>0.14199999999999999</v>
      </c>
      <c r="P31" s="6">
        <v>0</v>
      </c>
      <c r="Q31" s="4" t="s">
        <v>26</v>
      </c>
      <c r="R31" s="4">
        <v>0</v>
      </c>
      <c r="S31" s="4" t="s">
        <v>119</v>
      </c>
      <c r="T31" s="4" t="s">
        <v>324</v>
      </c>
      <c r="U31" s="4">
        <v>0</v>
      </c>
      <c r="V31" s="4">
        <v>7</v>
      </c>
      <c r="W31" s="4">
        <v>48</v>
      </c>
    </row>
    <row r="32" spans="1:23" ht="11.25" customHeight="1" x14ac:dyDescent="0.25">
      <c r="A32" s="4" t="s">
        <v>21</v>
      </c>
      <c r="B32" s="4" t="s">
        <v>34</v>
      </c>
      <c r="C32" s="4" t="s">
        <v>35</v>
      </c>
      <c r="D32" s="4" t="s">
        <v>33</v>
      </c>
      <c r="E32" s="4" t="s">
        <v>25</v>
      </c>
      <c r="F32" s="4" t="s">
        <v>25</v>
      </c>
      <c r="G32" s="4" t="s">
        <v>25</v>
      </c>
      <c r="H32" s="4" t="s">
        <v>36</v>
      </c>
      <c r="I32" s="5">
        <v>44501</v>
      </c>
      <c r="J32" s="6">
        <v>0</v>
      </c>
      <c r="K32" s="6">
        <v>0</v>
      </c>
      <c r="L32" s="6">
        <v>0.18</v>
      </c>
      <c r="M32" s="6">
        <v>0.18</v>
      </c>
      <c r="N32" s="6">
        <v>0.18</v>
      </c>
      <c r="O32" s="6">
        <v>0.18</v>
      </c>
      <c r="P32" s="6">
        <v>0</v>
      </c>
      <c r="Q32" s="4" t="s">
        <v>26</v>
      </c>
      <c r="R32" s="4">
        <v>0</v>
      </c>
      <c r="S32" s="4" t="s">
        <v>120</v>
      </c>
      <c r="T32" s="4" t="s">
        <v>325</v>
      </c>
      <c r="U32" s="4">
        <v>0</v>
      </c>
      <c r="V32" s="4">
        <v>7</v>
      </c>
      <c r="W32" s="4">
        <v>48</v>
      </c>
    </row>
    <row r="33" spans="1:23" ht="11.25" customHeight="1" x14ac:dyDescent="0.25">
      <c r="A33" s="4" t="s">
        <v>21</v>
      </c>
      <c r="B33" s="4" t="s">
        <v>34</v>
      </c>
      <c r="C33" s="4" t="s">
        <v>35</v>
      </c>
      <c r="D33" s="4" t="s">
        <v>33</v>
      </c>
      <c r="E33" s="4" t="s">
        <v>25</v>
      </c>
      <c r="F33" s="4" t="s">
        <v>25</v>
      </c>
      <c r="G33" s="4" t="s">
        <v>25</v>
      </c>
      <c r="H33" s="4" t="s">
        <v>36</v>
      </c>
      <c r="I33" s="5">
        <v>44531</v>
      </c>
      <c r="J33" s="6">
        <v>0</v>
      </c>
      <c r="K33" s="6">
        <v>0</v>
      </c>
      <c r="L33" s="6">
        <v>0.222</v>
      </c>
      <c r="M33" s="6">
        <v>0.222</v>
      </c>
      <c r="N33" s="6">
        <v>0.222</v>
      </c>
      <c r="O33" s="6">
        <v>0.222</v>
      </c>
      <c r="P33" s="6">
        <v>0</v>
      </c>
      <c r="Q33" s="4" t="s">
        <v>26</v>
      </c>
      <c r="R33" s="4">
        <v>0</v>
      </c>
      <c r="S33" s="4" t="s">
        <v>121</v>
      </c>
      <c r="T33" s="4" t="s">
        <v>326</v>
      </c>
      <c r="U33" s="4">
        <v>0</v>
      </c>
      <c r="V33" s="4">
        <v>7</v>
      </c>
      <c r="W33" s="4">
        <v>48</v>
      </c>
    </row>
    <row r="34" spans="1:23" ht="11.25" customHeight="1" x14ac:dyDescent="0.25">
      <c r="A34" s="4" t="s">
        <v>21</v>
      </c>
      <c r="B34" s="4" t="s">
        <v>34</v>
      </c>
      <c r="C34" s="4" t="s">
        <v>35</v>
      </c>
      <c r="D34" s="4" t="s">
        <v>33</v>
      </c>
      <c r="E34" s="4" t="s">
        <v>25</v>
      </c>
      <c r="F34" s="4" t="s">
        <v>25</v>
      </c>
      <c r="G34" s="4" t="s">
        <v>25</v>
      </c>
      <c r="H34" s="4" t="s">
        <v>36</v>
      </c>
      <c r="I34" s="5">
        <v>44562</v>
      </c>
      <c r="J34" s="6">
        <v>0</v>
      </c>
      <c r="K34" s="6">
        <v>0</v>
      </c>
      <c r="L34" s="6">
        <v>0.16</v>
      </c>
      <c r="M34" s="6">
        <v>0.16</v>
      </c>
      <c r="N34" s="6">
        <v>0.16</v>
      </c>
      <c r="O34" s="6">
        <v>0.16</v>
      </c>
      <c r="P34" s="6">
        <v>0</v>
      </c>
      <c r="Q34" s="4" t="s">
        <v>26</v>
      </c>
      <c r="R34" s="4">
        <v>0</v>
      </c>
      <c r="S34" s="4" t="s">
        <v>122</v>
      </c>
      <c r="T34" s="4" t="s">
        <v>327</v>
      </c>
      <c r="U34" s="4">
        <v>0</v>
      </c>
      <c r="V34" s="4">
        <v>7</v>
      </c>
      <c r="W34" s="4">
        <v>48</v>
      </c>
    </row>
    <row r="35" spans="1:23" ht="11.25" customHeight="1" x14ac:dyDescent="0.25">
      <c r="A35" s="4" t="s">
        <v>21</v>
      </c>
      <c r="B35" s="4" t="s">
        <v>34</v>
      </c>
      <c r="C35" s="4" t="s">
        <v>35</v>
      </c>
      <c r="D35" s="4" t="s">
        <v>33</v>
      </c>
      <c r="E35" s="4" t="s">
        <v>25</v>
      </c>
      <c r="F35" s="4" t="s">
        <v>25</v>
      </c>
      <c r="G35" s="4" t="s">
        <v>25</v>
      </c>
      <c r="H35" s="4" t="s">
        <v>36</v>
      </c>
      <c r="I35" s="5">
        <v>44593</v>
      </c>
      <c r="J35" s="6">
        <v>0</v>
      </c>
      <c r="K35" s="6">
        <v>0</v>
      </c>
      <c r="L35" s="6">
        <v>0.14399999999999999</v>
      </c>
      <c r="M35" s="6">
        <v>0.14399999999999999</v>
      </c>
      <c r="N35" s="6">
        <v>0.14399999999999999</v>
      </c>
      <c r="O35" s="6">
        <v>0.14399999999999999</v>
      </c>
      <c r="P35" s="6">
        <v>0</v>
      </c>
      <c r="Q35" s="4" t="s">
        <v>26</v>
      </c>
      <c r="R35" s="4">
        <v>0</v>
      </c>
      <c r="S35" s="4" t="s">
        <v>123</v>
      </c>
      <c r="T35" s="4" t="s">
        <v>328</v>
      </c>
      <c r="U35" s="4">
        <v>0</v>
      </c>
      <c r="V35" s="4">
        <v>7</v>
      </c>
      <c r="W35" s="4">
        <v>48</v>
      </c>
    </row>
    <row r="36" spans="1:23" ht="11.25" customHeight="1" x14ac:dyDescent="0.25">
      <c r="A36" s="4" t="s">
        <v>21</v>
      </c>
      <c r="B36" s="4" t="s">
        <v>34</v>
      </c>
      <c r="C36" s="4" t="s">
        <v>35</v>
      </c>
      <c r="D36" s="4" t="s">
        <v>33</v>
      </c>
      <c r="E36" s="4" t="s">
        <v>25</v>
      </c>
      <c r="F36" s="4" t="s">
        <v>25</v>
      </c>
      <c r="G36" s="4" t="s">
        <v>25</v>
      </c>
      <c r="H36" s="4" t="s">
        <v>36</v>
      </c>
      <c r="I36" s="5">
        <v>44621</v>
      </c>
      <c r="J36" s="6">
        <v>0</v>
      </c>
      <c r="K36" s="6">
        <v>0</v>
      </c>
      <c r="L36" s="6">
        <v>0.21</v>
      </c>
      <c r="M36" s="6">
        <v>0.21</v>
      </c>
      <c r="N36" s="6">
        <v>0.21</v>
      </c>
      <c r="O36" s="6">
        <v>0.21</v>
      </c>
      <c r="P36" s="6">
        <v>0</v>
      </c>
      <c r="Q36" s="4" t="s">
        <v>26</v>
      </c>
      <c r="R36" s="4">
        <v>0</v>
      </c>
      <c r="S36" s="4" t="s">
        <v>124</v>
      </c>
      <c r="T36" s="4" t="s">
        <v>329</v>
      </c>
      <c r="U36" s="4">
        <v>0</v>
      </c>
      <c r="V36" s="4">
        <v>7</v>
      </c>
      <c r="W36" s="4">
        <v>48</v>
      </c>
    </row>
    <row r="37" spans="1:23" ht="11.25" customHeight="1" x14ac:dyDescent="0.25">
      <c r="A37" s="4" t="s">
        <v>21</v>
      </c>
      <c r="B37" s="4" t="s">
        <v>34</v>
      </c>
      <c r="C37" s="4" t="s">
        <v>35</v>
      </c>
      <c r="D37" s="4" t="s">
        <v>33</v>
      </c>
      <c r="E37" s="4" t="s">
        <v>25</v>
      </c>
      <c r="F37" s="4" t="s">
        <v>25</v>
      </c>
      <c r="G37" s="4" t="s">
        <v>25</v>
      </c>
      <c r="H37" s="4" t="s">
        <v>36</v>
      </c>
      <c r="I37" s="5">
        <v>44652</v>
      </c>
      <c r="J37" s="6">
        <v>0</v>
      </c>
      <c r="K37" s="6">
        <v>0</v>
      </c>
      <c r="L37" s="6">
        <v>0.158</v>
      </c>
      <c r="M37" s="6">
        <v>0.158</v>
      </c>
      <c r="N37" s="6">
        <v>0.158</v>
      </c>
      <c r="O37" s="6">
        <v>0.158</v>
      </c>
      <c r="P37" s="6">
        <v>0</v>
      </c>
      <c r="Q37" s="4" t="s">
        <v>26</v>
      </c>
      <c r="R37" s="4">
        <v>0</v>
      </c>
      <c r="S37" s="4" t="s">
        <v>125</v>
      </c>
      <c r="T37" s="4" t="s">
        <v>330</v>
      </c>
      <c r="U37" s="4">
        <v>0</v>
      </c>
      <c r="V37" s="4">
        <v>7</v>
      </c>
      <c r="W37" s="4">
        <v>48</v>
      </c>
    </row>
    <row r="38" spans="1:23" ht="11.25" customHeight="1" x14ac:dyDescent="0.25">
      <c r="A38" s="4" t="s">
        <v>21</v>
      </c>
      <c r="B38" s="4" t="s">
        <v>22</v>
      </c>
      <c r="C38" s="4" t="s">
        <v>39</v>
      </c>
      <c r="D38" s="4" t="s">
        <v>24</v>
      </c>
      <c r="E38" s="4" t="s">
        <v>24</v>
      </c>
      <c r="F38" s="4" t="s">
        <v>25</v>
      </c>
      <c r="G38" s="4" t="s">
        <v>25</v>
      </c>
      <c r="H38" s="4" t="s">
        <v>37</v>
      </c>
      <c r="I38" s="5">
        <v>44531</v>
      </c>
      <c r="J38" s="6">
        <v>0</v>
      </c>
      <c r="K38" s="6">
        <v>0</v>
      </c>
      <c r="L38" s="6">
        <v>0.25600000000000001</v>
      </c>
      <c r="M38" s="6">
        <v>0.25600000000000001</v>
      </c>
      <c r="N38" s="6">
        <v>0.25600000000000001</v>
      </c>
      <c r="O38" s="6">
        <v>0.25600000000000001</v>
      </c>
      <c r="P38" s="6">
        <v>0</v>
      </c>
      <c r="Q38" s="4" t="s">
        <v>26</v>
      </c>
      <c r="R38" s="4">
        <v>0</v>
      </c>
      <c r="S38" s="4" t="s">
        <v>126</v>
      </c>
      <c r="T38" s="4" t="s">
        <v>331</v>
      </c>
      <c r="U38" s="4">
        <v>0</v>
      </c>
      <c r="V38" s="4">
        <v>15</v>
      </c>
      <c r="W38" s="4">
        <v>52</v>
      </c>
    </row>
    <row r="39" spans="1:23" ht="11.25" customHeight="1" x14ac:dyDescent="0.25">
      <c r="A39" s="4" t="s">
        <v>21</v>
      </c>
      <c r="B39" s="4" t="s">
        <v>22</v>
      </c>
      <c r="C39" s="4" t="s">
        <v>39</v>
      </c>
      <c r="D39" s="4" t="s">
        <v>24</v>
      </c>
      <c r="E39" s="4" t="s">
        <v>24</v>
      </c>
      <c r="F39" s="4" t="s">
        <v>25</v>
      </c>
      <c r="G39" s="4" t="s">
        <v>25</v>
      </c>
      <c r="H39" s="4" t="s">
        <v>37</v>
      </c>
      <c r="I39" s="5">
        <v>44562</v>
      </c>
      <c r="J39" s="6">
        <v>0</v>
      </c>
      <c r="K39" s="6">
        <v>0</v>
      </c>
      <c r="L39" s="6">
        <v>0.186</v>
      </c>
      <c r="M39" s="6">
        <v>0.186</v>
      </c>
      <c r="N39" s="6">
        <v>0.186</v>
      </c>
      <c r="O39" s="6">
        <v>0.186</v>
      </c>
      <c r="P39" s="6">
        <v>0</v>
      </c>
      <c r="Q39" s="4" t="s">
        <v>26</v>
      </c>
      <c r="R39" s="4">
        <v>0</v>
      </c>
      <c r="S39" s="4" t="s">
        <v>127</v>
      </c>
      <c r="T39" s="4" t="s">
        <v>332</v>
      </c>
      <c r="U39" s="4">
        <v>0</v>
      </c>
      <c r="V39" s="4">
        <v>15</v>
      </c>
      <c r="W39" s="4">
        <v>52</v>
      </c>
    </row>
    <row r="40" spans="1:23" ht="11.25" customHeight="1" x14ac:dyDescent="0.25">
      <c r="A40" s="4" t="s">
        <v>21</v>
      </c>
      <c r="B40" s="4" t="s">
        <v>22</v>
      </c>
      <c r="C40" s="4" t="s">
        <v>39</v>
      </c>
      <c r="D40" s="4" t="s">
        <v>24</v>
      </c>
      <c r="E40" s="4" t="s">
        <v>24</v>
      </c>
      <c r="F40" s="4" t="s">
        <v>25</v>
      </c>
      <c r="G40" s="4" t="s">
        <v>25</v>
      </c>
      <c r="H40" s="4" t="s">
        <v>37</v>
      </c>
      <c r="I40" s="5">
        <v>44593</v>
      </c>
      <c r="J40" s="6">
        <v>0</v>
      </c>
      <c r="K40" s="6">
        <v>0</v>
      </c>
      <c r="L40" s="6">
        <v>0.20100000000000001</v>
      </c>
      <c r="M40" s="6">
        <v>0.20100000000000001</v>
      </c>
      <c r="N40" s="6">
        <v>0.20100000000000001</v>
      </c>
      <c r="O40" s="6">
        <v>0.20100000000000001</v>
      </c>
      <c r="P40" s="6">
        <v>0</v>
      </c>
      <c r="Q40" s="4" t="s">
        <v>26</v>
      </c>
      <c r="R40" s="4">
        <v>0</v>
      </c>
      <c r="S40" s="4" t="s">
        <v>128</v>
      </c>
      <c r="T40" s="4" t="s">
        <v>333</v>
      </c>
      <c r="U40" s="4">
        <v>0</v>
      </c>
      <c r="V40" s="4">
        <v>15</v>
      </c>
      <c r="W40" s="4">
        <v>52</v>
      </c>
    </row>
    <row r="41" spans="1:23" ht="11.25" customHeight="1" x14ac:dyDescent="0.25">
      <c r="A41" s="4" t="s">
        <v>21</v>
      </c>
      <c r="B41" s="4" t="s">
        <v>22</v>
      </c>
      <c r="C41" s="4" t="s">
        <v>39</v>
      </c>
      <c r="D41" s="4" t="s">
        <v>24</v>
      </c>
      <c r="E41" s="4" t="s">
        <v>24</v>
      </c>
      <c r="F41" s="4" t="s">
        <v>25</v>
      </c>
      <c r="G41" s="4" t="s">
        <v>25</v>
      </c>
      <c r="H41" s="4" t="s">
        <v>37</v>
      </c>
      <c r="I41" s="5">
        <v>44621</v>
      </c>
      <c r="J41" s="6">
        <v>0</v>
      </c>
      <c r="K41" s="6">
        <v>0</v>
      </c>
      <c r="L41" s="6">
        <v>0.191</v>
      </c>
      <c r="M41" s="6">
        <v>0.191</v>
      </c>
      <c r="N41" s="6">
        <v>0.191</v>
      </c>
      <c r="O41" s="6">
        <v>0.191</v>
      </c>
      <c r="P41" s="6">
        <v>0</v>
      </c>
      <c r="Q41" s="4" t="s">
        <v>26</v>
      </c>
      <c r="R41" s="4">
        <v>0</v>
      </c>
      <c r="S41" s="4" t="s">
        <v>129</v>
      </c>
      <c r="T41" s="4" t="s">
        <v>334</v>
      </c>
      <c r="U41" s="4">
        <v>0</v>
      </c>
      <c r="V41" s="4">
        <v>15</v>
      </c>
      <c r="W41" s="4">
        <v>52</v>
      </c>
    </row>
    <row r="42" spans="1:23" ht="11.25" customHeight="1" x14ac:dyDescent="0.25">
      <c r="A42" s="4" t="s">
        <v>21</v>
      </c>
      <c r="B42" s="4" t="s">
        <v>22</v>
      </c>
      <c r="C42" s="4" t="s">
        <v>39</v>
      </c>
      <c r="D42" s="4" t="s">
        <v>24</v>
      </c>
      <c r="E42" s="4" t="s">
        <v>24</v>
      </c>
      <c r="F42" s="4" t="s">
        <v>25</v>
      </c>
      <c r="G42" s="4" t="s">
        <v>25</v>
      </c>
      <c r="H42" s="4" t="s">
        <v>37</v>
      </c>
      <c r="I42" s="5">
        <v>44652</v>
      </c>
      <c r="J42" s="6">
        <v>0</v>
      </c>
      <c r="K42" s="6">
        <v>0</v>
      </c>
      <c r="L42" s="6">
        <v>0.13200000000000001</v>
      </c>
      <c r="M42" s="6">
        <v>0.13200000000000001</v>
      </c>
      <c r="N42" s="6">
        <v>0.13200000000000001</v>
      </c>
      <c r="O42" s="6">
        <v>0.13200000000000001</v>
      </c>
      <c r="P42" s="6">
        <v>0</v>
      </c>
      <c r="Q42" s="4" t="s">
        <v>26</v>
      </c>
      <c r="R42" s="4">
        <v>0</v>
      </c>
      <c r="S42" s="4" t="s">
        <v>130</v>
      </c>
      <c r="T42" s="4" t="s">
        <v>335</v>
      </c>
      <c r="U42" s="4">
        <v>0</v>
      </c>
      <c r="V42" s="4">
        <v>15</v>
      </c>
      <c r="W42" s="4">
        <v>52</v>
      </c>
    </row>
    <row r="43" spans="1:23" ht="11.25" customHeight="1" x14ac:dyDescent="0.25">
      <c r="A43" s="4" t="s">
        <v>21</v>
      </c>
      <c r="B43" s="4" t="s">
        <v>22</v>
      </c>
      <c r="C43" s="4" t="s">
        <v>39</v>
      </c>
      <c r="D43" s="4" t="s">
        <v>24</v>
      </c>
      <c r="E43" s="4" t="s">
        <v>24</v>
      </c>
      <c r="F43" s="4" t="s">
        <v>25</v>
      </c>
      <c r="G43" s="4" t="s">
        <v>25</v>
      </c>
      <c r="H43" s="4" t="s">
        <v>40</v>
      </c>
      <c r="I43" s="5">
        <v>44531</v>
      </c>
      <c r="J43" s="6">
        <v>0</v>
      </c>
      <c r="K43" s="6">
        <v>0</v>
      </c>
      <c r="L43" s="6">
        <v>1E-3</v>
      </c>
      <c r="M43" s="6">
        <v>1E-3</v>
      </c>
      <c r="N43" s="6">
        <v>1E-3</v>
      </c>
      <c r="O43" s="6">
        <v>1E-3</v>
      </c>
      <c r="P43" s="6">
        <v>0</v>
      </c>
      <c r="Q43" s="4" t="s">
        <v>26</v>
      </c>
      <c r="R43" s="4">
        <v>0</v>
      </c>
      <c r="S43" s="4" t="s">
        <v>131</v>
      </c>
      <c r="T43" s="4" t="s">
        <v>336</v>
      </c>
      <c r="U43" s="4">
        <v>0</v>
      </c>
      <c r="V43" s="4">
        <v>14</v>
      </c>
      <c r="W43" s="4">
        <v>51</v>
      </c>
    </row>
    <row r="44" spans="1:23" ht="11.25" customHeight="1" x14ac:dyDescent="0.25">
      <c r="A44" s="4" t="s">
        <v>21</v>
      </c>
      <c r="B44" s="4" t="s">
        <v>22</v>
      </c>
      <c r="C44" s="4" t="s">
        <v>39</v>
      </c>
      <c r="D44" s="4" t="s">
        <v>24</v>
      </c>
      <c r="E44" s="4" t="s">
        <v>24</v>
      </c>
      <c r="F44" s="4" t="s">
        <v>25</v>
      </c>
      <c r="G44" s="4" t="s">
        <v>25</v>
      </c>
      <c r="H44" s="4" t="s">
        <v>40</v>
      </c>
      <c r="I44" s="5">
        <v>44593</v>
      </c>
      <c r="J44" s="6">
        <v>0</v>
      </c>
      <c r="K44" s="6">
        <v>0</v>
      </c>
      <c r="L44" s="6">
        <v>2E-3</v>
      </c>
      <c r="M44" s="6">
        <v>2E-3</v>
      </c>
      <c r="N44" s="6">
        <v>2E-3</v>
      </c>
      <c r="O44" s="6">
        <v>2E-3</v>
      </c>
      <c r="P44" s="6">
        <v>0</v>
      </c>
      <c r="Q44" s="4" t="s">
        <v>26</v>
      </c>
      <c r="R44" s="4">
        <v>0</v>
      </c>
      <c r="S44" s="4" t="s">
        <v>132</v>
      </c>
      <c r="T44" s="4" t="s">
        <v>337</v>
      </c>
      <c r="U44" s="4">
        <v>0</v>
      </c>
      <c r="V44" s="4">
        <v>14</v>
      </c>
      <c r="W44" s="4">
        <v>51</v>
      </c>
    </row>
    <row r="45" spans="1:23" ht="11.25" customHeight="1" x14ac:dyDescent="0.25">
      <c r="A45" s="4" t="s">
        <v>21</v>
      </c>
      <c r="B45" s="4" t="s">
        <v>22</v>
      </c>
      <c r="C45" s="4" t="s">
        <v>39</v>
      </c>
      <c r="D45" s="4" t="s">
        <v>24</v>
      </c>
      <c r="E45" s="4" t="s">
        <v>24</v>
      </c>
      <c r="F45" s="4" t="s">
        <v>25</v>
      </c>
      <c r="G45" s="4" t="s">
        <v>25</v>
      </c>
      <c r="H45" s="4" t="s">
        <v>40</v>
      </c>
      <c r="I45" s="5">
        <v>44621</v>
      </c>
      <c r="J45" s="6">
        <v>0</v>
      </c>
      <c r="K45" s="6">
        <v>0</v>
      </c>
      <c r="L45" s="6">
        <v>2E-3</v>
      </c>
      <c r="M45" s="6">
        <v>2E-3</v>
      </c>
      <c r="N45" s="6">
        <v>2E-3</v>
      </c>
      <c r="O45" s="6">
        <v>2E-3</v>
      </c>
      <c r="P45" s="6">
        <v>0</v>
      </c>
      <c r="Q45" s="4" t="s">
        <v>26</v>
      </c>
      <c r="R45" s="4">
        <v>0</v>
      </c>
      <c r="S45" s="4" t="s">
        <v>133</v>
      </c>
      <c r="T45" s="4" t="s">
        <v>338</v>
      </c>
      <c r="U45" s="4">
        <v>0</v>
      </c>
      <c r="V45" s="4">
        <v>14</v>
      </c>
      <c r="W45" s="4">
        <v>51</v>
      </c>
    </row>
    <row r="46" spans="1:23" ht="11.25" customHeight="1" x14ac:dyDescent="0.25">
      <c r="A46" s="4" t="s">
        <v>21</v>
      </c>
      <c r="B46" s="4" t="s">
        <v>22</v>
      </c>
      <c r="C46" s="4" t="s">
        <v>23</v>
      </c>
      <c r="D46" s="4" t="s">
        <v>24</v>
      </c>
      <c r="E46" s="4" t="s">
        <v>24</v>
      </c>
      <c r="F46" s="4" t="s">
        <v>25</v>
      </c>
      <c r="G46" s="4" t="s">
        <v>25</v>
      </c>
      <c r="H46" s="4" t="s">
        <v>25</v>
      </c>
      <c r="I46" s="5">
        <v>44317</v>
      </c>
      <c r="J46" s="6">
        <v>0</v>
      </c>
      <c r="K46" s="6">
        <v>0</v>
      </c>
      <c r="L46" s="6">
        <v>211.17099999999999</v>
      </c>
      <c r="M46" s="6">
        <v>211.17099999999999</v>
      </c>
      <c r="N46" s="6">
        <v>211.17099999999999</v>
      </c>
      <c r="O46" s="6">
        <v>211.17099999999999</v>
      </c>
      <c r="P46" s="6">
        <v>1979</v>
      </c>
      <c r="Q46" s="4" t="s">
        <v>26</v>
      </c>
      <c r="R46" s="4">
        <v>0</v>
      </c>
      <c r="S46" s="4" t="s">
        <v>134</v>
      </c>
      <c r="T46" s="4" t="s">
        <v>339</v>
      </c>
      <c r="U46" s="4">
        <v>0</v>
      </c>
      <c r="V46" s="4">
        <v>16</v>
      </c>
      <c r="W46" s="4">
        <v>53</v>
      </c>
    </row>
    <row r="47" spans="1:23" ht="11.25" customHeight="1" x14ac:dyDescent="0.25">
      <c r="A47" s="4" t="s">
        <v>27</v>
      </c>
      <c r="B47" s="4" t="s">
        <v>22</v>
      </c>
      <c r="C47" s="4" t="s">
        <v>23</v>
      </c>
      <c r="D47" s="4" t="s">
        <v>24</v>
      </c>
      <c r="E47" s="4" t="s">
        <v>24</v>
      </c>
      <c r="F47" s="4" t="s">
        <v>25</v>
      </c>
      <c r="G47" s="4" t="s">
        <v>25</v>
      </c>
      <c r="H47" s="4" t="s">
        <v>25</v>
      </c>
      <c r="I47" s="5">
        <v>44317</v>
      </c>
      <c r="J47" s="6">
        <v>0</v>
      </c>
      <c r="K47" s="6">
        <v>0</v>
      </c>
      <c r="L47" s="6">
        <v>1.385</v>
      </c>
      <c r="M47" s="6">
        <v>1.385</v>
      </c>
      <c r="N47" s="6">
        <v>1.385</v>
      </c>
      <c r="O47" s="6">
        <v>1.385</v>
      </c>
      <c r="P47" s="6">
        <v>6</v>
      </c>
      <c r="Q47" s="4" t="s">
        <v>26</v>
      </c>
      <c r="R47" s="4">
        <v>0</v>
      </c>
      <c r="S47" s="4" t="s">
        <v>134</v>
      </c>
      <c r="T47" s="4" t="s">
        <v>339</v>
      </c>
      <c r="U47" s="4">
        <v>0</v>
      </c>
      <c r="V47" s="4">
        <v>16</v>
      </c>
      <c r="W47" s="4">
        <v>53</v>
      </c>
    </row>
    <row r="48" spans="1:23" ht="11.25" customHeight="1" x14ac:dyDescent="0.25">
      <c r="A48" s="4" t="s">
        <v>21</v>
      </c>
      <c r="B48" s="4" t="s">
        <v>22</v>
      </c>
      <c r="C48" s="4" t="s">
        <v>23</v>
      </c>
      <c r="D48" s="4" t="s">
        <v>24</v>
      </c>
      <c r="E48" s="4" t="s">
        <v>24</v>
      </c>
      <c r="F48" s="4" t="s">
        <v>25</v>
      </c>
      <c r="G48" s="4" t="s">
        <v>25</v>
      </c>
      <c r="H48" s="4" t="s">
        <v>25</v>
      </c>
      <c r="I48" s="5">
        <v>44348</v>
      </c>
      <c r="J48" s="6">
        <v>0</v>
      </c>
      <c r="K48" s="6">
        <v>0</v>
      </c>
      <c r="L48" s="6">
        <v>199.49600000000001</v>
      </c>
      <c r="M48" s="6">
        <v>199.49600000000001</v>
      </c>
      <c r="N48" s="6">
        <v>199.49600000000001</v>
      </c>
      <c r="O48" s="6">
        <v>199.49600000000001</v>
      </c>
      <c r="P48" s="6">
        <v>1979</v>
      </c>
      <c r="Q48" s="4" t="s">
        <v>26</v>
      </c>
      <c r="R48" s="4">
        <v>0</v>
      </c>
      <c r="S48" s="4" t="s">
        <v>135</v>
      </c>
      <c r="T48" s="4" t="s">
        <v>340</v>
      </c>
      <c r="U48" s="4">
        <v>0</v>
      </c>
      <c r="V48" s="4">
        <v>16</v>
      </c>
      <c r="W48" s="4">
        <v>53</v>
      </c>
    </row>
    <row r="49" spans="1:23" ht="11.25" customHeight="1" x14ac:dyDescent="0.25">
      <c r="A49" s="4" t="s">
        <v>27</v>
      </c>
      <c r="B49" s="4" t="s">
        <v>22</v>
      </c>
      <c r="C49" s="4" t="s">
        <v>23</v>
      </c>
      <c r="D49" s="4" t="s">
        <v>24</v>
      </c>
      <c r="E49" s="4" t="s">
        <v>24</v>
      </c>
      <c r="F49" s="4" t="s">
        <v>25</v>
      </c>
      <c r="G49" s="4" t="s">
        <v>25</v>
      </c>
      <c r="H49" s="4" t="s">
        <v>25</v>
      </c>
      <c r="I49" s="5">
        <v>44348</v>
      </c>
      <c r="J49" s="6">
        <v>0</v>
      </c>
      <c r="K49" s="6">
        <v>0</v>
      </c>
      <c r="L49" s="6">
        <v>1.486</v>
      </c>
      <c r="M49" s="6">
        <v>1.486</v>
      </c>
      <c r="N49" s="6">
        <v>1.486</v>
      </c>
      <c r="O49" s="6">
        <v>1.486</v>
      </c>
      <c r="P49" s="6">
        <v>8</v>
      </c>
      <c r="Q49" s="4" t="s">
        <v>26</v>
      </c>
      <c r="R49" s="4">
        <v>0</v>
      </c>
      <c r="S49" s="4" t="s">
        <v>135</v>
      </c>
      <c r="T49" s="4" t="s">
        <v>340</v>
      </c>
      <c r="U49" s="4">
        <v>0</v>
      </c>
      <c r="V49" s="4">
        <v>16</v>
      </c>
      <c r="W49" s="4">
        <v>53</v>
      </c>
    </row>
    <row r="50" spans="1:23" ht="11.25" customHeight="1" x14ac:dyDescent="0.25">
      <c r="A50" s="4" t="s">
        <v>21</v>
      </c>
      <c r="B50" s="4" t="s">
        <v>22</v>
      </c>
      <c r="C50" s="4" t="s">
        <v>23</v>
      </c>
      <c r="D50" s="4" t="s">
        <v>24</v>
      </c>
      <c r="E50" s="4" t="s">
        <v>24</v>
      </c>
      <c r="F50" s="4" t="s">
        <v>25</v>
      </c>
      <c r="G50" s="4" t="s">
        <v>25</v>
      </c>
      <c r="H50" s="4" t="s">
        <v>25</v>
      </c>
      <c r="I50" s="5">
        <v>44378</v>
      </c>
      <c r="J50" s="6">
        <v>0</v>
      </c>
      <c r="K50" s="6">
        <v>0</v>
      </c>
      <c r="L50" s="6">
        <v>192.77</v>
      </c>
      <c r="M50" s="6">
        <v>192.77</v>
      </c>
      <c r="N50" s="6">
        <v>192.77</v>
      </c>
      <c r="O50" s="6">
        <v>192.77</v>
      </c>
      <c r="P50" s="6">
        <v>2004</v>
      </c>
      <c r="Q50" s="4" t="s">
        <v>26</v>
      </c>
      <c r="R50" s="4">
        <v>0</v>
      </c>
      <c r="S50" s="4" t="s">
        <v>136</v>
      </c>
      <c r="T50" s="4" t="s">
        <v>341</v>
      </c>
      <c r="U50" s="4">
        <v>0</v>
      </c>
      <c r="V50" s="4">
        <v>16</v>
      </c>
      <c r="W50" s="4">
        <v>53</v>
      </c>
    </row>
    <row r="51" spans="1:23" ht="11.25" customHeight="1" x14ac:dyDescent="0.25">
      <c r="A51" s="4" t="s">
        <v>27</v>
      </c>
      <c r="B51" s="4" t="s">
        <v>22</v>
      </c>
      <c r="C51" s="4" t="s">
        <v>23</v>
      </c>
      <c r="D51" s="4" t="s">
        <v>24</v>
      </c>
      <c r="E51" s="4" t="s">
        <v>24</v>
      </c>
      <c r="F51" s="4" t="s">
        <v>25</v>
      </c>
      <c r="G51" s="4" t="s">
        <v>25</v>
      </c>
      <c r="H51" s="4" t="s">
        <v>25</v>
      </c>
      <c r="I51" s="5">
        <v>44378</v>
      </c>
      <c r="J51" s="6">
        <v>0</v>
      </c>
      <c r="K51" s="6">
        <v>0</v>
      </c>
      <c r="L51" s="6">
        <v>1.478</v>
      </c>
      <c r="M51" s="6">
        <v>1.478</v>
      </c>
      <c r="N51" s="6">
        <v>1.478</v>
      </c>
      <c r="O51" s="6">
        <v>1.478</v>
      </c>
      <c r="P51" s="6">
        <v>8</v>
      </c>
      <c r="Q51" s="4" t="s">
        <v>26</v>
      </c>
      <c r="R51" s="4">
        <v>0</v>
      </c>
      <c r="S51" s="4" t="s">
        <v>136</v>
      </c>
      <c r="T51" s="4" t="s">
        <v>341</v>
      </c>
      <c r="U51" s="4">
        <v>0</v>
      </c>
      <c r="V51" s="4">
        <v>16</v>
      </c>
      <c r="W51" s="4">
        <v>53</v>
      </c>
    </row>
    <row r="52" spans="1:23" ht="11.25" customHeight="1" x14ac:dyDescent="0.25">
      <c r="A52" s="4" t="s">
        <v>21</v>
      </c>
      <c r="B52" s="4" t="s">
        <v>22</v>
      </c>
      <c r="C52" s="4" t="s">
        <v>23</v>
      </c>
      <c r="D52" s="4" t="s">
        <v>24</v>
      </c>
      <c r="E52" s="4" t="s">
        <v>24</v>
      </c>
      <c r="F52" s="4" t="s">
        <v>25</v>
      </c>
      <c r="G52" s="4" t="s">
        <v>25</v>
      </c>
      <c r="H52" s="4" t="s">
        <v>25</v>
      </c>
      <c r="I52" s="5">
        <v>44409</v>
      </c>
      <c r="J52" s="6">
        <v>0</v>
      </c>
      <c r="K52" s="6">
        <v>0</v>
      </c>
      <c r="L52" s="6">
        <v>196.482</v>
      </c>
      <c r="M52" s="6">
        <v>196.482</v>
      </c>
      <c r="N52" s="6">
        <v>196.482</v>
      </c>
      <c r="O52" s="6">
        <v>196.482</v>
      </c>
      <c r="P52" s="6">
        <v>2005</v>
      </c>
      <c r="Q52" s="4" t="s">
        <v>26</v>
      </c>
      <c r="R52" s="4">
        <v>0</v>
      </c>
      <c r="S52" s="4" t="s">
        <v>137</v>
      </c>
      <c r="T52" s="4" t="s">
        <v>342</v>
      </c>
      <c r="U52" s="4">
        <v>0</v>
      </c>
      <c r="V52" s="4">
        <v>16</v>
      </c>
      <c r="W52" s="4">
        <v>53</v>
      </c>
    </row>
    <row r="53" spans="1:23" ht="11.25" customHeight="1" x14ac:dyDescent="0.25">
      <c r="A53" s="4" t="s">
        <v>27</v>
      </c>
      <c r="B53" s="4" t="s">
        <v>22</v>
      </c>
      <c r="C53" s="4" t="s">
        <v>23</v>
      </c>
      <c r="D53" s="4" t="s">
        <v>24</v>
      </c>
      <c r="E53" s="4" t="s">
        <v>24</v>
      </c>
      <c r="F53" s="4" t="s">
        <v>25</v>
      </c>
      <c r="G53" s="4" t="s">
        <v>25</v>
      </c>
      <c r="H53" s="4" t="s">
        <v>25</v>
      </c>
      <c r="I53" s="5">
        <v>44409</v>
      </c>
      <c r="J53" s="6">
        <v>0</v>
      </c>
      <c r="K53" s="6">
        <v>0</v>
      </c>
      <c r="L53" s="6">
        <v>1.47</v>
      </c>
      <c r="M53" s="6">
        <v>1.47</v>
      </c>
      <c r="N53" s="6">
        <v>1.47</v>
      </c>
      <c r="O53" s="6">
        <v>1.47</v>
      </c>
      <c r="P53" s="6">
        <v>9</v>
      </c>
      <c r="Q53" s="4" t="s">
        <v>26</v>
      </c>
      <c r="R53" s="4">
        <v>0</v>
      </c>
      <c r="S53" s="4" t="s">
        <v>137</v>
      </c>
      <c r="T53" s="4" t="s">
        <v>342</v>
      </c>
      <c r="U53" s="4">
        <v>0</v>
      </c>
      <c r="V53" s="4">
        <v>16</v>
      </c>
      <c r="W53" s="4">
        <v>53</v>
      </c>
    </row>
    <row r="54" spans="1:23" ht="11.25" customHeight="1" x14ac:dyDescent="0.25">
      <c r="A54" s="4" t="s">
        <v>21</v>
      </c>
      <c r="B54" s="4" t="s">
        <v>22</v>
      </c>
      <c r="C54" s="4" t="s">
        <v>23</v>
      </c>
      <c r="D54" s="4" t="s">
        <v>24</v>
      </c>
      <c r="E54" s="4" t="s">
        <v>24</v>
      </c>
      <c r="F54" s="4" t="s">
        <v>25</v>
      </c>
      <c r="G54" s="4" t="s">
        <v>25</v>
      </c>
      <c r="H54" s="4" t="s">
        <v>25</v>
      </c>
      <c r="I54" s="5">
        <v>44440</v>
      </c>
      <c r="J54" s="6">
        <v>0</v>
      </c>
      <c r="K54" s="6">
        <v>0</v>
      </c>
      <c r="L54" s="6">
        <v>199.905</v>
      </c>
      <c r="M54" s="6">
        <v>199.905</v>
      </c>
      <c r="N54" s="6">
        <v>199.905</v>
      </c>
      <c r="O54" s="6">
        <v>199.905</v>
      </c>
      <c r="P54" s="6">
        <v>2018</v>
      </c>
      <c r="Q54" s="4" t="s">
        <v>26</v>
      </c>
      <c r="R54" s="4">
        <v>0</v>
      </c>
      <c r="S54" s="4" t="s">
        <v>138</v>
      </c>
      <c r="T54" s="4" t="s">
        <v>343</v>
      </c>
      <c r="U54" s="4">
        <v>0</v>
      </c>
      <c r="V54" s="4">
        <v>16</v>
      </c>
      <c r="W54" s="4">
        <v>53</v>
      </c>
    </row>
    <row r="55" spans="1:23" ht="11.25" customHeight="1" x14ac:dyDescent="0.25">
      <c r="A55" s="4" t="s">
        <v>27</v>
      </c>
      <c r="B55" s="4" t="s">
        <v>22</v>
      </c>
      <c r="C55" s="4" t="s">
        <v>23</v>
      </c>
      <c r="D55" s="4" t="s">
        <v>24</v>
      </c>
      <c r="E55" s="4" t="s">
        <v>24</v>
      </c>
      <c r="F55" s="4" t="s">
        <v>25</v>
      </c>
      <c r="G55" s="4" t="s">
        <v>25</v>
      </c>
      <c r="H55" s="4" t="s">
        <v>25</v>
      </c>
      <c r="I55" s="5">
        <v>44440</v>
      </c>
      <c r="J55" s="6">
        <v>0</v>
      </c>
      <c r="K55" s="6">
        <v>0</v>
      </c>
      <c r="L55" s="6">
        <v>2.1659999999999999</v>
      </c>
      <c r="M55" s="6">
        <v>2.1659999999999999</v>
      </c>
      <c r="N55" s="6">
        <v>2.1659999999999999</v>
      </c>
      <c r="O55" s="6">
        <v>2.1659999999999999</v>
      </c>
      <c r="P55" s="6">
        <v>11</v>
      </c>
      <c r="Q55" s="4" t="s">
        <v>26</v>
      </c>
      <c r="R55" s="4">
        <v>0</v>
      </c>
      <c r="S55" s="4" t="s">
        <v>138</v>
      </c>
      <c r="T55" s="4" t="s">
        <v>343</v>
      </c>
      <c r="U55" s="4">
        <v>0</v>
      </c>
      <c r="V55" s="4">
        <v>16</v>
      </c>
      <c r="W55" s="4">
        <v>53</v>
      </c>
    </row>
    <row r="56" spans="1:23" ht="11.25" customHeight="1" x14ac:dyDescent="0.25">
      <c r="A56" s="4" t="s">
        <v>21</v>
      </c>
      <c r="B56" s="4" t="s">
        <v>22</v>
      </c>
      <c r="C56" s="4" t="s">
        <v>23</v>
      </c>
      <c r="D56" s="4" t="s">
        <v>24</v>
      </c>
      <c r="E56" s="4" t="s">
        <v>24</v>
      </c>
      <c r="F56" s="4" t="s">
        <v>25</v>
      </c>
      <c r="G56" s="4" t="s">
        <v>25</v>
      </c>
      <c r="H56" s="4" t="s">
        <v>25</v>
      </c>
      <c r="I56" s="5">
        <v>44470</v>
      </c>
      <c r="J56" s="6">
        <v>0</v>
      </c>
      <c r="K56" s="6">
        <v>0</v>
      </c>
      <c r="L56" s="6">
        <v>198.85400000000001</v>
      </c>
      <c r="M56" s="6">
        <v>198.85400000000001</v>
      </c>
      <c r="N56" s="6">
        <v>198.85400000000001</v>
      </c>
      <c r="O56" s="6">
        <v>198.85400000000001</v>
      </c>
      <c r="P56" s="6">
        <v>2001</v>
      </c>
      <c r="Q56" s="4" t="s">
        <v>26</v>
      </c>
      <c r="R56" s="4">
        <v>0</v>
      </c>
      <c r="S56" s="4" t="s">
        <v>139</v>
      </c>
      <c r="T56" s="4" t="s">
        <v>344</v>
      </c>
      <c r="U56" s="4">
        <v>0</v>
      </c>
      <c r="V56" s="4">
        <v>16</v>
      </c>
      <c r="W56" s="4">
        <v>53</v>
      </c>
    </row>
    <row r="57" spans="1:23" ht="11.25" customHeight="1" x14ac:dyDescent="0.25">
      <c r="A57" s="4" t="s">
        <v>27</v>
      </c>
      <c r="B57" s="4" t="s">
        <v>22</v>
      </c>
      <c r="C57" s="4" t="s">
        <v>23</v>
      </c>
      <c r="D57" s="4" t="s">
        <v>24</v>
      </c>
      <c r="E57" s="4" t="s">
        <v>24</v>
      </c>
      <c r="F57" s="4" t="s">
        <v>25</v>
      </c>
      <c r="G57" s="4" t="s">
        <v>25</v>
      </c>
      <c r="H57" s="4" t="s">
        <v>25</v>
      </c>
      <c r="I57" s="5">
        <v>44470</v>
      </c>
      <c r="J57" s="6">
        <v>0</v>
      </c>
      <c r="K57" s="6">
        <v>0</v>
      </c>
      <c r="L57" s="6">
        <v>2.4660000000000002</v>
      </c>
      <c r="M57" s="6">
        <v>2.4660000000000002</v>
      </c>
      <c r="N57" s="6">
        <v>2.4660000000000002</v>
      </c>
      <c r="O57" s="6">
        <v>2.4660000000000002</v>
      </c>
      <c r="P57" s="6">
        <v>11</v>
      </c>
      <c r="Q57" s="4" t="s">
        <v>26</v>
      </c>
      <c r="R57" s="4">
        <v>0</v>
      </c>
      <c r="S57" s="4" t="s">
        <v>139</v>
      </c>
      <c r="T57" s="4" t="s">
        <v>344</v>
      </c>
      <c r="U57" s="4">
        <v>0</v>
      </c>
      <c r="V57" s="4">
        <v>16</v>
      </c>
      <c r="W57" s="4">
        <v>53</v>
      </c>
    </row>
    <row r="58" spans="1:23" ht="11.25" customHeight="1" x14ac:dyDescent="0.25">
      <c r="A58" s="4" t="s">
        <v>21</v>
      </c>
      <c r="B58" s="4" t="s">
        <v>22</v>
      </c>
      <c r="C58" s="4" t="s">
        <v>23</v>
      </c>
      <c r="D58" s="4" t="s">
        <v>24</v>
      </c>
      <c r="E58" s="4" t="s">
        <v>24</v>
      </c>
      <c r="F58" s="4" t="s">
        <v>25</v>
      </c>
      <c r="G58" s="4" t="s">
        <v>25</v>
      </c>
      <c r="H58" s="4" t="s">
        <v>25</v>
      </c>
      <c r="I58" s="5">
        <v>44501</v>
      </c>
      <c r="J58" s="6">
        <v>0</v>
      </c>
      <c r="K58" s="6">
        <v>0</v>
      </c>
      <c r="L58" s="6">
        <v>233.029</v>
      </c>
      <c r="M58" s="6">
        <v>233.029</v>
      </c>
      <c r="N58" s="6">
        <v>233.029</v>
      </c>
      <c r="O58" s="6">
        <v>233.029</v>
      </c>
      <c r="P58" s="6">
        <v>1994</v>
      </c>
      <c r="Q58" s="4" t="s">
        <v>26</v>
      </c>
      <c r="R58" s="4">
        <v>0</v>
      </c>
      <c r="S58" s="4" t="s">
        <v>140</v>
      </c>
      <c r="T58" s="4" t="s">
        <v>345</v>
      </c>
      <c r="U58" s="4">
        <v>0</v>
      </c>
      <c r="V58" s="4">
        <v>16</v>
      </c>
      <c r="W58" s="4">
        <v>53</v>
      </c>
    </row>
    <row r="59" spans="1:23" ht="11.25" customHeight="1" x14ac:dyDescent="0.25">
      <c r="A59" s="4" t="s">
        <v>27</v>
      </c>
      <c r="B59" s="4" t="s">
        <v>22</v>
      </c>
      <c r="C59" s="4" t="s">
        <v>23</v>
      </c>
      <c r="D59" s="4" t="s">
        <v>24</v>
      </c>
      <c r="E59" s="4" t="s">
        <v>24</v>
      </c>
      <c r="F59" s="4" t="s">
        <v>25</v>
      </c>
      <c r="G59" s="4" t="s">
        <v>25</v>
      </c>
      <c r="H59" s="4" t="s">
        <v>25</v>
      </c>
      <c r="I59" s="5">
        <v>44501</v>
      </c>
      <c r="J59" s="6">
        <v>0</v>
      </c>
      <c r="K59" s="6">
        <v>0</v>
      </c>
      <c r="L59" s="6">
        <v>2.7759999999999998</v>
      </c>
      <c r="M59" s="6">
        <v>2.7759999999999998</v>
      </c>
      <c r="N59" s="6">
        <v>2.7759999999999998</v>
      </c>
      <c r="O59" s="6">
        <v>2.7759999999999998</v>
      </c>
      <c r="P59" s="6">
        <v>11</v>
      </c>
      <c r="Q59" s="4" t="s">
        <v>26</v>
      </c>
      <c r="R59" s="4">
        <v>0</v>
      </c>
      <c r="S59" s="4" t="s">
        <v>140</v>
      </c>
      <c r="T59" s="4" t="s">
        <v>345</v>
      </c>
      <c r="U59" s="4">
        <v>0</v>
      </c>
      <c r="V59" s="4">
        <v>16</v>
      </c>
      <c r="W59" s="4">
        <v>53</v>
      </c>
    </row>
    <row r="60" spans="1:23" ht="11.25" customHeight="1" x14ac:dyDescent="0.25">
      <c r="A60" s="4" t="s">
        <v>21</v>
      </c>
      <c r="B60" s="4" t="s">
        <v>22</v>
      </c>
      <c r="C60" s="4" t="s">
        <v>23</v>
      </c>
      <c r="D60" s="4" t="s">
        <v>24</v>
      </c>
      <c r="E60" s="4" t="s">
        <v>24</v>
      </c>
      <c r="F60" s="4" t="s">
        <v>25</v>
      </c>
      <c r="G60" s="4" t="s">
        <v>25</v>
      </c>
      <c r="H60" s="4" t="s">
        <v>25</v>
      </c>
      <c r="I60" s="5">
        <v>44531</v>
      </c>
      <c r="J60" s="6">
        <v>0</v>
      </c>
      <c r="K60" s="6">
        <v>0</v>
      </c>
      <c r="L60" s="6">
        <v>219.06200000000001</v>
      </c>
      <c r="M60" s="6">
        <v>219.06200000000001</v>
      </c>
      <c r="N60" s="6">
        <v>219.06200000000001</v>
      </c>
      <c r="O60" s="6">
        <v>219.06200000000001</v>
      </c>
      <c r="P60" s="6">
        <v>1995</v>
      </c>
      <c r="Q60" s="4" t="s">
        <v>26</v>
      </c>
      <c r="R60" s="4">
        <v>0</v>
      </c>
      <c r="S60" s="4" t="s">
        <v>141</v>
      </c>
      <c r="T60" s="4" t="s">
        <v>346</v>
      </c>
      <c r="U60" s="4">
        <v>0</v>
      </c>
      <c r="V60" s="4">
        <v>16</v>
      </c>
      <c r="W60" s="4">
        <v>53</v>
      </c>
    </row>
    <row r="61" spans="1:23" ht="11.25" customHeight="1" x14ac:dyDescent="0.25">
      <c r="A61" s="4" t="s">
        <v>27</v>
      </c>
      <c r="B61" s="4" t="s">
        <v>22</v>
      </c>
      <c r="C61" s="4" t="s">
        <v>23</v>
      </c>
      <c r="D61" s="4" t="s">
        <v>24</v>
      </c>
      <c r="E61" s="4" t="s">
        <v>24</v>
      </c>
      <c r="F61" s="4" t="s">
        <v>25</v>
      </c>
      <c r="G61" s="4" t="s">
        <v>25</v>
      </c>
      <c r="H61" s="4" t="s">
        <v>25</v>
      </c>
      <c r="I61" s="5">
        <v>44531</v>
      </c>
      <c r="J61" s="6">
        <v>0</v>
      </c>
      <c r="K61" s="6">
        <v>0</v>
      </c>
      <c r="L61" s="6">
        <v>3.6640000000000001</v>
      </c>
      <c r="M61" s="6">
        <v>3.6640000000000001</v>
      </c>
      <c r="N61" s="6">
        <v>3.6640000000000001</v>
      </c>
      <c r="O61" s="6">
        <v>3.6640000000000001</v>
      </c>
      <c r="P61" s="6">
        <v>14</v>
      </c>
      <c r="Q61" s="4" t="s">
        <v>26</v>
      </c>
      <c r="R61" s="4">
        <v>0</v>
      </c>
      <c r="S61" s="4" t="s">
        <v>141</v>
      </c>
      <c r="T61" s="4" t="s">
        <v>346</v>
      </c>
      <c r="U61" s="4">
        <v>0</v>
      </c>
      <c r="V61" s="4">
        <v>16</v>
      </c>
      <c r="W61" s="4">
        <v>53</v>
      </c>
    </row>
    <row r="62" spans="1:23" ht="11.25" customHeight="1" x14ac:dyDescent="0.25">
      <c r="A62" s="4" t="s">
        <v>21</v>
      </c>
      <c r="B62" s="4" t="s">
        <v>22</v>
      </c>
      <c r="C62" s="4" t="s">
        <v>23</v>
      </c>
      <c r="D62" s="4" t="s">
        <v>24</v>
      </c>
      <c r="E62" s="4" t="s">
        <v>24</v>
      </c>
      <c r="F62" s="4" t="s">
        <v>25</v>
      </c>
      <c r="G62" s="4" t="s">
        <v>25</v>
      </c>
      <c r="H62" s="4" t="s">
        <v>25</v>
      </c>
      <c r="I62" s="5">
        <v>44562</v>
      </c>
      <c r="J62" s="6">
        <v>0</v>
      </c>
      <c r="K62" s="6">
        <v>0</v>
      </c>
      <c r="L62" s="6">
        <v>217.96</v>
      </c>
      <c r="M62" s="6">
        <v>217.96</v>
      </c>
      <c r="N62" s="6">
        <v>217.96</v>
      </c>
      <c r="O62" s="6">
        <v>217.96</v>
      </c>
      <c r="P62" s="6">
        <v>1996</v>
      </c>
      <c r="Q62" s="4" t="s">
        <v>26</v>
      </c>
      <c r="R62" s="4">
        <v>0</v>
      </c>
      <c r="S62" s="4" t="s">
        <v>142</v>
      </c>
      <c r="T62" s="4" t="s">
        <v>347</v>
      </c>
      <c r="U62" s="4">
        <v>0</v>
      </c>
      <c r="V62" s="4">
        <v>16</v>
      </c>
      <c r="W62" s="4">
        <v>53</v>
      </c>
    </row>
    <row r="63" spans="1:23" ht="11.25" customHeight="1" x14ac:dyDescent="0.25">
      <c r="A63" s="4" t="s">
        <v>27</v>
      </c>
      <c r="B63" s="4" t="s">
        <v>22</v>
      </c>
      <c r="C63" s="4" t="s">
        <v>23</v>
      </c>
      <c r="D63" s="4" t="s">
        <v>24</v>
      </c>
      <c r="E63" s="4" t="s">
        <v>24</v>
      </c>
      <c r="F63" s="4" t="s">
        <v>25</v>
      </c>
      <c r="G63" s="4" t="s">
        <v>25</v>
      </c>
      <c r="H63" s="4" t="s">
        <v>25</v>
      </c>
      <c r="I63" s="5">
        <v>44562</v>
      </c>
      <c r="J63" s="6">
        <v>0</v>
      </c>
      <c r="K63" s="6">
        <v>0</v>
      </c>
      <c r="L63" s="6">
        <v>3.6760000000000002</v>
      </c>
      <c r="M63" s="6">
        <v>3.6760000000000002</v>
      </c>
      <c r="N63" s="6">
        <v>3.6760000000000002</v>
      </c>
      <c r="O63" s="6">
        <v>3.6760000000000002</v>
      </c>
      <c r="P63" s="6">
        <v>16</v>
      </c>
      <c r="Q63" s="4" t="s">
        <v>26</v>
      </c>
      <c r="R63" s="4">
        <v>0</v>
      </c>
      <c r="S63" s="4" t="s">
        <v>142</v>
      </c>
      <c r="T63" s="4" t="s">
        <v>347</v>
      </c>
      <c r="U63" s="4">
        <v>0</v>
      </c>
      <c r="V63" s="4">
        <v>16</v>
      </c>
      <c r="W63" s="4">
        <v>53</v>
      </c>
    </row>
    <row r="64" spans="1:23" ht="11.25" customHeight="1" x14ac:dyDescent="0.25">
      <c r="A64" s="4" t="s">
        <v>21</v>
      </c>
      <c r="B64" s="4" t="s">
        <v>22</v>
      </c>
      <c r="C64" s="4" t="s">
        <v>23</v>
      </c>
      <c r="D64" s="4" t="s">
        <v>24</v>
      </c>
      <c r="E64" s="4" t="s">
        <v>24</v>
      </c>
      <c r="F64" s="4" t="s">
        <v>25</v>
      </c>
      <c r="G64" s="4" t="s">
        <v>25</v>
      </c>
      <c r="H64" s="4" t="s">
        <v>25</v>
      </c>
      <c r="I64" s="5">
        <v>44593</v>
      </c>
      <c r="J64" s="6">
        <v>0</v>
      </c>
      <c r="K64" s="6">
        <v>0</v>
      </c>
      <c r="L64" s="6">
        <v>202.458</v>
      </c>
      <c r="M64" s="6">
        <v>202.458</v>
      </c>
      <c r="N64" s="6">
        <v>202.458</v>
      </c>
      <c r="O64" s="6">
        <v>202.458</v>
      </c>
      <c r="P64" s="6">
        <v>1842</v>
      </c>
      <c r="Q64" s="4" t="s">
        <v>26</v>
      </c>
      <c r="R64" s="4">
        <v>0</v>
      </c>
      <c r="S64" s="4" t="s">
        <v>143</v>
      </c>
      <c r="T64" s="4" t="s">
        <v>348</v>
      </c>
      <c r="U64" s="4">
        <v>0</v>
      </c>
      <c r="V64" s="4">
        <v>16</v>
      </c>
      <c r="W64" s="4">
        <v>53</v>
      </c>
    </row>
    <row r="65" spans="1:23" ht="11.25" customHeight="1" x14ac:dyDescent="0.25">
      <c r="A65" s="4" t="s">
        <v>27</v>
      </c>
      <c r="B65" s="4" t="s">
        <v>22</v>
      </c>
      <c r="C65" s="4" t="s">
        <v>23</v>
      </c>
      <c r="D65" s="4" t="s">
        <v>24</v>
      </c>
      <c r="E65" s="4" t="s">
        <v>24</v>
      </c>
      <c r="F65" s="4" t="s">
        <v>25</v>
      </c>
      <c r="G65" s="4" t="s">
        <v>25</v>
      </c>
      <c r="H65" s="4" t="s">
        <v>25</v>
      </c>
      <c r="I65" s="5">
        <v>44593</v>
      </c>
      <c r="J65" s="6">
        <v>0</v>
      </c>
      <c r="K65" s="6">
        <v>0</v>
      </c>
      <c r="L65" s="6">
        <v>3.5569999999999999</v>
      </c>
      <c r="M65" s="6">
        <v>3.5569999999999999</v>
      </c>
      <c r="N65" s="6">
        <v>3.5569999999999999</v>
      </c>
      <c r="O65" s="6">
        <v>3.5569999999999999</v>
      </c>
      <c r="P65" s="6">
        <v>16</v>
      </c>
      <c r="Q65" s="4" t="s">
        <v>26</v>
      </c>
      <c r="R65" s="4">
        <v>0</v>
      </c>
      <c r="S65" s="4" t="s">
        <v>143</v>
      </c>
      <c r="T65" s="4" t="s">
        <v>348</v>
      </c>
      <c r="U65" s="4">
        <v>0</v>
      </c>
      <c r="V65" s="4">
        <v>16</v>
      </c>
      <c r="W65" s="4">
        <v>53</v>
      </c>
    </row>
    <row r="66" spans="1:23" ht="11.25" customHeight="1" x14ac:dyDescent="0.25">
      <c r="A66" s="4" t="s">
        <v>21</v>
      </c>
      <c r="B66" s="4" t="s">
        <v>22</v>
      </c>
      <c r="C66" s="4" t="s">
        <v>23</v>
      </c>
      <c r="D66" s="4" t="s">
        <v>24</v>
      </c>
      <c r="E66" s="4" t="s">
        <v>24</v>
      </c>
      <c r="F66" s="4" t="s">
        <v>25</v>
      </c>
      <c r="G66" s="4" t="s">
        <v>25</v>
      </c>
      <c r="H66" s="4" t="s">
        <v>25</v>
      </c>
      <c r="I66" s="5">
        <v>44621</v>
      </c>
      <c r="J66" s="6">
        <v>0</v>
      </c>
      <c r="K66" s="6">
        <v>0</v>
      </c>
      <c r="L66" s="6">
        <v>213.54900000000001</v>
      </c>
      <c r="M66" s="6">
        <v>213.54900000000001</v>
      </c>
      <c r="N66" s="6">
        <v>213.54900000000001</v>
      </c>
      <c r="O66" s="6">
        <v>213.54900000000001</v>
      </c>
      <c r="P66" s="6">
        <v>1834</v>
      </c>
      <c r="Q66" s="4" t="s">
        <v>26</v>
      </c>
      <c r="R66" s="4">
        <v>0</v>
      </c>
      <c r="S66" s="4" t="s">
        <v>144</v>
      </c>
      <c r="T66" s="4" t="s">
        <v>349</v>
      </c>
      <c r="U66" s="4">
        <v>0</v>
      </c>
      <c r="V66" s="4">
        <v>16</v>
      </c>
      <c r="W66" s="4">
        <v>53</v>
      </c>
    </row>
    <row r="67" spans="1:23" ht="11.25" customHeight="1" x14ac:dyDescent="0.25">
      <c r="A67" s="4" t="s">
        <v>27</v>
      </c>
      <c r="B67" s="4" t="s">
        <v>22</v>
      </c>
      <c r="C67" s="4" t="s">
        <v>23</v>
      </c>
      <c r="D67" s="4" t="s">
        <v>24</v>
      </c>
      <c r="E67" s="4" t="s">
        <v>24</v>
      </c>
      <c r="F67" s="4" t="s">
        <v>25</v>
      </c>
      <c r="G67" s="4" t="s">
        <v>25</v>
      </c>
      <c r="H67" s="4" t="s">
        <v>25</v>
      </c>
      <c r="I67" s="5">
        <v>44621</v>
      </c>
      <c r="J67" s="6">
        <v>0</v>
      </c>
      <c r="K67" s="6">
        <v>0</v>
      </c>
      <c r="L67" s="6">
        <v>3.77</v>
      </c>
      <c r="M67" s="6">
        <v>3.77</v>
      </c>
      <c r="N67" s="6">
        <v>3.77</v>
      </c>
      <c r="O67" s="6">
        <v>3.77</v>
      </c>
      <c r="P67" s="6">
        <v>16</v>
      </c>
      <c r="Q67" s="4" t="s">
        <v>26</v>
      </c>
      <c r="R67" s="4">
        <v>0</v>
      </c>
      <c r="S67" s="4" t="s">
        <v>144</v>
      </c>
      <c r="T67" s="4" t="s">
        <v>349</v>
      </c>
      <c r="U67" s="4">
        <v>0</v>
      </c>
      <c r="V67" s="4">
        <v>16</v>
      </c>
      <c r="W67" s="4">
        <v>53</v>
      </c>
    </row>
    <row r="68" spans="1:23" ht="11.25" customHeight="1" x14ac:dyDescent="0.25">
      <c r="A68" s="4" t="s">
        <v>21</v>
      </c>
      <c r="B68" s="4" t="s">
        <v>22</v>
      </c>
      <c r="C68" s="4" t="s">
        <v>23</v>
      </c>
      <c r="D68" s="4" t="s">
        <v>24</v>
      </c>
      <c r="E68" s="4" t="s">
        <v>24</v>
      </c>
      <c r="F68" s="4" t="s">
        <v>25</v>
      </c>
      <c r="G68" s="4" t="s">
        <v>25</v>
      </c>
      <c r="H68" s="4" t="s">
        <v>25</v>
      </c>
      <c r="I68" s="5">
        <v>44652</v>
      </c>
      <c r="J68" s="6">
        <v>0</v>
      </c>
      <c r="K68" s="6">
        <v>0</v>
      </c>
      <c r="L68" s="6">
        <v>204.11</v>
      </c>
      <c r="M68" s="6">
        <v>204.11</v>
      </c>
      <c r="N68" s="6">
        <v>204.11</v>
      </c>
      <c r="O68" s="6">
        <v>204.11</v>
      </c>
      <c r="P68" s="6">
        <v>1822</v>
      </c>
      <c r="Q68" s="4" t="s">
        <v>26</v>
      </c>
      <c r="R68" s="4">
        <v>0</v>
      </c>
      <c r="S68" s="4" t="s">
        <v>145</v>
      </c>
      <c r="T68" s="4" t="s">
        <v>350</v>
      </c>
      <c r="U68" s="4">
        <v>0</v>
      </c>
      <c r="V68" s="4">
        <v>16</v>
      </c>
      <c r="W68" s="4">
        <v>53</v>
      </c>
    </row>
    <row r="69" spans="1:23" ht="11.25" customHeight="1" x14ac:dyDescent="0.25">
      <c r="A69" s="4" t="s">
        <v>27</v>
      </c>
      <c r="B69" s="4" t="s">
        <v>22</v>
      </c>
      <c r="C69" s="4" t="s">
        <v>23</v>
      </c>
      <c r="D69" s="4" t="s">
        <v>24</v>
      </c>
      <c r="E69" s="4" t="s">
        <v>24</v>
      </c>
      <c r="F69" s="4" t="s">
        <v>25</v>
      </c>
      <c r="G69" s="4" t="s">
        <v>25</v>
      </c>
      <c r="H69" s="4" t="s">
        <v>25</v>
      </c>
      <c r="I69" s="5">
        <v>44652</v>
      </c>
      <c r="J69" s="6">
        <v>0</v>
      </c>
      <c r="K69" s="6">
        <v>0</v>
      </c>
      <c r="L69" s="6">
        <v>3.931</v>
      </c>
      <c r="M69" s="6">
        <v>3.931</v>
      </c>
      <c r="N69" s="6">
        <v>3.931</v>
      </c>
      <c r="O69" s="6">
        <v>3.931</v>
      </c>
      <c r="P69" s="6">
        <v>17</v>
      </c>
      <c r="Q69" s="4" t="s">
        <v>26</v>
      </c>
      <c r="R69" s="4">
        <v>0</v>
      </c>
      <c r="S69" s="4" t="s">
        <v>145</v>
      </c>
      <c r="T69" s="4" t="s">
        <v>350</v>
      </c>
      <c r="U69" s="4">
        <v>0</v>
      </c>
      <c r="V69" s="4">
        <v>16</v>
      </c>
      <c r="W69" s="4">
        <v>53</v>
      </c>
    </row>
    <row r="70" spans="1:23" ht="11.25" customHeight="1" x14ac:dyDescent="0.25">
      <c r="A70" s="4" t="s">
        <v>21</v>
      </c>
      <c r="B70" s="4" t="s">
        <v>22</v>
      </c>
      <c r="C70" s="4" t="s">
        <v>23</v>
      </c>
      <c r="D70" s="4" t="s">
        <v>24</v>
      </c>
      <c r="E70" s="4" t="s">
        <v>28</v>
      </c>
      <c r="F70" s="4" t="s">
        <v>25</v>
      </c>
      <c r="G70" s="4" t="s">
        <v>25</v>
      </c>
      <c r="H70" s="4" t="s">
        <v>25</v>
      </c>
      <c r="I70" s="5">
        <v>44317</v>
      </c>
      <c r="J70" s="6">
        <v>0</v>
      </c>
      <c r="K70" s="6">
        <v>0</v>
      </c>
      <c r="L70" s="6">
        <v>59.46</v>
      </c>
      <c r="M70" s="6">
        <v>59.46</v>
      </c>
      <c r="N70" s="6">
        <v>59.46</v>
      </c>
      <c r="O70" s="6">
        <v>59.46</v>
      </c>
      <c r="P70" s="6">
        <v>128</v>
      </c>
      <c r="Q70" s="4" t="s">
        <v>26</v>
      </c>
      <c r="R70" s="4">
        <v>0</v>
      </c>
      <c r="S70" s="4" t="s">
        <v>146</v>
      </c>
      <c r="T70" s="4" t="s">
        <v>351</v>
      </c>
      <c r="U70" s="4">
        <v>0</v>
      </c>
      <c r="V70" s="4">
        <v>17</v>
      </c>
      <c r="W70" s="4">
        <v>54</v>
      </c>
    </row>
    <row r="71" spans="1:23" ht="11.25" customHeight="1" x14ac:dyDescent="0.25">
      <c r="A71" s="4" t="s">
        <v>21</v>
      </c>
      <c r="B71" s="4" t="s">
        <v>22</v>
      </c>
      <c r="C71" s="4" t="s">
        <v>23</v>
      </c>
      <c r="D71" s="4" t="s">
        <v>24</v>
      </c>
      <c r="E71" s="4" t="s">
        <v>28</v>
      </c>
      <c r="F71" s="4" t="s">
        <v>25</v>
      </c>
      <c r="G71" s="4" t="s">
        <v>25</v>
      </c>
      <c r="H71" s="4" t="s">
        <v>25</v>
      </c>
      <c r="I71" s="5">
        <v>44348</v>
      </c>
      <c r="J71" s="6">
        <v>0</v>
      </c>
      <c r="K71" s="6">
        <v>0</v>
      </c>
      <c r="L71" s="6">
        <v>59.97</v>
      </c>
      <c r="M71" s="6">
        <v>59.97</v>
      </c>
      <c r="N71" s="6">
        <v>59.97</v>
      </c>
      <c r="O71" s="6">
        <v>59.97</v>
      </c>
      <c r="P71" s="6">
        <v>145</v>
      </c>
      <c r="Q71" s="4" t="s">
        <v>26</v>
      </c>
      <c r="R71" s="4">
        <v>0</v>
      </c>
      <c r="S71" s="4" t="s">
        <v>147</v>
      </c>
      <c r="T71" s="4" t="s">
        <v>352</v>
      </c>
      <c r="U71" s="4">
        <v>0</v>
      </c>
      <c r="V71" s="4">
        <v>17</v>
      </c>
      <c r="W71" s="4">
        <v>54</v>
      </c>
    </row>
    <row r="72" spans="1:23" ht="11.25" customHeight="1" x14ac:dyDescent="0.25">
      <c r="A72" s="4" t="s">
        <v>21</v>
      </c>
      <c r="B72" s="4" t="s">
        <v>22</v>
      </c>
      <c r="C72" s="4" t="s">
        <v>23</v>
      </c>
      <c r="D72" s="4" t="s">
        <v>24</v>
      </c>
      <c r="E72" s="4" t="s">
        <v>28</v>
      </c>
      <c r="F72" s="4" t="s">
        <v>25</v>
      </c>
      <c r="G72" s="4" t="s">
        <v>25</v>
      </c>
      <c r="H72" s="4" t="s">
        <v>25</v>
      </c>
      <c r="I72" s="5">
        <v>44378</v>
      </c>
      <c r="J72" s="6">
        <v>0</v>
      </c>
      <c r="K72" s="6">
        <v>0</v>
      </c>
      <c r="L72" s="6">
        <v>60.3</v>
      </c>
      <c r="M72" s="6">
        <v>60.3</v>
      </c>
      <c r="N72" s="6">
        <v>60.3</v>
      </c>
      <c r="O72" s="6">
        <v>60.3</v>
      </c>
      <c r="P72" s="6">
        <v>148</v>
      </c>
      <c r="Q72" s="4" t="s">
        <v>26</v>
      </c>
      <c r="R72" s="4">
        <v>0</v>
      </c>
      <c r="S72" s="4" t="s">
        <v>148</v>
      </c>
      <c r="T72" s="4" t="s">
        <v>353</v>
      </c>
      <c r="U72" s="4">
        <v>0</v>
      </c>
      <c r="V72" s="4">
        <v>17</v>
      </c>
      <c r="W72" s="4">
        <v>54</v>
      </c>
    </row>
    <row r="73" spans="1:23" ht="11.25" customHeight="1" x14ac:dyDescent="0.25">
      <c r="A73" s="4" t="s">
        <v>21</v>
      </c>
      <c r="B73" s="4" t="s">
        <v>22</v>
      </c>
      <c r="C73" s="4" t="s">
        <v>23</v>
      </c>
      <c r="D73" s="4" t="s">
        <v>24</v>
      </c>
      <c r="E73" s="4" t="s">
        <v>28</v>
      </c>
      <c r="F73" s="4" t="s">
        <v>25</v>
      </c>
      <c r="G73" s="4" t="s">
        <v>25</v>
      </c>
      <c r="H73" s="4" t="s">
        <v>25</v>
      </c>
      <c r="I73" s="5">
        <v>44409</v>
      </c>
      <c r="J73" s="6">
        <v>0</v>
      </c>
      <c r="K73" s="6">
        <v>0</v>
      </c>
      <c r="L73" s="6">
        <v>60.9</v>
      </c>
      <c r="M73" s="6">
        <v>60.9</v>
      </c>
      <c r="N73" s="6">
        <v>60.9</v>
      </c>
      <c r="O73" s="6">
        <v>60.9</v>
      </c>
      <c r="P73" s="6">
        <v>150</v>
      </c>
      <c r="Q73" s="4" t="s">
        <v>26</v>
      </c>
      <c r="R73" s="4">
        <v>0</v>
      </c>
      <c r="S73" s="4" t="s">
        <v>149</v>
      </c>
      <c r="T73" s="4" t="s">
        <v>354</v>
      </c>
      <c r="U73" s="4">
        <v>0</v>
      </c>
      <c r="V73" s="4">
        <v>17</v>
      </c>
      <c r="W73" s="4">
        <v>54</v>
      </c>
    </row>
    <row r="74" spans="1:23" ht="11.25" customHeight="1" x14ac:dyDescent="0.25">
      <c r="A74" s="4" t="s">
        <v>21</v>
      </c>
      <c r="B74" s="4" t="s">
        <v>22</v>
      </c>
      <c r="C74" s="4" t="s">
        <v>23</v>
      </c>
      <c r="D74" s="4" t="s">
        <v>24</v>
      </c>
      <c r="E74" s="4" t="s">
        <v>28</v>
      </c>
      <c r="F74" s="4" t="s">
        <v>25</v>
      </c>
      <c r="G74" s="4" t="s">
        <v>25</v>
      </c>
      <c r="H74" s="4" t="s">
        <v>25</v>
      </c>
      <c r="I74" s="5">
        <v>44440</v>
      </c>
      <c r="J74" s="6">
        <v>0</v>
      </c>
      <c r="K74" s="6">
        <v>0</v>
      </c>
      <c r="L74" s="6">
        <v>61.23</v>
      </c>
      <c r="M74" s="6">
        <v>61.23</v>
      </c>
      <c r="N74" s="6">
        <v>61.23</v>
      </c>
      <c r="O74" s="6">
        <v>61.23</v>
      </c>
      <c r="P74" s="6">
        <v>138</v>
      </c>
      <c r="Q74" s="4" t="s">
        <v>26</v>
      </c>
      <c r="R74" s="4">
        <v>0</v>
      </c>
      <c r="S74" s="4" t="s">
        <v>150</v>
      </c>
      <c r="T74" s="4" t="s">
        <v>355</v>
      </c>
      <c r="U74" s="4">
        <v>0</v>
      </c>
      <c r="V74" s="4">
        <v>17</v>
      </c>
      <c r="W74" s="4">
        <v>54</v>
      </c>
    </row>
    <row r="75" spans="1:23" ht="11.25" customHeight="1" x14ac:dyDescent="0.25">
      <c r="A75" s="4" t="s">
        <v>21</v>
      </c>
      <c r="B75" s="4" t="s">
        <v>22</v>
      </c>
      <c r="C75" s="4" t="s">
        <v>23</v>
      </c>
      <c r="D75" s="4" t="s">
        <v>24</v>
      </c>
      <c r="E75" s="4" t="s">
        <v>28</v>
      </c>
      <c r="F75" s="4" t="s">
        <v>25</v>
      </c>
      <c r="G75" s="4" t="s">
        <v>25</v>
      </c>
      <c r="H75" s="4" t="s">
        <v>25</v>
      </c>
      <c r="I75" s="5">
        <v>44470</v>
      </c>
      <c r="J75" s="6">
        <v>0</v>
      </c>
      <c r="K75" s="6">
        <v>0</v>
      </c>
      <c r="L75" s="6">
        <v>61.98</v>
      </c>
      <c r="M75" s="6">
        <v>61.98</v>
      </c>
      <c r="N75" s="6">
        <v>61.98</v>
      </c>
      <c r="O75" s="6">
        <v>61.98</v>
      </c>
      <c r="P75" s="6">
        <v>150</v>
      </c>
      <c r="Q75" s="4" t="s">
        <v>26</v>
      </c>
      <c r="R75" s="4">
        <v>0</v>
      </c>
      <c r="S75" s="4" t="s">
        <v>151</v>
      </c>
      <c r="T75" s="4" t="s">
        <v>356</v>
      </c>
      <c r="U75" s="4">
        <v>0</v>
      </c>
      <c r="V75" s="4">
        <v>17</v>
      </c>
      <c r="W75" s="4">
        <v>54</v>
      </c>
    </row>
    <row r="76" spans="1:23" ht="11.25" customHeight="1" x14ac:dyDescent="0.25">
      <c r="A76" s="4" t="s">
        <v>21</v>
      </c>
      <c r="B76" s="4" t="s">
        <v>22</v>
      </c>
      <c r="C76" s="4" t="s">
        <v>23</v>
      </c>
      <c r="D76" s="4" t="s">
        <v>24</v>
      </c>
      <c r="E76" s="4" t="s">
        <v>28</v>
      </c>
      <c r="F76" s="4" t="s">
        <v>25</v>
      </c>
      <c r="G76" s="4" t="s">
        <v>25</v>
      </c>
      <c r="H76" s="4" t="s">
        <v>25</v>
      </c>
      <c r="I76" s="5">
        <v>44501</v>
      </c>
      <c r="J76" s="6">
        <v>0</v>
      </c>
      <c r="K76" s="6">
        <v>0</v>
      </c>
      <c r="L76" s="6">
        <v>62.91</v>
      </c>
      <c r="M76" s="6">
        <v>62.91</v>
      </c>
      <c r="N76" s="6">
        <v>62.91</v>
      </c>
      <c r="O76" s="6">
        <v>62.91</v>
      </c>
      <c r="P76" s="6">
        <v>133</v>
      </c>
      <c r="Q76" s="4" t="s">
        <v>26</v>
      </c>
      <c r="R76" s="4">
        <v>0</v>
      </c>
      <c r="S76" s="4" t="s">
        <v>152</v>
      </c>
      <c r="T76" s="4" t="s">
        <v>357</v>
      </c>
      <c r="U76" s="4">
        <v>0</v>
      </c>
      <c r="V76" s="4">
        <v>17</v>
      </c>
      <c r="W76" s="4">
        <v>54</v>
      </c>
    </row>
    <row r="77" spans="1:23" ht="11.25" customHeight="1" x14ac:dyDescent="0.25">
      <c r="A77" s="4" t="s">
        <v>21</v>
      </c>
      <c r="B77" s="4" t="s">
        <v>22</v>
      </c>
      <c r="C77" s="4" t="s">
        <v>23</v>
      </c>
      <c r="D77" s="4" t="s">
        <v>24</v>
      </c>
      <c r="E77" s="4" t="s">
        <v>28</v>
      </c>
      <c r="F77" s="4" t="s">
        <v>25</v>
      </c>
      <c r="G77" s="4" t="s">
        <v>25</v>
      </c>
      <c r="H77" s="4" t="s">
        <v>25</v>
      </c>
      <c r="I77" s="5">
        <v>44531</v>
      </c>
      <c r="J77" s="6">
        <v>0</v>
      </c>
      <c r="K77" s="6">
        <v>0</v>
      </c>
      <c r="L77" s="6">
        <v>64.77</v>
      </c>
      <c r="M77" s="6">
        <v>64.77</v>
      </c>
      <c r="N77" s="6">
        <v>64.77</v>
      </c>
      <c r="O77" s="6">
        <v>64.77</v>
      </c>
      <c r="P77" s="6">
        <v>151</v>
      </c>
      <c r="Q77" s="4" t="s">
        <v>26</v>
      </c>
      <c r="R77" s="4">
        <v>0</v>
      </c>
      <c r="S77" s="4" t="s">
        <v>153</v>
      </c>
      <c r="T77" s="4" t="s">
        <v>358</v>
      </c>
      <c r="U77" s="4">
        <v>0</v>
      </c>
      <c r="V77" s="4">
        <v>17</v>
      </c>
      <c r="W77" s="4">
        <v>54</v>
      </c>
    </row>
    <row r="78" spans="1:23" ht="11.25" customHeight="1" x14ac:dyDescent="0.25">
      <c r="A78" s="4" t="s">
        <v>21</v>
      </c>
      <c r="B78" s="4" t="s">
        <v>22</v>
      </c>
      <c r="C78" s="4" t="s">
        <v>23</v>
      </c>
      <c r="D78" s="4" t="s">
        <v>24</v>
      </c>
      <c r="E78" s="4" t="s">
        <v>28</v>
      </c>
      <c r="F78" s="4" t="s">
        <v>25</v>
      </c>
      <c r="G78" s="4" t="s">
        <v>25</v>
      </c>
      <c r="H78" s="4" t="s">
        <v>25</v>
      </c>
      <c r="I78" s="5">
        <v>44562</v>
      </c>
      <c r="J78" s="6">
        <v>0</v>
      </c>
      <c r="K78" s="6">
        <v>0</v>
      </c>
      <c r="L78" s="6">
        <v>64.92</v>
      </c>
      <c r="M78" s="6">
        <v>64.92</v>
      </c>
      <c r="N78" s="6">
        <v>64.92</v>
      </c>
      <c r="O78" s="6">
        <v>64.92</v>
      </c>
      <c r="P78" s="6">
        <v>142</v>
      </c>
      <c r="Q78" s="4" t="s">
        <v>26</v>
      </c>
      <c r="R78" s="4">
        <v>0</v>
      </c>
      <c r="S78" s="4" t="s">
        <v>154</v>
      </c>
      <c r="T78" s="4" t="s">
        <v>359</v>
      </c>
      <c r="U78" s="4">
        <v>0</v>
      </c>
      <c r="V78" s="4">
        <v>17</v>
      </c>
      <c r="W78" s="4">
        <v>54</v>
      </c>
    </row>
    <row r="79" spans="1:23" ht="11.25" customHeight="1" x14ac:dyDescent="0.25">
      <c r="A79" s="4" t="s">
        <v>21</v>
      </c>
      <c r="B79" s="4" t="s">
        <v>22</v>
      </c>
      <c r="C79" s="4" t="s">
        <v>23</v>
      </c>
      <c r="D79" s="4" t="s">
        <v>24</v>
      </c>
      <c r="E79" s="4" t="s">
        <v>28</v>
      </c>
      <c r="F79" s="4" t="s">
        <v>25</v>
      </c>
      <c r="G79" s="4" t="s">
        <v>25</v>
      </c>
      <c r="H79" s="4" t="s">
        <v>25</v>
      </c>
      <c r="I79" s="5">
        <v>44593</v>
      </c>
      <c r="J79" s="6">
        <v>0</v>
      </c>
      <c r="K79" s="6">
        <v>0</v>
      </c>
      <c r="L79" s="6">
        <v>73.319999999999993</v>
      </c>
      <c r="M79" s="6">
        <v>73.319999999999993</v>
      </c>
      <c r="N79" s="6">
        <v>73.319999999999993</v>
      </c>
      <c r="O79" s="6">
        <v>73.319999999999993</v>
      </c>
      <c r="P79" s="6">
        <v>186</v>
      </c>
      <c r="Q79" s="4" t="s">
        <v>26</v>
      </c>
      <c r="R79" s="4">
        <v>0</v>
      </c>
      <c r="S79" s="4" t="s">
        <v>155</v>
      </c>
      <c r="T79" s="4" t="s">
        <v>360</v>
      </c>
      <c r="U79" s="4">
        <v>0</v>
      </c>
      <c r="V79" s="4">
        <v>17</v>
      </c>
      <c r="W79" s="4">
        <v>54</v>
      </c>
    </row>
    <row r="80" spans="1:23" ht="11.25" customHeight="1" x14ac:dyDescent="0.25">
      <c r="A80" s="4" t="s">
        <v>21</v>
      </c>
      <c r="B80" s="4" t="s">
        <v>22</v>
      </c>
      <c r="C80" s="4" t="s">
        <v>23</v>
      </c>
      <c r="D80" s="4" t="s">
        <v>24</v>
      </c>
      <c r="E80" s="4" t="s">
        <v>28</v>
      </c>
      <c r="F80" s="4" t="s">
        <v>25</v>
      </c>
      <c r="G80" s="4" t="s">
        <v>25</v>
      </c>
      <c r="H80" s="4" t="s">
        <v>25</v>
      </c>
      <c r="I80" s="5">
        <v>44621</v>
      </c>
      <c r="J80" s="6">
        <v>0</v>
      </c>
      <c r="K80" s="6">
        <v>0</v>
      </c>
      <c r="L80" s="6">
        <v>75.36</v>
      </c>
      <c r="M80" s="6">
        <v>75.36</v>
      </c>
      <c r="N80" s="6">
        <v>75.36</v>
      </c>
      <c r="O80" s="6">
        <v>75.36</v>
      </c>
      <c r="P80" s="6">
        <v>172</v>
      </c>
      <c r="Q80" s="4" t="s">
        <v>26</v>
      </c>
      <c r="R80" s="4">
        <v>0</v>
      </c>
      <c r="S80" s="4" t="s">
        <v>156</v>
      </c>
      <c r="T80" s="4" t="s">
        <v>361</v>
      </c>
      <c r="U80" s="4">
        <v>0</v>
      </c>
      <c r="V80" s="4">
        <v>17</v>
      </c>
      <c r="W80" s="4">
        <v>54</v>
      </c>
    </row>
    <row r="81" spans="1:23" ht="11.25" customHeight="1" x14ac:dyDescent="0.25">
      <c r="A81" s="4" t="s">
        <v>21</v>
      </c>
      <c r="B81" s="4" t="s">
        <v>22</v>
      </c>
      <c r="C81" s="4" t="s">
        <v>23</v>
      </c>
      <c r="D81" s="4" t="s">
        <v>24</v>
      </c>
      <c r="E81" s="4" t="s">
        <v>28</v>
      </c>
      <c r="F81" s="4" t="s">
        <v>25</v>
      </c>
      <c r="G81" s="4" t="s">
        <v>25</v>
      </c>
      <c r="H81" s="4" t="s">
        <v>25</v>
      </c>
      <c r="I81" s="5">
        <v>44652</v>
      </c>
      <c r="J81" s="6">
        <v>0</v>
      </c>
      <c r="K81" s="6">
        <v>0</v>
      </c>
      <c r="L81" s="6">
        <v>77.040000000000006</v>
      </c>
      <c r="M81" s="6">
        <v>77.040000000000006</v>
      </c>
      <c r="N81" s="6">
        <v>77.040000000000006</v>
      </c>
      <c r="O81" s="6">
        <v>77.040000000000006</v>
      </c>
      <c r="P81" s="6">
        <v>170</v>
      </c>
      <c r="Q81" s="4" t="s">
        <v>26</v>
      </c>
      <c r="R81" s="4">
        <v>0</v>
      </c>
      <c r="S81" s="4" t="s">
        <v>157</v>
      </c>
      <c r="T81" s="4" t="s">
        <v>362</v>
      </c>
      <c r="U81" s="4">
        <v>0</v>
      </c>
      <c r="V81" s="4">
        <v>17</v>
      </c>
      <c r="W81" s="4">
        <v>54</v>
      </c>
    </row>
    <row r="82" spans="1:23" ht="11.25" customHeight="1" x14ac:dyDescent="0.25">
      <c r="A82" s="4" t="s">
        <v>21</v>
      </c>
      <c r="B82" s="4" t="s">
        <v>22</v>
      </c>
      <c r="C82" s="4" t="s">
        <v>23</v>
      </c>
      <c r="D82" s="4" t="s">
        <v>24</v>
      </c>
      <c r="E82" s="4" t="s">
        <v>29</v>
      </c>
      <c r="F82" s="4" t="s">
        <v>25</v>
      </c>
      <c r="G82" s="4" t="s">
        <v>25</v>
      </c>
      <c r="H82" s="4" t="s">
        <v>25</v>
      </c>
      <c r="I82" s="5">
        <v>44317</v>
      </c>
      <c r="J82" s="6">
        <v>0</v>
      </c>
      <c r="K82" s="6">
        <v>0</v>
      </c>
      <c r="L82" s="6">
        <v>94.608000000000004</v>
      </c>
      <c r="M82" s="6">
        <v>94.608000000000004</v>
      </c>
      <c r="N82" s="6">
        <v>94.608000000000004</v>
      </c>
      <c r="O82" s="6">
        <v>94.608000000000004</v>
      </c>
      <c r="P82" s="6">
        <v>1169</v>
      </c>
      <c r="Q82" s="4" t="s">
        <v>26</v>
      </c>
      <c r="R82" s="4">
        <v>0</v>
      </c>
      <c r="S82" s="4" t="s">
        <v>158</v>
      </c>
      <c r="T82" s="4" t="s">
        <v>363</v>
      </c>
      <c r="U82" s="4">
        <v>0</v>
      </c>
      <c r="V82" s="4">
        <v>18</v>
      </c>
      <c r="W82" s="4">
        <v>55</v>
      </c>
    </row>
    <row r="83" spans="1:23" ht="11.25" customHeight="1" x14ac:dyDescent="0.25">
      <c r="A83" s="4" t="s">
        <v>21</v>
      </c>
      <c r="B83" s="4" t="s">
        <v>22</v>
      </c>
      <c r="C83" s="4" t="s">
        <v>23</v>
      </c>
      <c r="D83" s="4" t="s">
        <v>24</v>
      </c>
      <c r="E83" s="4" t="s">
        <v>29</v>
      </c>
      <c r="F83" s="4" t="s">
        <v>25</v>
      </c>
      <c r="G83" s="4" t="s">
        <v>25</v>
      </c>
      <c r="H83" s="4" t="s">
        <v>25</v>
      </c>
      <c r="I83" s="5">
        <v>44348</v>
      </c>
      <c r="J83" s="6">
        <v>0</v>
      </c>
      <c r="K83" s="6">
        <v>0</v>
      </c>
      <c r="L83" s="6">
        <v>89.388000000000005</v>
      </c>
      <c r="M83" s="6">
        <v>89.388000000000005</v>
      </c>
      <c r="N83" s="6">
        <v>89.388000000000005</v>
      </c>
      <c r="O83" s="6">
        <v>89.388000000000005</v>
      </c>
      <c r="P83" s="6">
        <v>1243</v>
      </c>
      <c r="Q83" s="4" t="s">
        <v>26</v>
      </c>
      <c r="R83" s="4">
        <v>0</v>
      </c>
      <c r="S83" s="4" t="s">
        <v>159</v>
      </c>
      <c r="T83" s="4" t="s">
        <v>364</v>
      </c>
      <c r="U83" s="4">
        <v>0</v>
      </c>
      <c r="V83" s="4">
        <v>18</v>
      </c>
      <c r="W83" s="4">
        <v>55</v>
      </c>
    </row>
    <row r="84" spans="1:23" ht="11.25" customHeight="1" x14ac:dyDescent="0.25">
      <c r="A84" s="4" t="s">
        <v>21</v>
      </c>
      <c r="B84" s="4" t="s">
        <v>22</v>
      </c>
      <c r="C84" s="4" t="s">
        <v>23</v>
      </c>
      <c r="D84" s="4" t="s">
        <v>24</v>
      </c>
      <c r="E84" s="4" t="s">
        <v>29</v>
      </c>
      <c r="F84" s="4" t="s">
        <v>25</v>
      </c>
      <c r="G84" s="4" t="s">
        <v>25</v>
      </c>
      <c r="H84" s="4" t="s">
        <v>25</v>
      </c>
      <c r="I84" s="5">
        <v>44378</v>
      </c>
      <c r="J84" s="6">
        <v>0</v>
      </c>
      <c r="K84" s="6">
        <v>0</v>
      </c>
      <c r="L84" s="6">
        <v>87.186000000000007</v>
      </c>
      <c r="M84" s="6">
        <v>87.186000000000007</v>
      </c>
      <c r="N84" s="6">
        <v>87.186000000000007</v>
      </c>
      <c r="O84" s="6">
        <v>87.186000000000007</v>
      </c>
      <c r="P84" s="6">
        <v>1310</v>
      </c>
      <c r="Q84" s="4" t="s">
        <v>26</v>
      </c>
      <c r="R84" s="4">
        <v>0</v>
      </c>
      <c r="S84" s="4" t="s">
        <v>160</v>
      </c>
      <c r="T84" s="4" t="s">
        <v>365</v>
      </c>
      <c r="U84" s="4">
        <v>0</v>
      </c>
      <c r="V84" s="4">
        <v>18</v>
      </c>
      <c r="W84" s="4">
        <v>55</v>
      </c>
    </row>
    <row r="85" spans="1:23" ht="11.25" customHeight="1" x14ac:dyDescent="0.25">
      <c r="A85" s="4" t="s">
        <v>21</v>
      </c>
      <c r="B85" s="4" t="s">
        <v>22</v>
      </c>
      <c r="C85" s="4" t="s">
        <v>23</v>
      </c>
      <c r="D85" s="4" t="s">
        <v>24</v>
      </c>
      <c r="E85" s="4" t="s">
        <v>29</v>
      </c>
      <c r="F85" s="4" t="s">
        <v>25</v>
      </c>
      <c r="G85" s="4" t="s">
        <v>25</v>
      </c>
      <c r="H85" s="4" t="s">
        <v>25</v>
      </c>
      <c r="I85" s="5">
        <v>44409</v>
      </c>
      <c r="J85" s="6">
        <v>0</v>
      </c>
      <c r="K85" s="6">
        <v>0</v>
      </c>
      <c r="L85" s="6">
        <v>88.462999999999994</v>
      </c>
      <c r="M85" s="6">
        <v>88.462999999999994</v>
      </c>
      <c r="N85" s="6">
        <v>88.462999999999994</v>
      </c>
      <c r="O85" s="6">
        <v>88.462999999999994</v>
      </c>
      <c r="P85" s="6">
        <v>1317</v>
      </c>
      <c r="Q85" s="4" t="s">
        <v>26</v>
      </c>
      <c r="R85" s="4">
        <v>0</v>
      </c>
      <c r="S85" s="4" t="s">
        <v>161</v>
      </c>
      <c r="T85" s="4" t="s">
        <v>366</v>
      </c>
      <c r="U85" s="4">
        <v>0</v>
      </c>
      <c r="V85" s="4">
        <v>18</v>
      </c>
      <c r="W85" s="4">
        <v>55</v>
      </c>
    </row>
    <row r="86" spans="1:23" ht="11.25" customHeight="1" x14ac:dyDescent="0.25">
      <c r="A86" s="4" t="s">
        <v>21</v>
      </c>
      <c r="B86" s="4" t="s">
        <v>22</v>
      </c>
      <c r="C86" s="4" t="s">
        <v>23</v>
      </c>
      <c r="D86" s="4" t="s">
        <v>24</v>
      </c>
      <c r="E86" s="4" t="s">
        <v>29</v>
      </c>
      <c r="F86" s="4" t="s">
        <v>25</v>
      </c>
      <c r="G86" s="4" t="s">
        <v>25</v>
      </c>
      <c r="H86" s="4" t="s">
        <v>25</v>
      </c>
      <c r="I86" s="5">
        <v>44440</v>
      </c>
      <c r="J86" s="6">
        <v>0</v>
      </c>
      <c r="K86" s="6">
        <v>0</v>
      </c>
      <c r="L86" s="6">
        <v>91.117999999999995</v>
      </c>
      <c r="M86" s="6">
        <v>91.117999999999995</v>
      </c>
      <c r="N86" s="6">
        <v>91.117999999999995</v>
      </c>
      <c r="O86" s="6">
        <v>91.117999999999995</v>
      </c>
      <c r="P86" s="6">
        <v>1289</v>
      </c>
      <c r="Q86" s="4" t="s">
        <v>26</v>
      </c>
      <c r="R86" s="4">
        <v>0</v>
      </c>
      <c r="S86" s="4" t="s">
        <v>162</v>
      </c>
      <c r="T86" s="4" t="s">
        <v>367</v>
      </c>
      <c r="U86" s="4">
        <v>0</v>
      </c>
      <c r="V86" s="4">
        <v>18</v>
      </c>
      <c r="W86" s="4">
        <v>55</v>
      </c>
    </row>
    <row r="87" spans="1:23" ht="11.25" customHeight="1" x14ac:dyDescent="0.25">
      <c r="A87" s="4" t="s">
        <v>21</v>
      </c>
      <c r="B87" s="4" t="s">
        <v>22</v>
      </c>
      <c r="C87" s="4" t="s">
        <v>23</v>
      </c>
      <c r="D87" s="4" t="s">
        <v>24</v>
      </c>
      <c r="E87" s="4" t="s">
        <v>29</v>
      </c>
      <c r="F87" s="4" t="s">
        <v>25</v>
      </c>
      <c r="G87" s="4" t="s">
        <v>25</v>
      </c>
      <c r="H87" s="4" t="s">
        <v>25</v>
      </c>
      <c r="I87" s="5">
        <v>44470</v>
      </c>
      <c r="J87" s="6">
        <v>0</v>
      </c>
      <c r="K87" s="6">
        <v>0</v>
      </c>
      <c r="L87" s="6">
        <v>92.147999999999996</v>
      </c>
      <c r="M87" s="6">
        <v>92.147999999999996</v>
      </c>
      <c r="N87" s="6">
        <v>92.147999999999996</v>
      </c>
      <c r="O87" s="6">
        <v>92.147999999999996</v>
      </c>
      <c r="P87" s="6">
        <v>1289</v>
      </c>
      <c r="Q87" s="4" t="s">
        <v>26</v>
      </c>
      <c r="R87" s="4">
        <v>0</v>
      </c>
      <c r="S87" s="4" t="s">
        <v>163</v>
      </c>
      <c r="T87" s="4" t="s">
        <v>368</v>
      </c>
      <c r="U87" s="4">
        <v>0</v>
      </c>
      <c r="V87" s="4">
        <v>18</v>
      </c>
      <c r="W87" s="4">
        <v>55</v>
      </c>
    </row>
    <row r="88" spans="1:23" ht="11.25" customHeight="1" x14ac:dyDescent="0.25">
      <c r="A88" s="4" t="s">
        <v>21</v>
      </c>
      <c r="B88" s="4" t="s">
        <v>22</v>
      </c>
      <c r="C88" s="4" t="s">
        <v>23</v>
      </c>
      <c r="D88" s="4" t="s">
        <v>24</v>
      </c>
      <c r="E88" s="4" t="s">
        <v>29</v>
      </c>
      <c r="F88" s="4" t="s">
        <v>25</v>
      </c>
      <c r="G88" s="4" t="s">
        <v>25</v>
      </c>
      <c r="H88" s="4" t="s">
        <v>25</v>
      </c>
      <c r="I88" s="5">
        <v>44501</v>
      </c>
      <c r="J88" s="6">
        <v>0</v>
      </c>
      <c r="K88" s="6">
        <v>0</v>
      </c>
      <c r="L88" s="6">
        <v>108.404</v>
      </c>
      <c r="M88" s="6">
        <v>108.404</v>
      </c>
      <c r="N88" s="6">
        <v>108.404</v>
      </c>
      <c r="O88" s="6">
        <v>108.404</v>
      </c>
      <c r="P88" s="6">
        <v>1049</v>
      </c>
      <c r="Q88" s="4" t="s">
        <v>26</v>
      </c>
      <c r="R88" s="4">
        <v>0</v>
      </c>
      <c r="S88" s="4" t="s">
        <v>164</v>
      </c>
      <c r="T88" s="4" t="s">
        <v>369</v>
      </c>
      <c r="U88" s="4">
        <v>0</v>
      </c>
      <c r="V88" s="4">
        <v>18</v>
      </c>
      <c r="W88" s="4">
        <v>55</v>
      </c>
    </row>
    <row r="89" spans="1:23" ht="11.25" customHeight="1" x14ac:dyDescent="0.25">
      <c r="A89" s="4" t="s">
        <v>21</v>
      </c>
      <c r="B89" s="4" t="s">
        <v>22</v>
      </c>
      <c r="C89" s="4" t="s">
        <v>23</v>
      </c>
      <c r="D89" s="4" t="s">
        <v>24</v>
      </c>
      <c r="E89" s="4" t="s">
        <v>29</v>
      </c>
      <c r="F89" s="4" t="s">
        <v>25</v>
      </c>
      <c r="G89" s="4" t="s">
        <v>25</v>
      </c>
      <c r="H89" s="4" t="s">
        <v>25</v>
      </c>
      <c r="I89" s="5">
        <v>44531</v>
      </c>
      <c r="J89" s="6">
        <v>0</v>
      </c>
      <c r="K89" s="6">
        <v>0</v>
      </c>
      <c r="L89" s="6">
        <v>105.19199999999999</v>
      </c>
      <c r="M89" s="6">
        <v>105.19199999999999</v>
      </c>
      <c r="N89" s="6">
        <v>105.19199999999999</v>
      </c>
      <c r="O89" s="6">
        <v>105.19199999999999</v>
      </c>
      <c r="P89" s="6">
        <v>1198</v>
      </c>
      <c r="Q89" s="4" t="s">
        <v>26</v>
      </c>
      <c r="R89" s="4">
        <v>0</v>
      </c>
      <c r="S89" s="4" t="s">
        <v>165</v>
      </c>
      <c r="T89" s="4" t="s">
        <v>370</v>
      </c>
      <c r="U89" s="4">
        <v>0</v>
      </c>
      <c r="V89" s="4">
        <v>18</v>
      </c>
      <c r="W89" s="4">
        <v>55</v>
      </c>
    </row>
    <row r="90" spans="1:23" ht="11.25" customHeight="1" x14ac:dyDescent="0.25">
      <c r="A90" s="4" t="s">
        <v>21</v>
      </c>
      <c r="B90" s="4" t="s">
        <v>22</v>
      </c>
      <c r="C90" s="4" t="s">
        <v>23</v>
      </c>
      <c r="D90" s="4" t="s">
        <v>24</v>
      </c>
      <c r="E90" s="4" t="s">
        <v>29</v>
      </c>
      <c r="F90" s="4" t="s">
        <v>25</v>
      </c>
      <c r="G90" s="4" t="s">
        <v>25</v>
      </c>
      <c r="H90" s="4" t="s">
        <v>25</v>
      </c>
      <c r="I90" s="5">
        <v>44562</v>
      </c>
      <c r="J90" s="6">
        <v>0</v>
      </c>
      <c r="K90" s="6">
        <v>0</v>
      </c>
      <c r="L90" s="6">
        <v>102.47799999999999</v>
      </c>
      <c r="M90" s="6">
        <v>102.47799999999999</v>
      </c>
      <c r="N90" s="6">
        <v>102.47799999999999</v>
      </c>
      <c r="O90" s="6">
        <v>102.47799999999999</v>
      </c>
      <c r="P90" s="6">
        <v>1244</v>
      </c>
      <c r="Q90" s="4" t="s">
        <v>26</v>
      </c>
      <c r="R90" s="4">
        <v>0</v>
      </c>
      <c r="S90" s="4" t="s">
        <v>166</v>
      </c>
      <c r="T90" s="4" t="s">
        <v>371</v>
      </c>
      <c r="U90" s="4">
        <v>0</v>
      </c>
      <c r="V90" s="4">
        <v>18</v>
      </c>
      <c r="W90" s="4">
        <v>55</v>
      </c>
    </row>
    <row r="91" spans="1:23" ht="11.25" customHeight="1" x14ac:dyDescent="0.25">
      <c r="A91" s="4" t="s">
        <v>21</v>
      </c>
      <c r="B91" s="4" t="s">
        <v>22</v>
      </c>
      <c r="C91" s="4" t="s">
        <v>23</v>
      </c>
      <c r="D91" s="4" t="s">
        <v>24</v>
      </c>
      <c r="E91" s="4" t="s">
        <v>29</v>
      </c>
      <c r="F91" s="4" t="s">
        <v>25</v>
      </c>
      <c r="G91" s="4" t="s">
        <v>25</v>
      </c>
      <c r="H91" s="4" t="s">
        <v>25</v>
      </c>
      <c r="I91" s="5">
        <v>44593</v>
      </c>
      <c r="J91" s="6">
        <v>0</v>
      </c>
      <c r="K91" s="6">
        <v>0</v>
      </c>
      <c r="L91" s="6">
        <v>109.57299999999999</v>
      </c>
      <c r="M91" s="6">
        <v>109.57299999999999</v>
      </c>
      <c r="N91" s="6">
        <v>109.57299999999999</v>
      </c>
      <c r="O91" s="6">
        <v>109.57299999999999</v>
      </c>
      <c r="P91" s="6">
        <v>1496</v>
      </c>
      <c r="Q91" s="4" t="s">
        <v>26</v>
      </c>
      <c r="R91" s="4">
        <v>0</v>
      </c>
      <c r="S91" s="4" t="s">
        <v>167</v>
      </c>
      <c r="T91" s="4" t="s">
        <v>372</v>
      </c>
      <c r="U91" s="4">
        <v>0</v>
      </c>
      <c r="V91" s="4">
        <v>18</v>
      </c>
      <c r="W91" s="4">
        <v>55</v>
      </c>
    </row>
    <row r="92" spans="1:23" ht="11.25" customHeight="1" x14ac:dyDescent="0.25">
      <c r="A92" s="4" t="s">
        <v>21</v>
      </c>
      <c r="B92" s="4" t="s">
        <v>22</v>
      </c>
      <c r="C92" s="4" t="s">
        <v>23</v>
      </c>
      <c r="D92" s="4" t="s">
        <v>24</v>
      </c>
      <c r="E92" s="4" t="s">
        <v>29</v>
      </c>
      <c r="F92" s="4" t="s">
        <v>25</v>
      </c>
      <c r="G92" s="4" t="s">
        <v>25</v>
      </c>
      <c r="H92" s="4" t="s">
        <v>25</v>
      </c>
      <c r="I92" s="5">
        <v>44621</v>
      </c>
      <c r="J92" s="6">
        <v>0</v>
      </c>
      <c r="K92" s="6">
        <v>0</v>
      </c>
      <c r="L92" s="6">
        <v>122.306</v>
      </c>
      <c r="M92" s="6">
        <v>122.306</v>
      </c>
      <c r="N92" s="6">
        <v>122.306</v>
      </c>
      <c r="O92" s="6">
        <v>122.306</v>
      </c>
      <c r="P92" s="6">
        <v>1382</v>
      </c>
      <c r="Q92" s="4" t="s">
        <v>26</v>
      </c>
      <c r="R92" s="4">
        <v>0</v>
      </c>
      <c r="S92" s="4" t="s">
        <v>168</v>
      </c>
      <c r="T92" s="4" t="s">
        <v>373</v>
      </c>
      <c r="U92" s="4">
        <v>0</v>
      </c>
      <c r="V92" s="4">
        <v>18</v>
      </c>
      <c r="W92" s="4">
        <v>55</v>
      </c>
    </row>
    <row r="93" spans="1:23" ht="11.25" customHeight="1" x14ac:dyDescent="0.25">
      <c r="A93" s="4" t="s">
        <v>21</v>
      </c>
      <c r="B93" s="4" t="s">
        <v>22</v>
      </c>
      <c r="C93" s="4" t="s">
        <v>23</v>
      </c>
      <c r="D93" s="4" t="s">
        <v>24</v>
      </c>
      <c r="E93" s="4" t="s">
        <v>29</v>
      </c>
      <c r="F93" s="4" t="s">
        <v>25</v>
      </c>
      <c r="G93" s="4" t="s">
        <v>25</v>
      </c>
      <c r="H93" s="4" t="s">
        <v>25</v>
      </c>
      <c r="I93" s="5">
        <v>44652</v>
      </c>
      <c r="J93" s="6">
        <v>0</v>
      </c>
      <c r="K93" s="6">
        <v>0</v>
      </c>
      <c r="L93" s="6">
        <v>123.492</v>
      </c>
      <c r="M93" s="6">
        <v>123.492</v>
      </c>
      <c r="N93" s="6">
        <v>123.492</v>
      </c>
      <c r="O93" s="6">
        <v>123.492</v>
      </c>
      <c r="P93" s="6">
        <v>1474</v>
      </c>
      <c r="Q93" s="4" t="s">
        <v>26</v>
      </c>
      <c r="R93" s="4">
        <v>0</v>
      </c>
      <c r="S93" s="4" t="s">
        <v>169</v>
      </c>
      <c r="T93" s="4" t="s">
        <v>374</v>
      </c>
      <c r="U93" s="4">
        <v>0</v>
      </c>
      <c r="V93" s="4">
        <v>18</v>
      </c>
      <c r="W93" s="4">
        <v>55</v>
      </c>
    </row>
    <row r="94" spans="1:23" ht="11.25" customHeight="1" x14ac:dyDescent="0.25">
      <c r="A94" s="4" t="s">
        <v>21</v>
      </c>
      <c r="B94" s="4" t="s">
        <v>22</v>
      </c>
      <c r="C94" s="4" t="s">
        <v>23</v>
      </c>
      <c r="D94" s="4" t="s">
        <v>24</v>
      </c>
      <c r="E94" s="4" t="s">
        <v>30</v>
      </c>
      <c r="F94" s="4" t="s">
        <v>25</v>
      </c>
      <c r="G94" s="4" t="s">
        <v>25</v>
      </c>
      <c r="H94" s="4" t="s">
        <v>25</v>
      </c>
      <c r="I94" s="5">
        <v>44317</v>
      </c>
      <c r="J94" s="6">
        <v>0</v>
      </c>
      <c r="K94" s="6">
        <v>0</v>
      </c>
      <c r="L94" s="6">
        <v>31.216000000000001</v>
      </c>
      <c r="M94" s="6">
        <v>31.216000000000001</v>
      </c>
      <c r="N94" s="6">
        <v>31.216000000000001</v>
      </c>
      <c r="O94" s="6">
        <v>31.216000000000001</v>
      </c>
      <c r="P94" s="6">
        <v>630</v>
      </c>
      <c r="Q94" s="4" t="s">
        <v>26</v>
      </c>
      <c r="R94" s="4">
        <v>0</v>
      </c>
      <c r="S94" s="4" t="s">
        <v>170</v>
      </c>
      <c r="T94" s="4" t="s">
        <v>375</v>
      </c>
      <c r="U94" s="4">
        <v>0</v>
      </c>
      <c r="V94" s="4">
        <v>19</v>
      </c>
      <c r="W94" s="4">
        <v>56</v>
      </c>
    </row>
    <row r="95" spans="1:23" ht="11.25" customHeight="1" x14ac:dyDescent="0.25">
      <c r="A95" s="4" t="s">
        <v>21</v>
      </c>
      <c r="B95" s="4" t="s">
        <v>22</v>
      </c>
      <c r="C95" s="4" t="s">
        <v>23</v>
      </c>
      <c r="D95" s="4" t="s">
        <v>24</v>
      </c>
      <c r="E95" s="4" t="s">
        <v>30</v>
      </c>
      <c r="F95" s="4" t="s">
        <v>25</v>
      </c>
      <c r="G95" s="4" t="s">
        <v>25</v>
      </c>
      <c r="H95" s="4" t="s">
        <v>25</v>
      </c>
      <c r="I95" s="5">
        <v>44348</v>
      </c>
      <c r="J95" s="6">
        <v>0</v>
      </c>
      <c r="K95" s="6">
        <v>0</v>
      </c>
      <c r="L95" s="6">
        <v>25.992000000000001</v>
      </c>
      <c r="M95" s="6">
        <v>25.992000000000001</v>
      </c>
      <c r="N95" s="6">
        <v>25.992000000000001</v>
      </c>
      <c r="O95" s="6">
        <v>25.992000000000001</v>
      </c>
      <c r="P95" s="6">
        <v>560</v>
      </c>
      <c r="Q95" s="4" t="s">
        <v>26</v>
      </c>
      <c r="R95" s="4">
        <v>0</v>
      </c>
      <c r="S95" s="4" t="s">
        <v>171</v>
      </c>
      <c r="T95" s="4" t="s">
        <v>376</v>
      </c>
      <c r="U95" s="4">
        <v>0</v>
      </c>
      <c r="V95" s="4">
        <v>19</v>
      </c>
      <c r="W95" s="4">
        <v>56</v>
      </c>
    </row>
    <row r="96" spans="1:23" ht="11.25" customHeight="1" x14ac:dyDescent="0.25">
      <c r="A96" s="4" t="s">
        <v>21</v>
      </c>
      <c r="B96" s="4" t="s">
        <v>22</v>
      </c>
      <c r="C96" s="4" t="s">
        <v>23</v>
      </c>
      <c r="D96" s="4" t="s">
        <v>24</v>
      </c>
      <c r="E96" s="4" t="s">
        <v>30</v>
      </c>
      <c r="F96" s="4" t="s">
        <v>25</v>
      </c>
      <c r="G96" s="4" t="s">
        <v>25</v>
      </c>
      <c r="H96" s="4" t="s">
        <v>25</v>
      </c>
      <c r="I96" s="5">
        <v>44378</v>
      </c>
      <c r="J96" s="6">
        <v>0</v>
      </c>
      <c r="K96" s="6">
        <v>0</v>
      </c>
      <c r="L96" s="6">
        <v>23.824999999999999</v>
      </c>
      <c r="M96" s="6">
        <v>23.824999999999999</v>
      </c>
      <c r="N96" s="6">
        <v>23.824999999999999</v>
      </c>
      <c r="O96" s="6">
        <v>23.824999999999999</v>
      </c>
      <c r="P96" s="6">
        <v>500</v>
      </c>
      <c r="Q96" s="4" t="s">
        <v>26</v>
      </c>
      <c r="R96" s="4">
        <v>0</v>
      </c>
      <c r="S96" s="4" t="s">
        <v>172</v>
      </c>
      <c r="T96" s="4" t="s">
        <v>377</v>
      </c>
      <c r="U96" s="4">
        <v>0</v>
      </c>
      <c r="V96" s="4">
        <v>19</v>
      </c>
      <c r="W96" s="4">
        <v>56</v>
      </c>
    </row>
    <row r="97" spans="1:23" ht="11.25" customHeight="1" x14ac:dyDescent="0.25">
      <c r="A97" s="4" t="s">
        <v>21</v>
      </c>
      <c r="B97" s="4" t="s">
        <v>22</v>
      </c>
      <c r="C97" s="4" t="s">
        <v>23</v>
      </c>
      <c r="D97" s="4" t="s">
        <v>24</v>
      </c>
      <c r="E97" s="4" t="s">
        <v>30</v>
      </c>
      <c r="F97" s="4" t="s">
        <v>25</v>
      </c>
      <c r="G97" s="4" t="s">
        <v>25</v>
      </c>
      <c r="H97" s="4" t="s">
        <v>25</v>
      </c>
      <c r="I97" s="5">
        <v>44409</v>
      </c>
      <c r="J97" s="6">
        <v>0</v>
      </c>
      <c r="K97" s="6">
        <v>0</v>
      </c>
      <c r="L97" s="6">
        <v>23.878</v>
      </c>
      <c r="M97" s="6">
        <v>23.878</v>
      </c>
      <c r="N97" s="6">
        <v>23.878</v>
      </c>
      <c r="O97" s="6">
        <v>23.878</v>
      </c>
      <c r="P97" s="6">
        <v>511</v>
      </c>
      <c r="Q97" s="4" t="s">
        <v>26</v>
      </c>
      <c r="R97" s="4">
        <v>0</v>
      </c>
      <c r="S97" s="4" t="s">
        <v>173</v>
      </c>
      <c r="T97" s="4" t="s">
        <v>378</v>
      </c>
      <c r="U97" s="4">
        <v>0</v>
      </c>
      <c r="V97" s="4">
        <v>19</v>
      </c>
      <c r="W97" s="4">
        <v>56</v>
      </c>
    </row>
    <row r="98" spans="1:23" ht="11.25" customHeight="1" x14ac:dyDescent="0.25">
      <c r="A98" s="4" t="s">
        <v>21</v>
      </c>
      <c r="B98" s="4" t="s">
        <v>22</v>
      </c>
      <c r="C98" s="4" t="s">
        <v>23</v>
      </c>
      <c r="D98" s="4" t="s">
        <v>24</v>
      </c>
      <c r="E98" s="4" t="s">
        <v>30</v>
      </c>
      <c r="F98" s="4" t="s">
        <v>25</v>
      </c>
      <c r="G98" s="4" t="s">
        <v>25</v>
      </c>
      <c r="H98" s="4" t="s">
        <v>25</v>
      </c>
      <c r="I98" s="5">
        <v>44440</v>
      </c>
      <c r="J98" s="6">
        <v>0</v>
      </c>
      <c r="K98" s="6">
        <v>0</v>
      </c>
      <c r="L98" s="6">
        <v>25.832999999999998</v>
      </c>
      <c r="M98" s="6">
        <v>25.832999999999998</v>
      </c>
      <c r="N98" s="6">
        <v>25.832999999999998</v>
      </c>
      <c r="O98" s="6">
        <v>25.832999999999998</v>
      </c>
      <c r="P98" s="6">
        <v>562</v>
      </c>
      <c r="Q98" s="4" t="s">
        <v>26</v>
      </c>
      <c r="R98" s="4">
        <v>0</v>
      </c>
      <c r="S98" s="4" t="s">
        <v>174</v>
      </c>
      <c r="T98" s="4" t="s">
        <v>379</v>
      </c>
      <c r="U98" s="4">
        <v>0</v>
      </c>
      <c r="V98" s="4">
        <v>19</v>
      </c>
      <c r="W98" s="4">
        <v>56</v>
      </c>
    </row>
    <row r="99" spans="1:23" ht="11.25" customHeight="1" x14ac:dyDescent="0.25">
      <c r="A99" s="4" t="s">
        <v>21</v>
      </c>
      <c r="B99" s="4" t="s">
        <v>22</v>
      </c>
      <c r="C99" s="4" t="s">
        <v>23</v>
      </c>
      <c r="D99" s="4" t="s">
        <v>24</v>
      </c>
      <c r="E99" s="4" t="s">
        <v>30</v>
      </c>
      <c r="F99" s="4" t="s">
        <v>25</v>
      </c>
      <c r="G99" s="4" t="s">
        <v>25</v>
      </c>
      <c r="H99" s="4" t="s">
        <v>25</v>
      </c>
      <c r="I99" s="5">
        <v>44470</v>
      </c>
      <c r="J99" s="6">
        <v>0</v>
      </c>
      <c r="K99" s="6">
        <v>0</v>
      </c>
      <c r="L99" s="6">
        <v>26.504999999999999</v>
      </c>
      <c r="M99" s="6">
        <v>26.504999999999999</v>
      </c>
      <c r="N99" s="6">
        <v>26.504999999999999</v>
      </c>
      <c r="O99" s="6">
        <v>26.504999999999999</v>
      </c>
      <c r="P99" s="6">
        <v>569</v>
      </c>
      <c r="Q99" s="4" t="s">
        <v>26</v>
      </c>
      <c r="R99" s="4">
        <v>0</v>
      </c>
      <c r="S99" s="4" t="s">
        <v>175</v>
      </c>
      <c r="T99" s="4" t="s">
        <v>380</v>
      </c>
      <c r="U99" s="4">
        <v>0</v>
      </c>
      <c r="V99" s="4">
        <v>19</v>
      </c>
      <c r="W99" s="4">
        <v>56</v>
      </c>
    </row>
    <row r="100" spans="1:23" ht="11.25" customHeight="1" x14ac:dyDescent="0.25">
      <c r="A100" s="4" t="s">
        <v>21</v>
      </c>
      <c r="B100" s="4" t="s">
        <v>22</v>
      </c>
      <c r="C100" s="4" t="s">
        <v>23</v>
      </c>
      <c r="D100" s="4" t="s">
        <v>24</v>
      </c>
      <c r="E100" s="4" t="s">
        <v>30</v>
      </c>
      <c r="F100" s="4" t="s">
        <v>25</v>
      </c>
      <c r="G100" s="4" t="s">
        <v>25</v>
      </c>
      <c r="H100" s="4" t="s">
        <v>25</v>
      </c>
      <c r="I100" s="5">
        <v>44501</v>
      </c>
      <c r="J100" s="6">
        <v>0</v>
      </c>
      <c r="K100" s="6">
        <v>0</v>
      </c>
      <c r="L100" s="6">
        <v>45.292999999999999</v>
      </c>
      <c r="M100" s="6">
        <v>45.292999999999999</v>
      </c>
      <c r="N100" s="6">
        <v>45.292999999999999</v>
      </c>
      <c r="O100" s="6">
        <v>45.292999999999999</v>
      </c>
      <c r="P100" s="6">
        <v>805</v>
      </c>
      <c r="Q100" s="4" t="s">
        <v>26</v>
      </c>
      <c r="R100" s="4">
        <v>0</v>
      </c>
      <c r="S100" s="4" t="s">
        <v>176</v>
      </c>
      <c r="T100" s="4" t="s">
        <v>381</v>
      </c>
      <c r="U100" s="4">
        <v>0</v>
      </c>
      <c r="V100" s="4">
        <v>19</v>
      </c>
      <c r="W100" s="4">
        <v>56</v>
      </c>
    </row>
    <row r="101" spans="1:23" ht="11.25" customHeight="1" x14ac:dyDescent="0.25">
      <c r="A101" s="4" t="s">
        <v>21</v>
      </c>
      <c r="B101" s="4" t="s">
        <v>22</v>
      </c>
      <c r="C101" s="4" t="s">
        <v>23</v>
      </c>
      <c r="D101" s="4" t="s">
        <v>24</v>
      </c>
      <c r="E101" s="4" t="s">
        <v>30</v>
      </c>
      <c r="F101" s="4" t="s">
        <v>25</v>
      </c>
      <c r="G101" s="4" t="s">
        <v>25</v>
      </c>
      <c r="H101" s="4" t="s">
        <v>25</v>
      </c>
      <c r="I101" s="5">
        <v>44531</v>
      </c>
      <c r="J101" s="6">
        <v>0</v>
      </c>
      <c r="K101" s="6">
        <v>0</v>
      </c>
      <c r="L101" s="6">
        <v>38.020000000000003</v>
      </c>
      <c r="M101" s="6">
        <v>38.020000000000003</v>
      </c>
      <c r="N101" s="6">
        <v>38.020000000000003</v>
      </c>
      <c r="O101" s="6">
        <v>38.020000000000003</v>
      </c>
      <c r="P101" s="6">
        <v>726</v>
      </c>
      <c r="Q101" s="4" t="s">
        <v>26</v>
      </c>
      <c r="R101" s="4">
        <v>0</v>
      </c>
      <c r="S101" s="4" t="s">
        <v>177</v>
      </c>
      <c r="T101" s="4" t="s">
        <v>382</v>
      </c>
      <c r="U101" s="4">
        <v>0</v>
      </c>
      <c r="V101" s="4">
        <v>19</v>
      </c>
      <c r="W101" s="4">
        <v>56</v>
      </c>
    </row>
    <row r="102" spans="1:23" ht="11.25" customHeight="1" x14ac:dyDescent="0.25">
      <c r="A102" s="4" t="s">
        <v>21</v>
      </c>
      <c r="B102" s="4" t="s">
        <v>22</v>
      </c>
      <c r="C102" s="4" t="s">
        <v>23</v>
      </c>
      <c r="D102" s="4" t="s">
        <v>24</v>
      </c>
      <c r="E102" s="4" t="s">
        <v>30</v>
      </c>
      <c r="F102" s="4" t="s">
        <v>25</v>
      </c>
      <c r="G102" s="4" t="s">
        <v>25</v>
      </c>
      <c r="H102" s="4" t="s">
        <v>25</v>
      </c>
      <c r="I102" s="5">
        <v>44562</v>
      </c>
      <c r="J102" s="6">
        <v>0</v>
      </c>
      <c r="K102" s="6">
        <v>0</v>
      </c>
      <c r="L102" s="6">
        <v>35.238999999999997</v>
      </c>
      <c r="M102" s="6">
        <v>35.238999999999997</v>
      </c>
      <c r="N102" s="6">
        <v>35.238999999999997</v>
      </c>
      <c r="O102" s="6">
        <v>35.238999999999997</v>
      </c>
      <c r="P102" s="6">
        <v>698</v>
      </c>
      <c r="Q102" s="4" t="s">
        <v>26</v>
      </c>
      <c r="R102" s="4">
        <v>0</v>
      </c>
      <c r="S102" s="4" t="s">
        <v>178</v>
      </c>
      <c r="T102" s="4" t="s">
        <v>383</v>
      </c>
      <c r="U102" s="4">
        <v>0</v>
      </c>
      <c r="V102" s="4">
        <v>19</v>
      </c>
      <c r="W102" s="4">
        <v>56</v>
      </c>
    </row>
    <row r="103" spans="1:23" ht="11.25" customHeight="1" x14ac:dyDescent="0.25">
      <c r="A103" s="4" t="s">
        <v>21</v>
      </c>
      <c r="B103" s="4" t="s">
        <v>22</v>
      </c>
      <c r="C103" s="4" t="s">
        <v>23</v>
      </c>
      <c r="D103" s="4" t="s">
        <v>24</v>
      </c>
      <c r="E103" s="4" t="s">
        <v>30</v>
      </c>
      <c r="F103" s="4" t="s">
        <v>25</v>
      </c>
      <c r="G103" s="4" t="s">
        <v>25</v>
      </c>
      <c r="H103" s="4" t="s">
        <v>25</v>
      </c>
      <c r="I103" s="5">
        <v>44593</v>
      </c>
      <c r="J103" s="6">
        <v>0</v>
      </c>
      <c r="K103" s="6">
        <v>0</v>
      </c>
      <c r="L103" s="6">
        <v>35.987000000000002</v>
      </c>
      <c r="M103" s="6">
        <v>35.987000000000002</v>
      </c>
      <c r="N103" s="6">
        <v>35.987000000000002</v>
      </c>
      <c r="O103" s="6">
        <v>35.987000000000002</v>
      </c>
      <c r="P103" s="6">
        <v>690</v>
      </c>
      <c r="Q103" s="4" t="s">
        <v>26</v>
      </c>
      <c r="R103" s="4">
        <v>0</v>
      </c>
      <c r="S103" s="4" t="s">
        <v>179</v>
      </c>
      <c r="T103" s="4" t="s">
        <v>384</v>
      </c>
      <c r="U103" s="4">
        <v>0</v>
      </c>
      <c r="V103" s="4">
        <v>19</v>
      </c>
      <c r="W103" s="4">
        <v>56</v>
      </c>
    </row>
    <row r="104" spans="1:23" ht="11.25" customHeight="1" x14ac:dyDescent="0.25">
      <c r="A104" s="4" t="s">
        <v>21</v>
      </c>
      <c r="B104" s="4" t="s">
        <v>22</v>
      </c>
      <c r="C104" s="4" t="s">
        <v>23</v>
      </c>
      <c r="D104" s="4" t="s">
        <v>24</v>
      </c>
      <c r="E104" s="4" t="s">
        <v>30</v>
      </c>
      <c r="F104" s="4" t="s">
        <v>25</v>
      </c>
      <c r="G104" s="4" t="s">
        <v>25</v>
      </c>
      <c r="H104" s="4" t="s">
        <v>25</v>
      </c>
      <c r="I104" s="5">
        <v>44621</v>
      </c>
      <c r="J104" s="6">
        <v>0</v>
      </c>
      <c r="K104" s="6">
        <v>0</v>
      </c>
      <c r="L104" s="6">
        <v>46.878</v>
      </c>
      <c r="M104" s="6">
        <v>46.878</v>
      </c>
      <c r="N104" s="6">
        <v>46.878</v>
      </c>
      <c r="O104" s="6">
        <v>46.878</v>
      </c>
      <c r="P104" s="6">
        <v>835</v>
      </c>
      <c r="Q104" s="4" t="s">
        <v>26</v>
      </c>
      <c r="R104" s="4">
        <v>0</v>
      </c>
      <c r="S104" s="4" t="s">
        <v>180</v>
      </c>
      <c r="T104" s="4" t="s">
        <v>385</v>
      </c>
      <c r="U104" s="4">
        <v>0</v>
      </c>
      <c r="V104" s="4">
        <v>19</v>
      </c>
      <c r="W104" s="4">
        <v>56</v>
      </c>
    </row>
    <row r="105" spans="1:23" ht="11.25" customHeight="1" x14ac:dyDescent="0.25">
      <c r="A105" s="4" t="s">
        <v>21</v>
      </c>
      <c r="B105" s="4" t="s">
        <v>22</v>
      </c>
      <c r="C105" s="4" t="s">
        <v>23</v>
      </c>
      <c r="D105" s="4" t="s">
        <v>24</v>
      </c>
      <c r="E105" s="4" t="s">
        <v>30</v>
      </c>
      <c r="F105" s="4" t="s">
        <v>25</v>
      </c>
      <c r="G105" s="4" t="s">
        <v>25</v>
      </c>
      <c r="H105" s="4" t="s">
        <v>25</v>
      </c>
      <c r="I105" s="5">
        <v>44652</v>
      </c>
      <c r="J105" s="6">
        <v>0</v>
      </c>
      <c r="K105" s="6">
        <v>0</v>
      </c>
      <c r="L105" s="6">
        <v>45.223999999999997</v>
      </c>
      <c r="M105" s="6">
        <v>45.223999999999997</v>
      </c>
      <c r="N105" s="6">
        <v>45.223999999999997</v>
      </c>
      <c r="O105" s="6">
        <v>45.223999999999997</v>
      </c>
      <c r="P105" s="6">
        <v>818</v>
      </c>
      <c r="Q105" s="4" t="s">
        <v>26</v>
      </c>
      <c r="R105" s="4">
        <v>0</v>
      </c>
      <c r="S105" s="4" t="s">
        <v>181</v>
      </c>
      <c r="T105" s="4" t="s">
        <v>386</v>
      </c>
      <c r="U105" s="4">
        <v>0</v>
      </c>
      <c r="V105" s="4">
        <v>19</v>
      </c>
      <c r="W105" s="4">
        <v>56</v>
      </c>
    </row>
    <row r="106" spans="1:23" ht="11.25" customHeight="1" x14ac:dyDescent="0.25">
      <c r="A106" s="4" t="s">
        <v>21</v>
      </c>
      <c r="B106" s="4" t="s">
        <v>22</v>
      </c>
      <c r="C106" s="4" t="s">
        <v>23</v>
      </c>
      <c r="D106" s="4" t="s">
        <v>24</v>
      </c>
      <c r="E106" s="4" t="s">
        <v>31</v>
      </c>
      <c r="F106" s="4" t="s">
        <v>25</v>
      </c>
      <c r="G106" s="4" t="s">
        <v>25</v>
      </c>
      <c r="H106" s="4" t="s">
        <v>25</v>
      </c>
      <c r="I106" s="5">
        <v>44317</v>
      </c>
      <c r="J106" s="6">
        <v>0</v>
      </c>
      <c r="K106" s="6">
        <v>0</v>
      </c>
      <c r="L106" s="6">
        <v>6.4710000000000001</v>
      </c>
      <c r="M106" s="6">
        <v>6.4710000000000001</v>
      </c>
      <c r="N106" s="6">
        <v>6.4710000000000001</v>
      </c>
      <c r="O106" s="6">
        <v>6.4710000000000001</v>
      </c>
      <c r="P106" s="6">
        <v>55</v>
      </c>
      <c r="Q106" s="4" t="s">
        <v>26</v>
      </c>
      <c r="R106" s="4">
        <v>0</v>
      </c>
      <c r="S106" s="4" t="s">
        <v>182</v>
      </c>
      <c r="T106" s="4" t="s">
        <v>387</v>
      </c>
      <c r="U106" s="4">
        <v>0</v>
      </c>
      <c r="V106" s="4">
        <v>20</v>
      </c>
      <c r="W106" s="4">
        <v>57</v>
      </c>
    </row>
    <row r="107" spans="1:23" ht="11.25" customHeight="1" x14ac:dyDescent="0.25">
      <c r="A107" s="4" t="s">
        <v>21</v>
      </c>
      <c r="B107" s="4" t="s">
        <v>22</v>
      </c>
      <c r="C107" s="4" t="s">
        <v>23</v>
      </c>
      <c r="D107" s="4" t="s">
        <v>24</v>
      </c>
      <c r="E107" s="4" t="s">
        <v>31</v>
      </c>
      <c r="F107" s="4" t="s">
        <v>25</v>
      </c>
      <c r="G107" s="4" t="s">
        <v>25</v>
      </c>
      <c r="H107" s="4" t="s">
        <v>25</v>
      </c>
      <c r="I107" s="5">
        <v>44348</v>
      </c>
      <c r="J107" s="6">
        <v>0</v>
      </c>
      <c r="K107" s="6">
        <v>0</v>
      </c>
      <c r="L107" s="6">
        <v>5.9880000000000004</v>
      </c>
      <c r="M107" s="6">
        <v>5.9880000000000004</v>
      </c>
      <c r="N107" s="6">
        <v>5.9880000000000004</v>
      </c>
      <c r="O107" s="6">
        <v>5.9880000000000004</v>
      </c>
      <c r="P107" s="6">
        <v>51</v>
      </c>
      <c r="Q107" s="4" t="s">
        <v>26</v>
      </c>
      <c r="R107" s="4">
        <v>0</v>
      </c>
      <c r="S107" s="4" t="s">
        <v>183</v>
      </c>
      <c r="T107" s="4" t="s">
        <v>388</v>
      </c>
      <c r="U107" s="4">
        <v>0</v>
      </c>
      <c r="V107" s="4">
        <v>20</v>
      </c>
      <c r="W107" s="4">
        <v>57</v>
      </c>
    </row>
    <row r="108" spans="1:23" ht="11.25" customHeight="1" x14ac:dyDescent="0.25">
      <c r="A108" s="4" t="s">
        <v>21</v>
      </c>
      <c r="B108" s="4" t="s">
        <v>22</v>
      </c>
      <c r="C108" s="4" t="s">
        <v>23</v>
      </c>
      <c r="D108" s="4" t="s">
        <v>24</v>
      </c>
      <c r="E108" s="4" t="s">
        <v>31</v>
      </c>
      <c r="F108" s="4" t="s">
        <v>25</v>
      </c>
      <c r="G108" s="4" t="s">
        <v>25</v>
      </c>
      <c r="H108" s="4" t="s">
        <v>25</v>
      </c>
      <c r="I108" s="5">
        <v>44378</v>
      </c>
      <c r="J108" s="6">
        <v>0</v>
      </c>
      <c r="K108" s="6">
        <v>0</v>
      </c>
      <c r="L108" s="6">
        <v>5.5570000000000004</v>
      </c>
      <c r="M108" s="6">
        <v>5.5570000000000004</v>
      </c>
      <c r="N108" s="6">
        <v>5.5570000000000004</v>
      </c>
      <c r="O108" s="6">
        <v>5.5570000000000004</v>
      </c>
      <c r="P108" s="6">
        <v>52</v>
      </c>
      <c r="Q108" s="4" t="s">
        <v>26</v>
      </c>
      <c r="R108" s="4">
        <v>0</v>
      </c>
      <c r="S108" s="4" t="s">
        <v>184</v>
      </c>
      <c r="T108" s="4" t="s">
        <v>389</v>
      </c>
      <c r="U108" s="4">
        <v>0</v>
      </c>
      <c r="V108" s="4">
        <v>20</v>
      </c>
      <c r="W108" s="4">
        <v>57</v>
      </c>
    </row>
    <row r="109" spans="1:23" ht="11.25" customHeight="1" x14ac:dyDescent="0.25">
      <c r="A109" s="4" t="s">
        <v>21</v>
      </c>
      <c r="B109" s="4" t="s">
        <v>22</v>
      </c>
      <c r="C109" s="4" t="s">
        <v>23</v>
      </c>
      <c r="D109" s="4" t="s">
        <v>24</v>
      </c>
      <c r="E109" s="4" t="s">
        <v>31</v>
      </c>
      <c r="F109" s="4" t="s">
        <v>25</v>
      </c>
      <c r="G109" s="4" t="s">
        <v>25</v>
      </c>
      <c r="H109" s="4" t="s">
        <v>25</v>
      </c>
      <c r="I109" s="5">
        <v>44409</v>
      </c>
      <c r="J109" s="6">
        <v>0</v>
      </c>
      <c r="K109" s="6">
        <v>0</v>
      </c>
      <c r="L109" s="6">
        <v>5.3540000000000001</v>
      </c>
      <c r="M109" s="6">
        <v>5.3540000000000001</v>
      </c>
      <c r="N109" s="6">
        <v>5.3540000000000001</v>
      </c>
      <c r="O109" s="6">
        <v>5.3540000000000001</v>
      </c>
      <c r="P109" s="6">
        <v>52</v>
      </c>
      <c r="Q109" s="4" t="s">
        <v>26</v>
      </c>
      <c r="R109" s="4">
        <v>0</v>
      </c>
      <c r="S109" s="4" t="s">
        <v>185</v>
      </c>
      <c r="T109" s="4" t="s">
        <v>390</v>
      </c>
      <c r="U109" s="4">
        <v>0</v>
      </c>
      <c r="V109" s="4">
        <v>20</v>
      </c>
      <c r="W109" s="4">
        <v>57</v>
      </c>
    </row>
    <row r="110" spans="1:23" ht="11.25" customHeight="1" x14ac:dyDescent="0.25">
      <c r="A110" s="4" t="s">
        <v>21</v>
      </c>
      <c r="B110" s="4" t="s">
        <v>22</v>
      </c>
      <c r="C110" s="4" t="s">
        <v>23</v>
      </c>
      <c r="D110" s="4" t="s">
        <v>24</v>
      </c>
      <c r="E110" s="4" t="s">
        <v>31</v>
      </c>
      <c r="F110" s="4" t="s">
        <v>25</v>
      </c>
      <c r="G110" s="4" t="s">
        <v>25</v>
      </c>
      <c r="H110" s="4" t="s">
        <v>25</v>
      </c>
      <c r="I110" s="5">
        <v>44440</v>
      </c>
      <c r="J110" s="6">
        <v>0</v>
      </c>
      <c r="K110" s="6">
        <v>0</v>
      </c>
      <c r="L110" s="6">
        <v>5.7149999999999999</v>
      </c>
      <c r="M110" s="6">
        <v>5.7149999999999999</v>
      </c>
      <c r="N110" s="6">
        <v>5.7149999999999999</v>
      </c>
      <c r="O110" s="6">
        <v>5.7149999999999999</v>
      </c>
      <c r="P110" s="6">
        <v>52</v>
      </c>
      <c r="Q110" s="4" t="s">
        <v>26</v>
      </c>
      <c r="R110" s="4">
        <v>0</v>
      </c>
      <c r="S110" s="4" t="s">
        <v>186</v>
      </c>
      <c r="T110" s="4" t="s">
        <v>391</v>
      </c>
      <c r="U110" s="4">
        <v>0</v>
      </c>
      <c r="V110" s="4">
        <v>20</v>
      </c>
      <c r="W110" s="4">
        <v>57</v>
      </c>
    </row>
    <row r="111" spans="1:23" ht="11.25" customHeight="1" x14ac:dyDescent="0.25">
      <c r="A111" s="4" t="s">
        <v>21</v>
      </c>
      <c r="B111" s="4" t="s">
        <v>22</v>
      </c>
      <c r="C111" s="4" t="s">
        <v>23</v>
      </c>
      <c r="D111" s="4" t="s">
        <v>24</v>
      </c>
      <c r="E111" s="4" t="s">
        <v>31</v>
      </c>
      <c r="F111" s="4" t="s">
        <v>25</v>
      </c>
      <c r="G111" s="4" t="s">
        <v>25</v>
      </c>
      <c r="H111" s="4" t="s">
        <v>25</v>
      </c>
      <c r="I111" s="5">
        <v>44470</v>
      </c>
      <c r="J111" s="6">
        <v>0</v>
      </c>
      <c r="K111" s="6">
        <v>0</v>
      </c>
      <c r="L111" s="6">
        <v>6.5549999999999997</v>
      </c>
      <c r="M111" s="6">
        <v>6.5549999999999997</v>
      </c>
      <c r="N111" s="6">
        <v>6.5549999999999997</v>
      </c>
      <c r="O111" s="6">
        <v>6.5549999999999997</v>
      </c>
      <c r="P111" s="6">
        <v>58</v>
      </c>
      <c r="Q111" s="4" t="s">
        <v>26</v>
      </c>
      <c r="R111" s="4">
        <v>0</v>
      </c>
      <c r="S111" s="4" t="s">
        <v>187</v>
      </c>
      <c r="T111" s="4" t="s">
        <v>392</v>
      </c>
      <c r="U111" s="4">
        <v>0</v>
      </c>
      <c r="V111" s="4">
        <v>20</v>
      </c>
      <c r="W111" s="4">
        <v>57</v>
      </c>
    </row>
    <row r="112" spans="1:23" ht="11.25" customHeight="1" x14ac:dyDescent="0.25">
      <c r="A112" s="4" t="s">
        <v>21</v>
      </c>
      <c r="B112" s="4" t="s">
        <v>22</v>
      </c>
      <c r="C112" s="4" t="s">
        <v>23</v>
      </c>
      <c r="D112" s="4" t="s">
        <v>24</v>
      </c>
      <c r="E112" s="4" t="s">
        <v>31</v>
      </c>
      <c r="F112" s="4" t="s">
        <v>25</v>
      </c>
      <c r="G112" s="4" t="s">
        <v>25</v>
      </c>
      <c r="H112" s="4" t="s">
        <v>25</v>
      </c>
      <c r="I112" s="5">
        <v>44501</v>
      </c>
      <c r="J112" s="6">
        <v>0</v>
      </c>
      <c r="K112" s="6">
        <v>0</v>
      </c>
      <c r="L112" s="6">
        <v>10.648999999999999</v>
      </c>
      <c r="M112" s="6">
        <v>10.648999999999999</v>
      </c>
      <c r="N112" s="6">
        <v>10.648999999999999</v>
      </c>
      <c r="O112" s="6">
        <v>10.648999999999999</v>
      </c>
      <c r="P112" s="6">
        <v>110</v>
      </c>
      <c r="Q112" s="4" t="s">
        <v>26</v>
      </c>
      <c r="R112" s="4">
        <v>0</v>
      </c>
      <c r="S112" s="4" t="s">
        <v>188</v>
      </c>
      <c r="T112" s="4" t="s">
        <v>393</v>
      </c>
      <c r="U112" s="4">
        <v>0</v>
      </c>
      <c r="V112" s="4">
        <v>20</v>
      </c>
      <c r="W112" s="4">
        <v>57</v>
      </c>
    </row>
    <row r="113" spans="1:23" ht="11.25" customHeight="1" x14ac:dyDescent="0.25">
      <c r="A113" s="4" t="s">
        <v>21</v>
      </c>
      <c r="B113" s="4" t="s">
        <v>22</v>
      </c>
      <c r="C113" s="4" t="s">
        <v>23</v>
      </c>
      <c r="D113" s="4" t="s">
        <v>24</v>
      </c>
      <c r="E113" s="4" t="s">
        <v>31</v>
      </c>
      <c r="F113" s="4" t="s">
        <v>25</v>
      </c>
      <c r="G113" s="4" t="s">
        <v>25</v>
      </c>
      <c r="H113" s="4" t="s">
        <v>25</v>
      </c>
      <c r="I113" s="5">
        <v>44531</v>
      </c>
      <c r="J113" s="6">
        <v>0</v>
      </c>
      <c r="K113" s="6">
        <v>0</v>
      </c>
      <c r="L113" s="6">
        <v>8.0709999999999997</v>
      </c>
      <c r="M113" s="6">
        <v>8.0709999999999997</v>
      </c>
      <c r="N113" s="6">
        <v>8.0709999999999997</v>
      </c>
      <c r="O113" s="6">
        <v>8.0709999999999997</v>
      </c>
      <c r="P113" s="6">
        <v>84</v>
      </c>
      <c r="Q113" s="4" t="s">
        <v>26</v>
      </c>
      <c r="R113" s="4">
        <v>0</v>
      </c>
      <c r="S113" s="4" t="s">
        <v>189</v>
      </c>
      <c r="T113" s="4" t="s">
        <v>394</v>
      </c>
      <c r="U113" s="4">
        <v>0</v>
      </c>
      <c r="V113" s="4">
        <v>20</v>
      </c>
      <c r="W113" s="4">
        <v>57</v>
      </c>
    </row>
    <row r="114" spans="1:23" ht="11.25" customHeight="1" x14ac:dyDescent="0.25">
      <c r="A114" s="4" t="s">
        <v>21</v>
      </c>
      <c r="B114" s="4" t="s">
        <v>22</v>
      </c>
      <c r="C114" s="4" t="s">
        <v>23</v>
      </c>
      <c r="D114" s="4" t="s">
        <v>24</v>
      </c>
      <c r="E114" s="4" t="s">
        <v>31</v>
      </c>
      <c r="F114" s="4" t="s">
        <v>25</v>
      </c>
      <c r="G114" s="4" t="s">
        <v>25</v>
      </c>
      <c r="H114" s="4" t="s">
        <v>25</v>
      </c>
      <c r="I114" s="5">
        <v>44562</v>
      </c>
      <c r="J114" s="6">
        <v>0</v>
      </c>
      <c r="K114" s="6">
        <v>0</v>
      </c>
      <c r="L114" s="6">
        <v>8.3030000000000008</v>
      </c>
      <c r="M114" s="6">
        <v>8.3030000000000008</v>
      </c>
      <c r="N114" s="6">
        <v>8.3030000000000008</v>
      </c>
      <c r="O114" s="6">
        <v>8.3030000000000008</v>
      </c>
      <c r="P114" s="6">
        <v>80</v>
      </c>
      <c r="Q114" s="4" t="s">
        <v>26</v>
      </c>
      <c r="R114" s="4">
        <v>0</v>
      </c>
      <c r="S114" s="4" t="s">
        <v>190</v>
      </c>
      <c r="T114" s="4" t="s">
        <v>395</v>
      </c>
      <c r="U114" s="4">
        <v>0</v>
      </c>
      <c r="V114" s="4">
        <v>20</v>
      </c>
      <c r="W114" s="4">
        <v>57</v>
      </c>
    </row>
    <row r="115" spans="1:23" ht="11.25" customHeight="1" x14ac:dyDescent="0.25">
      <c r="A115" s="4" t="s">
        <v>21</v>
      </c>
      <c r="B115" s="4" t="s">
        <v>22</v>
      </c>
      <c r="C115" s="4" t="s">
        <v>23</v>
      </c>
      <c r="D115" s="4" t="s">
        <v>24</v>
      </c>
      <c r="E115" s="4" t="s">
        <v>31</v>
      </c>
      <c r="F115" s="4" t="s">
        <v>25</v>
      </c>
      <c r="G115" s="4" t="s">
        <v>25</v>
      </c>
      <c r="H115" s="4" t="s">
        <v>25</v>
      </c>
      <c r="I115" s="5">
        <v>44593</v>
      </c>
      <c r="J115" s="6">
        <v>0</v>
      </c>
      <c r="K115" s="6">
        <v>0</v>
      </c>
      <c r="L115" s="6">
        <v>10.814</v>
      </c>
      <c r="M115" s="6">
        <v>10.814</v>
      </c>
      <c r="N115" s="6">
        <v>10.814</v>
      </c>
      <c r="O115" s="6">
        <v>10.814</v>
      </c>
      <c r="P115" s="6">
        <v>72</v>
      </c>
      <c r="Q115" s="4" t="s">
        <v>26</v>
      </c>
      <c r="R115" s="4">
        <v>0</v>
      </c>
      <c r="S115" s="4" t="s">
        <v>191</v>
      </c>
      <c r="T115" s="4" t="s">
        <v>396</v>
      </c>
      <c r="U115" s="4">
        <v>0</v>
      </c>
      <c r="V115" s="4">
        <v>20</v>
      </c>
      <c r="W115" s="4">
        <v>57</v>
      </c>
    </row>
    <row r="116" spans="1:23" ht="11.25" customHeight="1" x14ac:dyDescent="0.25">
      <c r="A116" s="4" t="s">
        <v>21</v>
      </c>
      <c r="B116" s="4" t="s">
        <v>22</v>
      </c>
      <c r="C116" s="4" t="s">
        <v>23</v>
      </c>
      <c r="D116" s="4" t="s">
        <v>24</v>
      </c>
      <c r="E116" s="4" t="s">
        <v>31</v>
      </c>
      <c r="F116" s="4" t="s">
        <v>25</v>
      </c>
      <c r="G116" s="4" t="s">
        <v>25</v>
      </c>
      <c r="H116" s="4" t="s">
        <v>25</v>
      </c>
      <c r="I116" s="5">
        <v>44621</v>
      </c>
      <c r="J116" s="6">
        <v>0</v>
      </c>
      <c r="K116" s="6">
        <v>0</v>
      </c>
      <c r="L116" s="6">
        <v>16.321000000000002</v>
      </c>
      <c r="M116" s="6">
        <v>16.321000000000002</v>
      </c>
      <c r="N116" s="6">
        <v>16.321000000000002</v>
      </c>
      <c r="O116" s="6">
        <v>16.321000000000002</v>
      </c>
      <c r="P116" s="6">
        <v>123</v>
      </c>
      <c r="Q116" s="4" t="s">
        <v>26</v>
      </c>
      <c r="R116" s="4">
        <v>0</v>
      </c>
      <c r="S116" s="4" t="s">
        <v>192</v>
      </c>
      <c r="T116" s="4" t="s">
        <v>397</v>
      </c>
      <c r="U116" s="4">
        <v>0</v>
      </c>
      <c r="V116" s="4">
        <v>20</v>
      </c>
      <c r="W116" s="4">
        <v>57</v>
      </c>
    </row>
    <row r="117" spans="1:23" ht="11.25" customHeight="1" x14ac:dyDescent="0.25">
      <c r="A117" s="4" t="s">
        <v>21</v>
      </c>
      <c r="B117" s="4" t="s">
        <v>22</v>
      </c>
      <c r="C117" s="4" t="s">
        <v>23</v>
      </c>
      <c r="D117" s="4" t="s">
        <v>24</v>
      </c>
      <c r="E117" s="4" t="s">
        <v>31</v>
      </c>
      <c r="F117" s="4" t="s">
        <v>25</v>
      </c>
      <c r="G117" s="4" t="s">
        <v>25</v>
      </c>
      <c r="H117" s="4" t="s">
        <v>25</v>
      </c>
      <c r="I117" s="5">
        <v>44652</v>
      </c>
      <c r="J117" s="6">
        <v>0</v>
      </c>
      <c r="K117" s="6">
        <v>0</v>
      </c>
      <c r="L117" s="6">
        <v>14.085000000000001</v>
      </c>
      <c r="M117" s="6">
        <v>14.085000000000001</v>
      </c>
      <c r="N117" s="6">
        <v>14.085000000000001</v>
      </c>
      <c r="O117" s="6">
        <v>14.085000000000001</v>
      </c>
      <c r="P117" s="6">
        <v>106</v>
      </c>
      <c r="Q117" s="4" t="s">
        <v>26</v>
      </c>
      <c r="R117" s="4">
        <v>0</v>
      </c>
      <c r="S117" s="4" t="s">
        <v>193</v>
      </c>
      <c r="T117" s="4" t="s">
        <v>398</v>
      </c>
      <c r="U117" s="4">
        <v>0</v>
      </c>
      <c r="V117" s="4">
        <v>20</v>
      </c>
      <c r="W117" s="4">
        <v>57</v>
      </c>
    </row>
    <row r="118" spans="1:23" ht="11.25" customHeight="1" x14ac:dyDescent="0.25">
      <c r="A118" s="4" t="s">
        <v>21</v>
      </c>
      <c r="B118" s="4" t="s">
        <v>41</v>
      </c>
      <c r="C118" s="4" t="s">
        <v>39</v>
      </c>
      <c r="D118" s="4" t="s">
        <v>42</v>
      </c>
      <c r="E118" s="4" t="s">
        <v>25</v>
      </c>
      <c r="F118" s="4" t="s">
        <v>25</v>
      </c>
      <c r="G118" s="4" t="s">
        <v>25</v>
      </c>
      <c r="H118" s="4" t="s">
        <v>37</v>
      </c>
      <c r="I118" s="5">
        <v>44317</v>
      </c>
      <c r="J118" s="6">
        <v>0</v>
      </c>
      <c r="K118" s="6">
        <v>0</v>
      </c>
      <c r="L118" s="6">
        <v>0.35799999999999998</v>
      </c>
      <c r="M118" s="6">
        <v>0.35799999999999998</v>
      </c>
      <c r="N118" s="6">
        <v>0.35799999999999998</v>
      </c>
      <c r="O118" s="6">
        <v>0.35799999999999998</v>
      </c>
      <c r="P118" s="6">
        <v>0</v>
      </c>
      <c r="Q118" s="4" t="s">
        <v>26</v>
      </c>
      <c r="R118" s="4">
        <v>0</v>
      </c>
      <c r="S118" s="4" t="s">
        <v>194</v>
      </c>
      <c r="T118" s="4" t="s">
        <v>399</v>
      </c>
      <c r="U118" s="4">
        <v>0</v>
      </c>
      <c r="V118" s="4">
        <v>28</v>
      </c>
      <c r="W118" s="4">
        <v>65</v>
      </c>
    </row>
    <row r="119" spans="1:23" ht="11.25" customHeight="1" x14ac:dyDescent="0.25">
      <c r="A119" s="4" t="s">
        <v>21</v>
      </c>
      <c r="B119" s="4" t="s">
        <v>41</v>
      </c>
      <c r="C119" s="4" t="s">
        <v>39</v>
      </c>
      <c r="D119" s="4" t="s">
        <v>42</v>
      </c>
      <c r="E119" s="4" t="s">
        <v>25</v>
      </c>
      <c r="F119" s="4" t="s">
        <v>25</v>
      </c>
      <c r="G119" s="4" t="s">
        <v>25</v>
      </c>
      <c r="H119" s="4" t="s">
        <v>37</v>
      </c>
      <c r="I119" s="5">
        <v>44348</v>
      </c>
      <c r="J119" s="6">
        <v>0</v>
      </c>
      <c r="K119" s="6">
        <v>0</v>
      </c>
      <c r="L119" s="6">
        <v>0.311</v>
      </c>
      <c r="M119" s="6">
        <v>0.311</v>
      </c>
      <c r="N119" s="6">
        <v>0.311</v>
      </c>
      <c r="O119" s="6">
        <v>0.311</v>
      </c>
      <c r="P119" s="6">
        <v>0</v>
      </c>
      <c r="Q119" s="4" t="s">
        <v>26</v>
      </c>
      <c r="R119" s="4">
        <v>0</v>
      </c>
      <c r="S119" s="4" t="s">
        <v>195</v>
      </c>
      <c r="T119" s="4" t="s">
        <v>400</v>
      </c>
      <c r="U119" s="4">
        <v>0</v>
      </c>
      <c r="V119" s="4">
        <v>28</v>
      </c>
      <c r="W119" s="4">
        <v>65</v>
      </c>
    </row>
    <row r="120" spans="1:23" ht="11.25" customHeight="1" x14ac:dyDescent="0.25">
      <c r="A120" s="4" t="s">
        <v>21</v>
      </c>
      <c r="B120" s="4" t="s">
        <v>41</v>
      </c>
      <c r="C120" s="4" t="s">
        <v>39</v>
      </c>
      <c r="D120" s="4" t="s">
        <v>42</v>
      </c>
      <c r="E120" s="4" t="s">
        <v>25</v>
      </c>
      <c r="F120" s="4" t="s">
        <v>25</v>
      </c>
      <c r="G120" s="4" t="s">
        <v>25</v>
      </c>
      <c r="H120" s="4" t="s">
        <v>37</v>
      </c>
      <c r="I120" s="5">
        <v>44378</v>
      </c>
      <c r="J120" s="6">
        <v>0</v>
      </c>
      <c r="K120" s="6">
        <v>0</v>
      </c>
      <c r="L120" s="6">
        <v>0.41899999999999998</v>
      </c>
      <c r="M120" s="6">
        <v>0.41899999999999998</v>
      </c>
      <c r="N120" s="6">
        <v>0.41899999999999998</v>
      </c>
      <c r="O120" s="6">
        <v>0.41899999999999998</v>
      </c>
      <c r="P120" s="6">
        <v>0</v>
      </c>
      <c r="Q120" s="4" t="s">
        <v>26</v>
      </c>
      <c r="R120" s="4">
        <v>0</v>
      </c>
      <c r="S120" s="4" t="s">
        <v>196</v>
      </c>
      <c r="T120" s="4" t="s">
        <v>401</v>
      </c>
      <c r="U120" s="4">
        <v>0</v>
      </c>
      <c r="V120" s="4">
        <v>28</v>
      </c>
      <c r="W120" s="4">
        <v>65</v>
      </c>
    </row>
    <row r="121" spans="1:23" ht="11.25" customHeight="1" x14ac:dyDescent="0.25">
      <c r="A121" s="4" t="s">
        <v>21</v>
      </c>
      <c r="B121" s="4" t="s">
        <v>41</v>
      </c>
      <c r="C121" s="4" t="s">
        <v>39</v>
      </c>
      <c r="D121" s="4" t="s">
        <v>42</v>
      </c>
      <c r="E121" s="4" t="s">
        <v>25</v>
      </c>
      <c r="F121" s="4" t="s">
        <v>25</v>
      </c>
      <c r="G121" s="4" t="s">
        <v>25</v>
      </c>
      <c r="H121" s="4" t="s">
        <v>37</v>
      </c>
      <c r="I121" s="5">
        <v>44409</v>
      </c>
      <c r="J121" s="6">
        <v>0</v>
      </c>
      <c r="K121" s="6">
        <v>0</v>
      </c>
      <c r="L121" s="6">
        <v>0.36899999999999999</v>
      </c>
      <c r="M121" s="6">
        <v>0.36899999999999999</v>
      </c>
      <c r="N121" s="6">
        <v>0.36899999999999999</v>
      </c>
      <c r="O121" s="6">
        <v>0.36899999999999999</v>
      </c>
      <c r="P121" s="6">
        <v>0</v>
      </c>
      <c r="Q121" s="4" t="s">
        <v>26</v>
      </c>
      <c r="R121" s="4">
        <v>0</v>
      </c>
      <c r="S121" s="4" t="s">
        <v>197</v>
      </c>
      <c r="T121" s="4" t="s">
        <v>402</v>
      </c>
      <c r="U121" s="4">
        <v>0</v>
      </c>
      <c r="V121" s="4">
        <v>28</v>
      </c>
      <c r="W121" s="4">
        <v>65</v>
      </c>
    </row>
    <row r="122" spans="1:23" ht="11.25" customHeight="1" x14ac:dyDescent="0.25">
      <c r="A122" s="4" t="s">
        <v>21</v>
      </c>
      <c r="B122" s="4" t="s">
        <v>41</v>
      </c>
      <c r="C122" s="4" t="s">
        <v>39</v>
      </c>
      <c r="D122" s="4" t="s">
        <v>42</v>
      </c>
      <c r="E122" s="4" t="s">
        <v>25</v>
      </c>
      <c r="F122" s="4" t="s">
        <v>25</v>
      </c>
      <c r="G122" s="4" t="s">
        <v>25</v>
      </c>
      <c r="H122" s="4" t="s">
        <v>37</v>
      </c>
      <c r="I122" s="5">
        <v>44440</v>
      </c>
      <c r="J122" s="6">
        <v>0</v>
      </c>
      <c r="K122" s="6">
        <v>0</v>
      </c>
      <c r="L122" s="6">
        <v>0.7</v>
      </c>
      <c r="M122" s="6">
        <v>0.7</v>
      </c>
      <c r="N122" s="6">
        <v>0.7</v>
      </c>
      <c r="O122" s="6">
        <v>0.7</v>
      </c>
      <c r="P122" s="6">
        <v>0</v>
      </c>
      <c r="Q122" s="4" t="s">
        <v>26</v>
      </c>
      <c r="R122" s="4">
        <v>0</v>
      </c>
      <c r="S122" s="4" t="s">
        <v>198</v>
      </c>
      <c r="T122" s="4" t="s">
        <v>403</v>
      </c>
      <c r="U122" s="4">
        <v>0</v>
      </c>
      <c r="V122" s="4">
        <v>28</v>
      </c>
      <c r="W122" s="4">
        <v>65</v>
      </c>
    </row>
    <row r="123" spans="1:23" ht="11.25" customHeight="1" x14ac:dyDescent="0.25">
      <c r="A123" s="4" t="s">
        <v>21</v>
      </c>
      <c r="B123" s="4" t="s">
        <v>41</v>
      </c>
      <c r="C123" s="4" t="s">
        <v>39</v>
      </c>
      <c r="D123" s="4" t="s">
        <v>42</v>
      </c>
      <c r="E123" s="4" t="s">
        <v>25</v>
      </c>
      <c r="F123" s="4" t="s">
        <v>25</v>
      </c>
      <c r="G123" s="4" t="s">
        <v>25</v>
      </c>
      <c r="H123" s="4" t="s">
        <v>37</v>
      </c>
      <c r="I123" s="5">
        <v>44470</v>
      </c>
      <c r="J123" s="6">
        <v>0</v>
      </c>
      <c r="K123" s="6">
        <v>0</v>
      </c>
      <c r="L123" s="6">
        <v>2.4430000000000001</v>
      </c>
      <c r="M123" s="6">
        <v>2.4430000000000001</v>
      </c>
      <c r="N123" s="6">
        <v>2.4430000000000001</v>
      </c>
      <c r="O123" s="6">
        <v>2.4430000000000001</v>
      </c>
      <c r="P123" s="6">
        <v>0</v>
      </c>
      <c r="Q123" s="4" t="s">
        <v>26</v>
      </c>
      <c r="R123" s="4">
        <v>0</v>
      </c>
      <c r="S123" s="4" t="s">
        <v>199</v>
      </c>
      <c r="T123" s="4" t="s">
        <v>404</v>
      </c>
      <c r="U123" s="4">
        <v>0</v>
      </c>
      <c r="V123" s="4">
        <v>28</v>
      </c>
      <c r="W123" s="4">
        <v>65</v>
      </c>
    </row>
    <row r="124" spans="1:23" ht="11.25" customHeight="1" x14ac:dyDescent="0.25">
      <c r="A124" s="4" t="s">
        <v>21</v>
      </c>
      <c r="B124" s="4" t="s">
        <v>41</v>
      </c>
      <c r="C124" s="4" t="s">
        <v>39</v>
      </c>
      <c r="D124" s="4" t="s">
        <v>42</v>
      </c>
      <c r="E124" s="4" t="s">
        <v>25</v>
      </c>
      <c r="F124" s="4" t="s">
        <v>25</v>
      </c>
      <c r="G124" s="4" t="s">
        <v>25</v>
      </c>
      <c r="H124" s="4" t="s">
        <v>37</v>
      </c>
      <c r="I124" s="5">
        <v>44501</v>
      </c>
      <c r="J124" s="6">
        <v>0</v>
      </c>
      <c r="K124" s="6">
        <v>0</v>
      </c>
      <c r="L124" s="6">
        <v>2.0289999999999999</v>
      </c>
      <c r="M124" s="6">
        <v>2.0289999999999999</v>
      </c>
      <c r="N124" s="6">
        <v>2.0289999999999999</v>
      </c>
      <c r="O124" s="6">
        <v>2.0289999999999999</v>
      </c>
      <c r="P124" s="6">
        <v>0</v>
      </c>
      <c r="Q124" s="4" t="s">
        <v>26</v>
      </c>
      <c r="R124" s="4">
        <v>0</v>
      </c>
      <c r="S124" s="4" t="s">
        <v>200</v>
      </c>
      <c r="T124" s="4" t="s">
        <v>405</v>
      </c>
      <c r="U124" s="4">
        <v>0</v>
      </c>
      <c r="V124" s="4">
        <v>28</v>
      </c>
      <c r="W124" s="4">
        <v>65</v>
      </c>
    </row>
    <row r="125" spans="1:23" ht="11.25" customHeight="1" x14ac:dyDescent="0.25">
      <c r="A125" s="4" t="s">
        <v>21</v>
      </c>
      <c r="B125" s="4" t="s">
        <v>41</v>
      </c>
      <c r="C125" s="4" t="s">
        <v>39</v>
      </c>
      <c r="D125" s="4" t="s">
        <v>42</v>
      </c>
      <c r="E125" s="4" t="s">
        <v>25</v>
      </c>
      <c r="F125" s="4" t="s">
        <v>25</v>
      </c>
      <c r="G125" s="4" t="s">
        <v>25</v>
      </c>
      <c r="H125" s="4" t="s">
        <v>37</v>
      </c>
      <c r="I125" s="5">
        <v>44531</v>
      </c>
      <c r="J125" s="6">
        <v>0</v>
      </c>
      <c r="K125" s="6">
        <v>0</v>
      </c>
      <c r="L125" s="6">
        <v>2.347</v>
      </c>
      <c r="M125" s="6">
        <v>2.347</v>
      </c>
      <c r="N125" s="6">
        <v>2.347</v>
      </c>
      <c r="O125" s="6">
        <v>2.347</v>
      </c>
      <c r="P125" s="6">
        <v>0</v>
      </c>
      <c r="Q125" s="4" t="s">
        <v>26</v>
      </c>
      <c r="R125" s="4">
        <v>0</v>
      </c>
      <c r="S125" s="4" t="s">
        <v>201</v>
      </c>
      <c r="T125" s="4" t="s">
        <v>406</v>
      </c>
      <c r="U125" s="4">
        <v>0</v>
      </c>
      <c r="V125" s="4">
        <v>28</v>
      </c>
      <c r="W125" s="4">
        <v>65</v>
      </c>
    </row>
    <row r="126" spans="1:23" ht="11.25" customHeight="1" x14ac:dyDescent="0.25">
      <c r="A126" s="4" t="s">
        <v>21</v>
      </c>
      <c r="B126" s="4" t="s">
        <v>41</v>
      </c>
      <c r="C126" s="4" t="s">
        <v>39</v>
      </c>
      <c r="D126" s="4" t="s">
        <v>42</v>
      </c>
      <c r="E126" s="4" t="s">
        <v>25</v>
      </c>
      <c r="F126" s="4" t="s">
        <v>25</v>
      </c>
      <c r="G126" s="4" t="s">
        <v>25</v>
      </c>
      <c r="H126" s="4" t="s">
        <v>37</v>
      </c>
      <c r="I126" s="5">
        <v>44562</v>
      </c>
      <c r="J126" s="6">
        <v>0</v>
      </c>
      <c r="K126" s="6">
        <v>0</v>
      </c>
      <c r="L126" s="6">
        <v>0.98799999999999999</v>
      </c>
      <c r="M126" s="6">
        <v>0.98799999999999999</v>
      </c>
      <c r="N126" s="6">
        <v>0.98799999999999999</v>
      </c>
      <c r="O126" s="6">
        <v>0.98799999999999999</v>
      </c>
      <c r="P126" s="6">
        <v>0</v>
      </c>
      <c r="Q126" s="4" t="s">
        <v>26</v>
      </c>
      <c r="R126" s="4">
        <v>0</v>
      </c>
      <c r="S126" s="4" t="s">
        <v>202</v>
      </c>
      <c r="T126" s="4" t="s">
        <v>407</v>
      </c>
      <c r="U126" s="4">
        <v>0</v>
      </c>
      <c r="V126" s="4">
        <v>28</v>
      </c>
      <c r="W126" s="4">
        <v>65</v>
      </c>
    </row>
    <row r="127" spans="1:23" ht="11.25" customHeight="1" x14ac:dyDescent="0.25">
      <c r="A127" s="4" t="s">
        <v>21</v>
      </c>
      <c r="B127" s="4" t="s">
        <v>41</v>
      </c>
      <c r="C127" s="4" t="s">
        <v>39</v>
      </c>
      <c r="D127" s="4" t="s">
        <v>42</v>
      </c>
      <c r="E127" s="4" t="s">
        <v>25</v>
      </c>
      <c r="F127" s="4" t="s">
        <v>25</v>
      </c>
      <c r="G127" s="4" t="s">
        <v>25</v>
      </c>
      <c r="H127" s="4" t="s">
        <v>37</v>
      </c>
      <c r="I127" s="5">
        <v>44593</v>
      </c>
      <c r="J127" s="6">
        <v>0</v>
      </c>
      <c r="K127" s="6">
        <v>0</v>
      </c>
      <c r="L127" s="6">
        <v>2.86</v>
      </c>
      <c r="M127" s="6">
        <v>2.86</v>
      </c>
      <c r="N127" s="6">
        <v>2.86</v>
      </c>
      <c r="O127" s="6">
        <v>2.86</v>
      </c>
      <c r="P127" s="6">
        <v>0</v>
      </c>
      <c r="Q127" s="4" t="s">
        <v>26</v>
      </c>
      <c r="R127" s="4">
        <v>0</v>
      </c>
      <c r="S127" s="4" t="s">
        <v>203</v>
      </c>
      <c r="T127" s="4" t="s">
        <v>408</v>
      </c>
      <c r="U127" s="4">
        <v>0</v>
      </c>
      <c r="V127" s="4">
        <v>28</v>
      </c>
      <c r="W127" s="4">
        <v>65</v>
      </c>
    </row>
    <row r="128" spans="1:23" ht="11.25" customHeight="1" x14ac:dyDescent="0.25">
      <c r="A128" s="4" t="s">
        <v>21</v>
      </c>
      <c r="B128" s="4" t="s">
        <v>41</v>
      </c>
      <c r="C128" s="4" t="s">
        <v>39</v>
      </c>
      <c r="D128" s="4" t="s">
        <v>42</v>
      </c>
      <c r="E128" s="4" t="s">
        <v>25</v>
      </c>
      <c r="F128" s="4" t="s">
        <v>25</v>
      </c>
      <c r="G128" s="4" t="s">
        <v>25</v>
      </c>
      <c r="H128" s="4" t="s">
        <v>37</v>
      </c>
      <c r="I128" s="5">
        <v>44621</v>
      </c>
      <c r="J128" s="6">
        <v>0</v>
      </c>
      <c r="K128" s="6">
        <v>0</v>
      </c>
      <c r="L128" s="6">
        <v>2.86</v>
      </c>
      <c r="M128" s="6">
        <v>2.86</v>
      </c>
      <c r="N128" s="6">
        <v>2.86</v>
      </c>
      <c r="O128" s="6">
        <v>2.86</v>
      </c>
      <c r="P128" s="6">
        <v>0</v>
      </c>
      <c r="Q128" s="4" t="s">
        <v>26</v>
      </c>
      <c r="R128" s="4">
        <v>0</v>
      </c>
      <c r="S128" s="4" t="s">
        <v>204</v>
      </c>
      <c r="T128" s="4" t="s">
        <v>409</v>
      </c>
      <c r="U128" s="4">
        <v>0</v>
      </c>
      <c r="V128" s="4">
        <v>28</v>
      </c>
      <c r="W128" s="4">
        <v>65</v>
      </c>
    </row>
    <row r="129" spans="1:23" ht="11.25" customHeight="1" x14ac:dyDescent="0.25">
      <c r="A129" s="4" t="s">
        <v>21</v>
      </c>
      <c r="B129" s="4" t="s">
        <v>41</v>
      </c>
      <c r="C129" s="4" t="s">
        <v>39</v>
      </c>
      <c r="D129" s="4" t="s">
        <v>42</v>
      </c>
      <c r="E129" s="4" t="s">
        <v>25</v>
      </c>
      <c r="F129" s="4" t="s">
        <v>25</v>
      </c>
      <c r="G129" s="4" t="s">
        <v>25</v>
      </c>
      <c r="H129" s="4" t="s">
        <v>37</v>
      </c>
      <c r="I129" s="5">
        <v>44652</v>
      </c>
      <c r="J129" s="6">
        <v>0</v>
      </c>
      <c r="K129" s="6">
        <v>0</v>
      </c>
      <c r="L129" s="6">
        <v>0.88200000000000001</v>
      </c>
      <c r="M129" s="6">
        <v>0.88200000000000001</v>
      </c>
      <c r="N129" s="6">
        <v>0.88200000000000001</v>
      </c>
      <c r="O129" s="6">
        <v>0.88200000000000001</v>
      </c>
      <c r="P129" s="6">
        <v>0</v>
      </c>
      <c r="Q129" s="4" t="s">
        <v>26</v>
      </c>
      <c r="R129" s="4">
        <v>0</v>
      </c>
      <c r="S129" s="4" t="s">
        <v>205</v>
      </c>
      <c r="T129" s="4" t="s">
        <v>410</v>
      </c>
      <c r="U129" s="4">
        <v>0</v>
      </c>
      <c r="V129" s="4">
        <v>28</v>
      </c>
      <c r="W129" s="4">
        <v>65</v>
      </c>
    </row>
    <row r="130" spans="1:23" ht="11.25" customHeight="1" x14ac:dyDescent="0.25">
      <c r="A130" s="4" t="s">
        <v>21</v>
      </c>
      <c r="B130" s="4" t="s">
        <v>41</v>
      </c>
      <c r="C130" s="4" t="s">
        <v>39</v>
      </c>
      <c r="D130" s="4" t="s">
        <v>42</v>
      </c>
      <c r="E130" s="4" t="s">
        <v>25</v>
      </c>
      <c r="F130" s="4" t="s">
        <v>25</v>
      </c>
      <c r="G130" s="4" t="s">
        <v>25</v>
      </c>
      <c r="H130" s="4" t="s">
        <v>40</v>
      </c>
      <c r="I130" s="5">
        <v>44317</v>
      </c>
      <c r="J130" s="6">
        <v>0</v>
      </c>
      <c r="K130" s="6">
        <v>0</v>
      </c>
      <c r="L130" s="6">
        <v>0.02</v>
      </c>
      <c r="M130" s="6">
        <v>0.02</v>
      </c>
      <c r="N130" s="6">
        <v>0.02</v>
      </c>
      <c r="O130" s="6">
        <v>0.02</v>
      </c>
      <c r="P130" s="6">
        <v>0</v>
      </c>
      <c r="Q130" s="4" t="s">
        <v>26</v>
      </c>
      <c r="R130" s="4">
        <v>0</v>
      </c>
      <c r="S130" s="4" t="s">
        <v>206</v>
      </c>
      <c r="T130" s="4" t="s">
        <v>411</v>
      </c>
      <c r="U130" s="4">
        <v>0</v>
      </c>
      <c r="V130" s="4">
        <v>27</v>
      </c>
      <c r="W130" s="4">
        <v>64</v>
      </c>
    </row>
    <row r="131" spans="1:23" ht="11.25" customHeight="1" x14ac:dyDescent="0.25">
      <c r="A131" s="4" t="s">
        <v>21</v>
      </c>
      <c r="B131" s="4" t="s">
        <v>41</v>
      </c>
      <c r="C131" s="4" t="s">
        <v>39</v>
      </c>
      <c r="D131" s="4" t="s">
        <v>42</v>
      </c>
      <c r="E131" s="4" t="s">
        <v>25</v>
      </c>
      <c r="F131" s="4" t="s">
        <v>25</v>
      </c>
      <c r="G131" s="4" t="s">
        <v>25</v>
      </c>
      <c r="H131" s="4" t="s">
        <v>40</v>
      </c>
      <c r="I131" s="5">
        <v>44348</v>
      </c>
      <c r="J131" s="6">
        <v>0</v>
      </c>
      <c r="K131" s="6">
        <v>0</v>
      </c>
      <c r="L131" s="6">
        <v>0.02</v>
      </c>
      <c r="M131" s="6">
        <v>0.02</v>
      </c>
      <c r="N131" s="6">
        <v>0.02</v>
      </c>
      <c r="O131" s="6">
        <v>0.02</v>
      </c>
      <c r="P131" s="6">
        <v>0</v>
      </c>
      <c r="Q131" s="4" t="s">
        <v>26</v>
      </c>
      <c r="R131" s="4">
        <v>0</v>
      </c>
      <c r="S131" s="4" t="s">
        <v>207</v>
      </c>
      <c r="T131" s="4" t="s">
        <v>412</v>
      </c>
      <c r="U131" s="4">
        <v>0</v>
      </c>
      <c r="V131" s="4">
        <v>27</v>
      </c>
      <c r="W131" s="4">
        <v>64</v>
      </c>
    </row>
    <row r="132" spans="1:23" ht="11.25" customHeight="1" x14ac:dyDescent="0.25">
      <c r="A132" s="4" t="s">
        <v>21</v>
      </c>
      <c r="B132" s="4" t="s">
        <v>41</v>
      </c>
      <c r="C132" s="4" t="s">
        <v>39</v>
      </c>
      <c r="D132" s="4" t="s">
        <v>42</v>
      </c>
      <c r="E132" s="4" t="s">
        <v>25</v>
      </c>
      <c r="F132" s="4" t="s">
        <v>25</v>
      </c>
      <c r="G132" s="4" t="s">
        <v>25</v>
      </c>
      <c r="H132" s="4" t="s">
        <v>40</v>
      </c>
      <c r="I132" s="5">
        <v>44378</v>
      </c>
      <c r="J132" s="6">
        <v>0</v>
      </c>
      <c r="K132" s="6">
        <v>0</v>
      </c>
      <c r="L132" s="6">
        <v>1.9E-2</v>
      </c>
      <c r="M132" s="6">
        <v>1.9E-2</v>
      </c>
      <c r="N132" s="6">
        <v>1.9E-2</v>
      </c>
      <c r="O132" s="6">
        <v>1.9E-2</v>
      </c>
      <c r="P132" s="6">
        <v>0</v>
      </c>
      <c r="Q132" s="4" t="s">
        <v>26</v>
      </c>
      <c r="R132" s="4">
        <v>0</v>
      </c>
      <c r="S132" s="4" t="s">
        <v>208</v>
      </c>
      <c r="T132" s="4" t="s">
        <v>413</v>
      </c>
      <c r="U132" s="4">
        <v>0</v>
      </c>
      <c r="V132" s="4">
        <v>27</v>
      </c>
      <c r="W132" s="4">
        <v>64</v>
      </c>
    </row>
    <row r="133" spans="1:23" ht="11.25" customHeight="1" x14ac:dyDescent="0.25">
      <c r="A133" s="4" t="s">
        <v>21</v>
      </c>
      <c r="B133" s="4" t="s">
        <v>41</v>
      </c>
      <c r="C133" s="4" t="s">
        <v>39</v>
      </c>
      <c r="D133" s="4" t="s">
        <v>42</v>
      </c>
      <c r="E133" s="4" t="s">
        <v>25</v>
      </c>
      <c r="F133" s="4" t="s">
        <v>25</v>
      </c>
      <c r="G133" s="4" t="s">
        <v>25</v>
      </c>
      <c r="H133" s="4" t="s">
        <v>40</v>
      </c>
      <c r="I133" s="5">
        <v>44409</v>
      </c>
      <c r="J133" s="6">
        <v>0</v>
      </c>
      <c r="K133" s="6">
        <v>0</v>
      </c>
      <c r="L133" s="6">
        <v>2.1000000000000001E-2</v>
      </c>
      <c r="M133" s="6">
        <v>2.1000000000000001E-2</v>
      </c>
      <c r="N133" s="6">
        <v>2.1000000000000001E-2</v>
      </c>
      <c r="O133" s="6">
        <v>2.1000000000000001E-2</v>
      </c>
      <c r="P133" s="6">
        <v>0</v>
      </c>
      <c r="Q133" s="4" t="s">
        <v>26</v>
      </c>
      <c r="R133" s="4">
        <v>0</v>
      </c>
      <c r="S133" s="4" t="s">
        <v>209</v>
      </c>
      <c r="T133" s="4" t="s">
        <v>414</v>
      </c>
      <c r="U133" s="4">
        <v>0</v>
      </c>
      <c r="V133" s="4">
        <v>27</v>
      </c>
      <c r="W133" s="4">
        <v>64</v>
      </c>
    </row>
    <row r="134" spans="1:23" ht="11.25" customHeight="1" x14ac:dyDescent="0.25">
      <c r="A134" s="4" t="s">
        <v>21</v>
      </c>
      <c r="B134" s="4" t="s">
        <v>41</v>
      </c>
      <c r="C134" s="4" t="s">
        <v>39</v>
      </c>
      <c r="D134" s="4" t="s">
        <v>42</v>
      </c>
      <c r="E134" s="4" t="s">
        <v>25</v>
      </c>
      <c r="F134" s="4" t="s">
        <v>25</v>
      </c>
      <c r="G134" s="4" t="s">
        <v>25</v>
      </c>
      <c r="H134" s="4" t="s">
        <v>40</v>
      </c>
      <c r="I134" s="5">
        <v>44440</v>
      </c>
      <c r="J134" s="6">
        <v>0</v>
      </c>
      <c r="K134" s="6">
        <v>0</v>
      </c>
      <c r="L134" s="6">
        <v>2.5000000000000001E-2</v>
      </c>
      <c r="M134" s="6">
        <v>2.5000000000000001E-2</v>
      </c>
      <c r="N134" s="6">
        <v>2.5000000000000001E-2</v>
      </c>
      <c r="O134" s="6">
        <v>2.5000000000000001E-2</v>
      </c>
      <c r="P134" s="6">
        <v>0</v>
      </c>
      <c r="Q134" s="4" t="s">
        <v>26</v>
      </c>
      <c r="R134" s="4">
        <v>0</v>
      </c>
      <c r="S134" s="4" t="s">
        <v>210</v>
      </c>
      <c r="T134" s="4" t="s">
        <v>415</v>
      </c>
      <c r="U134" s="4">
        <v>0</v>
      </c>
      <c r="V134" s="4">
        <v>27</v>
      </c>
      <c r="W134" s="4">
        <v>64</v>
      </c>
    </row>
    <row r="135" spans="1:23" ht="11.25" customHeight="1" x14ac:dyDescent="0.25">
      <c r="A135" s="4" t="s">
        <v>21</v>
      </c>
      <c r="B135" s="4" t="s">
        <v>41</v>
      </c>
      <c r="C135" s="4" t="s">
        <v>39</v>
      </c>
      <c r="D135" s="4" t="s">
        <v>42</v>
      </c>
      <c r="E135" s="4" t="s">
        <v>25</v>
      </c>
      <c r="F135" s="4" t="s">
        <v>25</v>
      </c>
      <c r="G135" s="4" t="s">
        <v>25</v>
      </c>
      <c r="H135" s="4" t="s">
        <v>40</v>
      </c>
      <c r="I135" s="5">
        <v>44470</v>
      </c>
      <c r="J135" s="6">
        <v>0</v>
      </c>
      <c r="K135" s="6">
        <v>0</v>
      </c>
      <c r="L135" s="6">
        <v>3.9E-2</v>
      </c>
      <c r="M135" s="6">
        <v>3.9E-2</v>
      </c>
      <c r="N135" s="6">
        <v>3.9E-2</v>
      </c>
      <c r="O135" s="6">
        <v>3.9E-2</v>
      </c>
      <c r="P135" s="6">
        <v>0</v>
      </c>
      <c r="Q135" s="4" t="s">
        <v>26</v>
      </c>
      <c r="R135" s="4">
        <v>0</v>
      </c>
      <c r="S135" s="4" t="s">
        <v>211</v>
      </c>
      <c r="T135" s="4" t="s">
        <v>416</v>
      </c>
      <c r="U135" s="4">
        <v>0</v>
      </c>
      <c r="V135" s="4">
        <v>27</v>
      </c>
      <c r="W135" s="4">
        <v>64</v>
      </c>
    </row>
    <row r="136" spans="1:23" ht="11.25" customHeight="1" x14ac:dyDescent="0.25">
      <c r="A136" s="4" t="s">
        <v>21</v>
      </c>
      <c r="B136" s="4" t="s">
        <v>41</v>
      </c>
      <c r="C136" s="4" t="s">
        <v>39</v>
      </c>
      <c r="D136" s="4" t="s">
        <v>42</v>
      </c>
      <c r="E136" s="4" t="s">
        <v>25</v>
      </c>
      <c r="F136" s="4" t="s">
        <v>25</v>
      </c>
      <c r="G136" s="4" t="s">
        <v>25</v>
      </c>
      <c r="H136" s="4" t="s">
        <v>40</v>
      </c>
      <c r="I136" s="5">
        <v>44501</v>
      </c>
      <c r="J136" s="6">
        <v>0</v>
      </c>
      <c r="K136" s="6">
        <v>0</v>
      </c>
      <c r="L136" s="6">
        <v>5.1999999999999998E-2</v>
      </c>
      <c r="M136" s="6">
        <v>5.1999999999999998E-2</v>
      </c>
      <c r="N136" s="6">
        <v>5.1999999999999998E-2</v>
      </c>
      <c r="O136" s="6">
        <v>5.1999999999999998E-2</v>
      </c>
      <c r="P136" s="6">
        <v>0</v>
      </c>
      <c r="Q136" s="4" t="s">
        <v>26</v>
      </c>
      <c r="R136" s="4">
        <v>0</v>
      </c>
      <c r="S136" s="4" t="s">
        <v>212</v>
      </c>
      <c r="T136" s="4" t="s">
        <v>417</v>
      </c>
      <c r="U136" s="4">
        <v>0</v>
      </c>
      <c r="V136" s="4">
        <v>27</v>
      </c>
      <c r="W136" s="4">
        <v>64</v>
      </c>
    </row>
    <row r="137" spans="1:23" ht="11.25" customHeight="1" x14ac:dyDescent="0.25">
      <c r="A137" s="4" t="s">
        <v>21</v>
      </c>
      <c r="B137" s="4" t="s">
        <v>41</v>
      </c>
      <c r="C137" s="4" t="s">
        <v>39</v>
      </c>
      <c r="D137" s="4" t="s">
        <v>42</v>
      </c>
      <c r="E137" s="4" t="s">
        <v>25</v>
      </c>
      <c r="F137" s="4" t="s">
        <v>25</v>
      </c>
      <c r="G137" s="4" t="s">
        <v>25</v>
      </c>
      <c r="H137" s="4" t="s">
        <v>40</v>
      </c>
      <c r="I137" s="5">
        <v>44531</v>
      </c>
      <c r="J137" s="6">
        <v>0</v>
      </c>
      <c r="K137" s="6">
        <v>0</v>
      </c>
      <c r="L137" s="6">
        <v>0.1</v>
      </c>
      <c r="M137" s="6">
        <v>0.1</v>
      </c>
      <c r="N137" s="6">
        <v>0.1</v>
      </c>
      <c r="O137" s="6">
        <v>0.1</v>
      </c>
      <c r="P137" s="6">
        <v>0</v>
      </c>
      <c r="Q137" s="4" t="s">
        <v>26</v>
      </c>
      <c r="R137" s="4">
        <v>0</v>
      </c>
      <c r="S137" s="4" t="s">
        <v>213</v>
      </c>
      <c r="T137" s="4" t="s">
        <v>418</v>
      </c>
      <c r="U137" s="4">
        <v>0</v>
      </c>
      <c r="V137" s="4">
        <v>27</v>
      </c>
      <c r="W137" s="4">
        <v>64</v>
      </c>
    </row>
    <row r="138" spans="1:23" ht="11.25" customHeight="1" x14ac:dyDescent="0.25">
      <c r="A138" s="4" t="s">
        <v>21</v>
      </c>
      <c r="B138" s="4" t="s">
        <v>41</v>
      </c>
      <c r="C138" s="4" t="s">
        <v>39</v>
      </c>
      <c r="D138" s="4" t="s">
        <v>42</v>
      </c>
      <c r="E138" s="4" t="s">
        <v>25</v>
      </c>
      <c r="F138" s="4" t="s">
        <v>25</v>
      </c>
      <c r="G138" s="4" t="s">
        <v>25</v>
      </c>
      <c r="H138" s="4" t="s">
        <v>40</v>
      </c>
      <c r="I138" s="5">
        <v>44562</v>
      </c>
      <c r="J138" s="6">
        <v>0</v>
      </c>
      <c r="K138" s="6">
        <v>0</v>
      </c>
      <c r="L138" s="6">
        <v>4.2000000000000003E-2</v>
      </c>
      <c r="M138" s="6">
        <v>4.2000000000000003E-2</v>
      </c>
      <c r="N138" s="6">
        <v>4.2000000000000003E-2</v>
      </c>
      <c r="O138" s="6">
        <v>4.2000000000000003E-2</v>
      </c>
      <c r="P138" s="6">
        <v>0</v>
      </c>
      <c r="Q138" s="4" t="s">
        <v>26</v>
      </c>
      <c r="R138" s="4">
        <v>0</v>
      </c>
      <c r="S138" s="4" t="s">
        <v>214</v>
      </c>
      <c r="T138" s="4" t="s">
        <v>419</v>
      </c>
      <c r="U138" s="4">
        <v>0</v>
      </c>
      <c r="V138" s="4">
        <v>27</v>
      </c>
      <c r="W138" s="4">
        <v>64</v>
      </c>
    </row>
    <row r="139" spans="1:23" ht="11.25" customHeight="1" x14ac:dyDescent="0.25">
      <c r="A139" s="4" t="s">
        <v>21</v>
      </c>
      <c r="B139" s="4" t="s">
        <v>41</v>
      </c>
      <c r="C139" s="4" t="s">
        <v>39</v>
      </c>
      <c r="D139" s="4" t="s">
        <v>42</v>
      </c>
      <c r="E139" s="4" t="s">
        <v>25</v>
      </c>
      <c r="F139" s="4" t="s">
        <v>25</v>
      </c>
      <c r="G139" s="4" t="s">
        <v>25</v>
      </c>
      <c r="H139" s="4" t="s">
        <v>40</v>
      </c>
      <c r="I139" s="5">
        <v>44593</v>
      </c>
      <c r="J139" s="6">
        <v>0</v>
      </c>
      <c r="K139" s="6">
        <v>0</v>
      </c>
      <c r="L139" s="6">
        <v>0.105</v>
      </c>
      <c r="M139" s="6">
        <v>0.105</v>
      </c>
      <c r="N139" s="6">
        <v>0.105</v>
      </c>
      <c r="O139" s="6">
        <v>0.105</v>
      </c>
      <c r="P139" s="6">
        <v>0</v>
      </c>
      <c r="Q139" s="4" t="s">
        <v>26</v>
      </c>
      <c r="R139" s="4">
        <v>0</v>
      </c>
      <c r="S139" s="4" t="s">
        <v>215</v>
      </c>
      <c r="T139" s="4" t="s">
        <v>420</v>
      </c>
      <c r="U139" s="4">
        <v>0</v>
      </c>
      <c r="V139" s="4">
        <v>27</v>
      </c>
      <c r="W139" s="4">
        <v>64</v>
      </c>
    </row>
    <row r="140" spans="1:23" ht="11.25" customHeight="1" x14ac:dyDescent="0.25">
      <c r="A140" s="4" t="s">
        <v>21</v>
      </c>
      <c r="B140" s="4" t="s">
        <v>41</v>
      </c>
      <c r="C140" s="4" t="s">
        <v>39</v>
      </c>
      <c r="D140" s="4" t="s">
        <v>42</v>
      </c>
      <c r="E140" s="4" t="s">
        <v>25</v>
      </c>
      <c r="F140" s="4" t="s">
        <v>25</v>
      </c>
      <c r="G140" s="4" t="s">
        <v>25</v>
      </c>
      <c r="H140" s="4" t="s">
        <v>40</v>
      </c>
      <c r="I140" s="5">
        <v>44621</v>
      </c>
      <c r="J140" s="6">
        <v>0</v>
      </c>
      <c r="K140" s="6">
        <v>0</v>
      </c>
      <c r="L140" s="6">
        <v>8.5000000000000006E-2</v>
      </c>
      <c r="M140" s="6">
        <v>8.5000000000000006E-2</v>
      </c>
      <c r="N140" s="6">
        <v>8.5000000000000006E-2</v>
      </c>
      <c r="O140" s="6">
        <v>8.5000000000000006E-2</v>
      </c>
      <c r="P140" s="6">
        <v>0</v>
      </c>
      <c r="Q140" s="4" t="s">
        <v>26</v>
      </c>
      <c r="R140" s="4">
        <v>0</v>
      </c>
      <c r="S140" s="4" t="s">
        <v>216</v>
      </c>
      <c r="T140" s="4" t="s">
        <v>421</v>
      </c>
      <c r="U140" s="4">
        <v>0</v>
      </c>
      <c r="V140" s="4">
        <v>27</v>
      </c>
      <c r="W140" s="4">
        <v>64</v>
      </c>
    </row>
    <row r="141" spans="1:23" ht="11.25" customHeight="1" x14ac:dyDescent="0.25">
      <c r="A141" s="4" t="s">
        <v>21</v>
      </c>
      <c r="B141" s="4" t="s">
        <v>41</v>
      </c>
      <c r="C141" s="4" t="s">
        <v>39</v>
      </c>
      <c r="D141" s="4" t="s">
        <v>42</v>
      </c>
      <c r="E141" s="4" t="s">
        <v>25</v>
      </c>
      <c r="F141" s="4" t="s">
        <v>25</v>
      </c>
      <c r="G141" s="4" t="s">
        <v>25</v>
      </c>
      <c r="H141" s="4" t="s">
        <v>40</v>
      </c>
      <c r="I141" s="5">
        <v>44652</v>
      </c>
      <c r="J141" s="6">
        <v>0</v>
      </c>
      <c r="K141" s="6">
        <v>0</v>
      </c>
      <c r="L141" s="6">
        <v>2.7E-2</v>
      </c>
      <c r="M141" s="6">
        <v>2.7E-2</v>
      </c>
      <c r="N141" s="6">
        <v>2.7E-2</v>
      </c>
      <c r="O141" s="6">
        <v>2.7E-2</v>
      </c>
      <c r="P141" s="6">
        <v>0</v>
      </c>
      <c r="Q141" s="4" t="s">
        <v>26</v>
      </c>
      <c r="R141" s="4">
        <v>0</v>
      </c>
      <c r="S141" s="4" t="s">
        <v>217</v>
      </c>
      <c r="T141" s="4" t="s">
        <v>422</v>
      </c>
      <c r="U141" s="4">
        <v>0</v>
      </c>
      <c r="V141" s="4">
        <v>27</v>
      </c>
      <c r="W141" s="4">
        <v>64</v>
      </c>
    </row>
    <row r="142" spans="1:23" ht="11.25" customHeight="1" x14ac:dyDescent="0.25">
      <c r="A142" s="4" t="s">
        <v>21</v>
      </c>
      <c r="B142" s="4" t="s">
        <v>41</v>
      </c>
      <c r="C142" s="4" t="s">
        <v>39</v>
      </c>
      <c r="D142" s="4" t="s">
        <v>42</v>
      </c>
      <c r="E142" s="4" t="s">
        <v>25</v>
      </c>
      <c r="F142" s="4" t="s">
        <v>25</v>
      </c>
      <c r="G142" s="4" t="s">
        <v>25</v>
      </c>
      <c r="H142" s="4" t="s">
        <v>25</v>
      </c>
      <c r="I142" s="5">
        <v>44317</v>
      </c>
      <c r="J142" s="6">
        <v>0</v>
      </c>
      <c r="K142" s="6">
        <v>0</v>
      </c>
      <c r="L142" s="6">
        <v>0.33700000000000002</v>
      </c>
      <c r="M142" s="6">
        <v>0.33700000000000002</v>
      </c>
      <c r="N142" s="6">
        <v>0.33700000000000002</v>
      </c>
      <c r="O142" s="6">
        <v>0.33700000000000002</v>
      </c>
      <c r="P142" s="6">
        <v>5</v>
      </c>
      <c r="Q142" s="4" t="s">
        <v>26</v>
      </c>
      <c r="R142" s="4">
        <v>0</v>
      </c>
      <c r="S142" s="4" t="s">
        <v>218</v>
      </c>
      <c r="T142" s="4" t="s">
        <v>423</v>
      </c>
      <c r="U142" s="4">
        <v>0</v>
      </c>
      <c r="V142" s="4">
        <v>29</v>
      </c>
      <c r="W142" s="4">
        <v>66</v>
      </c>
    </row>
    <row r="143" spans="1:23" ht="11.25" customHeight="1" x14ac:dyDescent="0.25">
      <c r="A143" s="4" t="s">
        <v>21</v>
      </c>
      <c r="B143" s="4" t="s">
        <v>41</v>
      </c>
      <c r="C143" s="4" t="s">
        <v>39</v>
      </c>
      <c r="D143" s="4" t="s">
        <v>42</v>
      </c>
      <c r="E143" s="4" t="s">
        <v>25</v>
      </c>
      <c r="F143" s="4" t="s">
        <v>25</v>
      </c>
      <c r="G143" s="4" t="s">
        <v>25</v>
      </c>
      <c r="H143" s="4" t="s">
        <v>25</v>
      </c>
      <c r="I143" s="5">
        <v>44348</v>
      </c>
      <c r="J143" s="6">
        <v>0</v>
      </c>
      <c r="K143" s="6">
        <v>0</v>
      </c>
      <c r="L143" s="6">
        <v>0.36699999999999999</v>
      </c>
      <c r="M143" s="6">
        <v>0.36699999999999999</v>
      </c>
      <c r="N143" s="6">
        <v>0.36699999999999999</v>
      </c>
      <c r="O143" s="6">
        <v>0.36699999999999999</v>
      </c>
      <c r="P143" s="6">
        <v>5</v>
      </c>
      <c r="Q143" s="4" t="s">
        <v>26</v>
      </c>
      <c r="R143" s="4">
        <v>0</v>
      </c>
      <c r="S143" s="4" t="s">
        <v>219</v>
      </c>
      <c r="T143" s="4" t="s">
        <v>424</v>
      </c>
      <c r="U143" s="4">
        <v>0</v>
      </c>
      <c r="V143" s="4">
        <v>29</v>
      </c>
      <c r="W143" s="4">
        <v>66</v>
      </c>
    </row>
    <row r="144" spans="1:23" ht="11.25" customHeight="1" x14ac:dyDescent="0.25">
      <c r="A144" s="4" t="s">
        <v>21</v>
      </c>
      <c r="B144" s="4" t="s">
        <v>41</v>
      </c>
      <c r="C144" s="4" t="s">
        <v>39</v>
      </c>
      <c r="D144" s="4" t="s">
        <v>42</v>
      </c>
      <c r="E144" s="4" t="s">
        <v>25</v>
      </c>
      <c r="F144" s="4" t="s">
        <v>25</v>
      </c>
      <c r="G144" s="4" t="s">
        <v>25</v>
      </c>
      <c r="H144" s="4" t="s">
        <v>25</v>
      </c>
      <c r="I144" s="5">
        <v>44378</v>
      </c>
      <c r="J144" s="6">
        <v>0</v>
      </c>
      <c r="K144" s="6">
        <v>0</v>
      </c>
      <c r="L144" s="6">
        <v>0.27700000000000002</v>
      </c>
      <c r="M144" s="6">
        <v>0.27700000000000002</v>
      </c>
      <c r="N144" s="6">
        <v>0.27700000000000002</v>
      </c>
      <c r="O144" s="6">
        <v>0.27700000000000002</v>
      </c>
      <c r="P144" s="6">
        <v>5</v>
      </c>
      <c r="Q144" s="4" t="s">
        <v>26</v>
      </c>
      <c r="R144" s="4">
        <v>0</v>
      </c>
      <c r="S144" s="4" t="s">
        <v>220</v>
      </c>
      <c r="T144" s="4" t="s">
        <v>425</v>
      </c>
      <c r="U144" s="4">
        <v>0</v>
      </c>
      <c r="V144" s="4">
        <v>29</v>
      </c>
      <c r="W144" s="4">
        <v>66</v>
      </c>
    </row>
    <row r="145" spans="1:23" ht="11.25" customHeight="1" x14ac:dyDescent="0.25">
      <c r="A145" s="4" t="s">
        <v>21</v>
      </c>
      <c r="B145" s="4" t="s">
        <v>41</v>
      </c>
      <c r="C145" s="4" t="s">
        <v>39</v>
      </c>
      <c r="D145" s="4" t="s">
        <v>42</v>
      </c>
      <c r="E145" s="4" t="s">
        <v>25</v>
      </c>
      <c r="F145" s="4" t="s">
        <v>25</v>
      </c>
      <c r="G145" s="4" t="s">
        <v>25</v>
      </c>
      <c r="H145" s="4" t="s">
        <v>25</v>
      </c>
      <c r="I145" s="5">
        <v>44409</v>
      </c>
      <c r="J145" s="6">
        <v>0</v>
      </c>
      <c r="K145" s="6">
        <v>0</v>
      </c>
      <c r="L145" s="6">
        <v>0.27</v>
      </c>
      <c r="M145" s="6">
        <v>0.27</v>
      </c>
      <c r="N145" s="6">
        <v>0.27</v>
      </c>
      <c r="O145" s="6">
        <v>0.27</v>
      </c>
      <c r="P145" s="6">
        <v>5</v>
      </c>
      <c r="Q145" s="4" t="s">
        <v>26</v>
      </c>
      <c r="R145" s="4">
        <v>0</v>
      </c>
      <c r="S145" s="4" t="s">
        <v>221</v>
      </c>
      <c r="T145" s="4" t="s">
        <v>426</v>
      </c>
      <c r="U145" s="4">
        <v>0</v>
      </c>
      <c r="V145" s="4">
        <v>29</v>
      </c>
      <c r="W145" s="4">
        <v>66</v>
      </c>
    </row>
    <row r="146" spans="1:23" ht="11.25" customHeight="1" x14ac:dyDescent="0.25">
      <c r="A146" s="4" t="s">
        <v>21</v>
      </c>
      <c r="B146" s="4" t="s">
        <v>41</v>
      </c>
      <c r="C146" s="4" t="s">
        <v>39</v>
      </c>
      <c r="D146" s="4" t="s">
        <v>42</v>
      </c>
      <c r="E146" s="4" t="s">
        <v>25</v>
      </c>
      <c r="F146" s="4" t="s">
        <v>25</v>
      </c>
      <c r="G146" s="4" t="s">
        <v>25</v>
      </c>
      <c r="H146" s="4" t="s">
        <v>25</v>
      </c>
      <c r="I146" s="5">
        <v>44440</v>
      </c>
      <c r="J146" s="6">
        <v>0</v>
      </c>
      <c r="K146" s="6">
        <v>0</v>
      </c>
      <c r="L146" s="6">
        <v>0.154</v>
      </c>
      <c r="M146" s="6">
        <v>0.154</v>
      </c>
      <c r="N146" s="6">
        <v>0.154</v>
      </c>
      <c r="O146" s="6">
        <v>0.154</v>
      </c>
      <c r="P146" s="6">
        <v>6</v>
      </c>
      <c r="Q146" s="4" t="s">
        <v>26</v>
      </c>
      <c r="R146" s="4">
        <v>0</v>
      </c>
      <c r="S146" s="4" t="s">
        <v>222</v>
      </c>
      <c r="T146" s="4" t="s">
        <v>427</v>
      </c>
      <c r="U146" s="4">
        <v>0</v>
      </c>
      <c r="V146" s="4">
        <v>29</v>
      </c>
      <c r="W146" s="4">
        <v>66</v>
      </c>
    </row>
    <row r="147" spans="1:23" ht="11.25" customHeight="1" x14ac:dyDescent="0.25">
      <c r="A147" s="4" t="s">
        <v>21</v>
      </c>
      <c r="B147" s="4" t="s">
        <v>41</v>
      </c>
      <c r="C147" s="4" t="s">
        <v>39</v>
      </c>
      <c r="D147" s="4" t="s">
        <v>42</v>
      </c>
      <c r="E147" s="4" t="s">
        <v>25</v>
      </c>
      <c r="F147" s="4" t="s">
        <v>25</v>
      </c>
      <c r="G147" s="4" t="s">
        <v>25</v>
      </c>
      <c r="H147" s="4" t="s">
        <v>25</v>
      </c>
      <c r="I147" s="5">
        <v>44470</v>
      </c>
      <c r="J147" s="6">
        <v>0</v>
      </c>
      <c r="K147" s="6">
        <v>0</v>
      </c>
      <c r="L147" s="6">
        <v>8.8999999999999996E-2</v>
      </c>
      <c r="M147" s="6">
        <v>8.8999999999999996E-2</v>
      </c>
      <c r="N147" s="6">
        <v>8.8999999999999996E-2</v>
      </c>
      <c r="O147" s="6">
        <v>8.8999999999999996E-2</v>
      </c>
      <c r="P147" s="6">
        <v>6</v>
      </c>
      <c r="Q147" s="4" t="s">
        <v>26</v>
      </c>
      <c r="R147" s="4">
        <v>0</v>
      </c>
      <c r="S147" s="4" t="s">
        <v>223</v>
      </c>
      <c r="T147" s="4" t="s">
        <v>428</v>
      </c>
      <c r="U147" s="4">
        <v>0</v>
      </c>
      <c r="V147" s="4">
        <v>29</v>
      </c>
      <c r="W147" s="4">
        <v>66</v>
      </c>
    </row>
    <row r="148" spans="1:23" ht="11.25" customHeight="1" x14ac:dyDescent="0.25">
      <c r="A148" s="4" t="s">
        <v>21</v>
      </c>
      <c r="B148" s="4" t="s">
        <v>41</v>
      </c>
      <c r="C148" s="4" t="s">
        <v>39</v>
      </c>
      <c r="D148" s="4" t="s">
        <v>42</v>
      </c>
      <c r="E148" s="4" t="s">
        <v>25</v>
      </c>
      <c r="F148" s="4" t="s">
        <v>25</v>
      </c>
      <c r="G148" s="4" t="s">
        <v>25</v>
      </c>
      <c r="H148" s="4" t="s">
        <v>25</v>
      </c>
      <c r="I148" s="5">
        <v>44501</v>
      </c>
      <c r="J148" s="6">
        <v>0</v>
      </c>
      <c r="K148" s="6">
        <v>0</v>
      </c>
      <c r="L148" s="6">
        <v>0.128</v>
      </c>
      <c r="M148" s="6">
        <v>0.128</v>
      </c>
      <c r="N148" s="6">
        <v>0.128</v>
      </c>
      <c r="O148" s="6">
        <v>0.128</v>
      </c>
      <c r="P148" s="6">
        <v>6</v>
      </c>
      <c r="Q148" s="4" t="s">
        <v>26</v>
      </c>
      <c r="R148" s="4">
        <v>0</v>
      </c>
      <c r="S148" s="4" t="s">
        <v>224</v>
      </c>
      <c r="T148" s="4" t="s">
        <v>429</v>
      </c>
      <c r="U148" s="4">
        <v>0</v>
      </c>
      <c r="V148" s="4">
        <v>29</v>
      </c>
      <c r="W148" s="4">
        <v>66</v>
      </c>
    </row>
    <row r="149" spans="1:23" ht="11.25" customHeight="1" x14ac:dyDescent="0.25">
      <c r="A149" s="4" t="s">
        <v>21</v>
      </c>
      <c r="B149" s="4" t="s">
        <v>41</v>
      </c>
      <c r="C149" s="4" t="s">
        <v>39</v>
      </c>
      <c r="D149" s="4" t="s">
        <v>42</v>
      </c>
      <c r="E149" s="4" t="s">
        <v>25</v>
      </c>
      <c r="F149" s="4" t="s">
        <v>25</v>
      </c>
      <c r="G149" s="4" t="s">
        <v>25</v>
      </c>
      <c r="H149" s="4" t="s">
        <v>25</v>
      </c>
      <c r="I149" s="5">
        <v>44531</v>
      </c>
      <c r="J149" s="6">
        <v>0</v>
      </c>
      <c r="K149" s="6">
        <v>0</v>
      </c>
      <c r="L149" s="6">
        <v>5.7000000000000002E-2</v>
      </c>
      <c r="M149" s="6">
        <v>5.7000000000000002E-2</v>
      </c>
      <c r="N149" s="6">
        <v>5.7000000000000002E-2</v>
      </c>
      <c r="O149" s="6">
        <v>5.7000000000000002E-2</v>
      </c>
      <c r="P149" s="6">
        <v>7</v>
      </c>
      <c r="Q149" s="4" t="s">
        <v>26</v>
      </c>
      <c r="R149" s="4">
        <v>0</v>
      </c>
      <c r="S149" s="4" t="s">
        <v>225</v>
      </c>
      <c r="T149" s="4" t="s">
        <v>430</v>
      </c>
      <c r="U149" s="4">
        <v>0</v>
      </c>
      <c r="V149" s="4">
        <v>29</v>
      </c>
      <c r="W149" s="4">
        <v>66</v>
      </c>
    </row>
    <row r="150" spans="1:23" ht="11.25" customHeight="1" x14ac:dyDescent="0.25">
      <c r="A150" s="4" t="s">
        <v>21</v>
      </c>
      <c r="B150" s="4" t="s">
        <v>41</v>
      </c>
      <c r="C150" s="4" t="s">
        <v>39</v>
      </c>
      <c r="D150" s="4" t="s">
        <v>42</v>
      </c>
      <c r="E150" s="4" t="s">
        <v>25</v>
      </c>
      <c r="F150" s="4" t="s">
        <v>25</v>
      </c>
      <c r="G150" s="4" t="s">
        <v>25</v>
      </c>
      <c r="H150" s="4" t="s">
        <v>25</v>
      </c>
      <c r="I150" s="5">
        <v>44562</v>
      </c>
      <c r="J150" s="6">
        <v>0</v>
      </c>
      <c r="K150" s="6">
        <v>0</v>
      </c>
      <c r="L150" s="6">
        <v>0.14799999999999999</v>
      </c>
      <c r="M150" s="6">
        <v>0.14799999999999999</v>
      </c>
      <c r="N150" s="6">
        <v>0.14799999999999999</v>
      </c>
      <c r="O150" s="6">
        <v>0.14799999999999999</v>
      </c>
      <c r="P150" s="6">
        <v>8</v>
      </c>
      <c r="Q150" s="4" t="s">
        <v>26</v>
      </c>
      <c r="R150" s="4">
        <v>0</v>
      </c>
      <c r="S150" s="4" t="s">
        <v>226</v>
      </c>
      <c r="T150" s="4" t="s">
        <v>431</v>
      </c>
      <c r="U150" s="4">
        <v>0</v>
      </c>
      <c r="V150" s="4">
        <v>29</v>
      </c>
      <c r="W150" s="4">
        <v>66</v>
      </c>
    </row>
    <row r="151" spans="1:23" ht="11.25" customHeight="1" x14ac:dyDescent="0.25">
      <c r="A151" s="4" t="s">
        <v>21</v>
      </c>
      <c r="B151" s="4" t="s">
        <v>41</v>
      </c>
      <c r="C151" s="4" t="s">
        <v>39</v>
      </c>
      <c r="D151" s="4" t="s">
        <v>42</v>
      </c>
      <c r="E151" s="4" t="s">
        <v>25</v>
      </c>
      <c r="F151" s="4" t="s">
        <v>25</v>
      </c>
      <c r="G151" s="4" t="s">
        <v>25</v>
      </c>
      <c r="H151" s="4" t="s">
        <v>25</v>
      </c>
      <c r="I151" s="5">
        <v>44593</v>
      </c>
      <c r="J151" s="6">
        <v>0</v>
      </c>
      <c r="K151" s="6">
        <v>0</v>
      </c>
      <c r="L151" s="6">
        <v>9.9000000000000005E-2</v>
      </c>
      <c r="M151" s="6">
        <v>9.9000000000000005E-2</v>
      </c>
      <c r="N151" s="6">
        <v>9.9000000000000005E-2</v>
      </c>
      <c r="O151" s="6">
        <v>9.9000000000000005E-2</v>
      </c>
      <c r="P151" s="6">
        <v>8</v>
      </c>
      <c r="Q151" s="4" t="s">
        <v>26</v>
      </c>
      <c r="R151" s="4">
        <v>0</v>
      </c>
      <c r="S151" s="4" t="s">
        <v>227</v>
      </c>
      <c r="T151" s="4" t="s">
        <v>432</v>
      </c>
      <c r="U151" s="4">
        <v>0</v>
      </c>
      <c r="V151" s="4">
        <v>29</v>
      </c>
      <c r="W151" s="4">
        <v>66</v>
      </c>
    </row>
    <row r="152" spans="1:23" ht="11.25" customHeight="1" x14ac:dyDescent="0.25">
      <c r="A152" s="4" t="s">
        <v>21</v>
      </c>
      <c r="B152" s="4" t="s">
        <v>41</v>
      </c>
      <c r="C152" s="4" t="s">
        <v>39</v>
      </c>
      <c r="D152" s="4" t="s">
        <v>42</v>
      </c>
      <c r="E152" s="4" t="s">
        <v>25</v>
      </c>
      <c r="F152" s="4" t="s">
        <v>25</v>
      </c>
      <c r="G152" s="4" t="s">
        <v>25</v>
      </c>
      <c r="H152" s="4" t="s">
        <v>25</v>
      </c>
      <c r="I152" s="5">
        <v>44621</v>
      </c>
      <c r="J152" s="6">
        <v>0</v>
      </c>
      <c r="K152" s="6">
        <v>0</v>
      </c>
      <c r="L152" s="6">
        <v>0.106</v>
      </c>
      <c r="M152" s="6">
        <v>0.106</v>
      </c>
      <c r="N152" s="6">
        <v>0.106</v>
      </c>
      <c r="O152" s="6">
        <v>0.106</v>
      </c>
      <c r="P152" s="6">
        <v>8</v>
      </c>
      <c r="Q152" s="4" t="s">
        <v>26</v>
      </c>
      <c r="R152" s="4">
        <v>0</v>
      </c>
      <c r="S152" s="4" t="s">
        <v>228</v>
      </c>
      <c r="T152" s="4" t="s">
        <v>433</v>
      </c>
      <c r="U152" s="4">
        <v>0</v>
      </c>
      <c r="V152" s="4">
        <v>29</v>
      </c>
      <c r="W152" s="4">
        <v>66</v>
      </c>
    </row>
    <row r="153" spans="1:23" ht="11.25" customHeight="1" x14ac:dyDescent="0.25">
      <c r="A153" s="4" t="s">
        <v>21</v>
      </c>
      <c r="B153" s="4" t="s">
        <v>41</v>
      </c>
      <c r="C153" s="4" t="s">
        <v>39</v>
      </c>
      <c r="D153" s="4" t="s">
        <v>42</v>
      </c>
      <c r="E153" s="4" t="s">
        <v>25</v>
      </c>
      <c r="F153" s="4" t="s">
        <v>25</v>
      </c>
      <c r="G153" s="4" t="s">
        <v>25</v>
      </c>
      <c r="H153" s="4" t="s">
        <v>25</v>
      </c>
      <c r="I153" s="5">
        <v>44652</v>
      </c>
      <c r="J153" s="6">
        <v>0</v>
      </c>
      <c r="K153" s="6">
        <v>0</v>
      </c>
      <c r="L153" s="6">
        <v>0.184</v>
      </c>
      <c r="M153" s="6">
        <v>0.184</v>
      </c>
      <c r="N153" s="6">
        <v>0.184</v>
      </c>
      <c r="O153" s="6">
        <v>0.184</v>
      </c>
      <c r="P153" s="6">
        <v>8</v>
      </c>
      <c r="Q153" s="4" t="s">
        <v>26</v>
      </c>
      <c r="R153" s="4">
        <v>0</v>
      </c>
      <c r="S153" s="4" t="s">
        <v>229</v>
      </c>
      <c r="T153" s="4" t="s">
        <v>434</v>
      </c>
      <c r="U153" s="4">
        <v>0</v>
      </c>
      <c r="V153" s="4">
        <v>29</v>
      </c>
      <c r="W153" s="4">
        <v>66</v>
      </c>
    </row>
    <row r="154" spans="1:23" ht="11.25" customHeight="1" x14ac:dyDescent="0.25">
      <c r="A154" s="4" t="s">
        <v>21</v>
      </c>
      <c r="B154" s="4" t="s">
        <v>41</v>
      </c>
      <c r="C154" s="4" t="s">
        <v>39</v>
      </c>
      <c r="D154" s="4" t="s">
        <v>42</v>
      </c>
      <c r="E154" s="4" t="s">
        <v>25</v>
      </c>
      <c r="F154" s="4" t="s">
        <v>25</v>
      </c>
      <c r="G154" s="4" t="s">
        <v>25</v>
      </c>
      <c r="H154" s="4" t="s">
        <v>36</v>
      </c>
      <c r="I154" s="5">
        <v>44317</v>
      </c>
      <c r="J154" s="6">
        <v>0</v>
      </c>
      <c r="K154" s="6">
        <v>0</v>
      </c>
      <c r="L154" s="6">
        <v>0.03</v>
      </c>
      <c r="M154" s="6">
        <v>0.03</v>
      </c>
      <c r="N154" s="6">
        <v>0.03</v>
      </c>
      <c r="O154" s="6">
        <v>0.03</v>
      </c>
      <c r="P154" s="6">
        <v>0</v>
      </c>
      <c r="Q154" s="4" t="s">
        <v>26</v>
      </c>
      <c r="R154" s="4">
        <v>0</v>
      </c>
      <c r="S154" s="4" t="s">
        <v>230</v>
      </c>
      <c r="T154" s="4" t="s">
        <v>435</v>
      </c>
      <c r="U154" s="4">
        <v>0</v>
      </c>
      <c r="V154" s="4">
        <v>26</v>
      </c>
      <c r="W154" s="4">
        <v>63</v>
      </c>
    </row>
    <row r="155" spans="1:23" ht="11.25" customHeight="1" x14ac:dyDescent="0.25">
      <c r="A155" s="4" t="s">
        <v>21</v>
      </c>
      <c r="B155" s="4" t="s">
        <v>41</v>
      </c>
      <c r="C155" s="4" t="s">
        <v>39</v>
      </c>
      <c r="D155" s="4" t="s">
        <v>42</v>
      </c>
      <c r="E155" s="4" t="s">
        <v>25</v>
      </c>
      <c r="F155" s="4" t="s">
        <v>25</v>
      </c>
      <c r="G155" s="4" t="s">
        <v>25</v>
      </c>
      <c r="H155" s="4" t="s">
        <v>36</v>
      </c>
      <c r="I155" s="5">
        <v>44348</v>
      </c>
      <c r="J155" s="6">
        <v>0</v>
      </c>
      <c r="K155" s="6">
        <v>0</v>
      </c>
      <c r="L155" s="6">
        <v>0.03</v>
      </c>
      <c r="M155" s="6">
        <v>0.03</v>
      </c>
      <c r="N155" s="6">
        <v>0.03</v>
      </c>
      <c r="O155" s="6">
        <v>0.03</v>
      </c>
      <c r="P155" s="6">
        <v>0</v>
      </c>
      <c r="Q155" s="4" t="s">
        <v>26</v>
      </c>
      <c r="R155" s="4">
        <v>0</v>
      </c>
      <c r="S155" s="4" t="s">
        <v>231</v>
      </c>
      <c r="T155" s="4" t="s">
        <v>436</v>
      </c>
      <c r="U155" s="4">
        <v>0</v>
      </c>
      <c r="V155" s="4">
        <v>26</v>
      </c>
      <c r="W155" s="4">
        <v>63</v>
      </c>
    </row>
    <row r="156" spans="1:23" ht="11.25" customHeight="1" x14ac:dyDescent="0.25">
      <c r="A156" s="4" t="s">
        <v>21</v>
      </c>
      <c r="B156" s="4" t="s">
        <v>41</v>
      </c>
      <c r="C156" s="4" t="s">
        <v>39</v>
      </c>
      <c r="D156" s="4" t="s">
        <v>42</v>
      </c>
      <c r="E156" s="4" t="s">
        <v>25</v>
      </c>
      <c r="F156" s="4" t="s">
        <v>25</v>
      </c>
      <c r="G156" s="4" t="s">
        <v>25</v>
      </c>
      <c r="H156" s="4" t="s">
        <v>36</v>
      </c>
      <c r="I156" s="5">
        <v>44378</v>
      </c>
      <c r="J156" s="6">
        <v>0</v>
      </c>
      <c r="K156" s="6">
        <v>0</v>
      </c>
      <c r="L156" s="6">
        <v>2.9000000000000001E-2</v>
      </c>
      <c r="M156" s="6">
        <v>2.9000000000000001E-2</v>
      </c>
      <c r="N156" s="6">
        <v>2.9000000000000001E-2</v>
      </c>
      <c r="O156" s="6">
        <v>2.9000000000000001E-2</v>
      </c>
      <c r="P156" s="6">
        <v>0</v>
      </c>
      <c r="Q156" s="4" t="s">
        <v>26</v>
      </c>
      <c r="R156" s="4">
        <v>0</v>
      </c>
      <c r="S156" s="4" t="s">
        <v>232</v>
      </c>
      <c r="T156" s="4" t="s">
        <v>437</v>
      </c>
      <c r="U156" s="4">
        <v>0</v>
      </c>
      <c r="V156" s="4">
        <v>26</v>
      </c>
      <c r="W156" s="4">
        <v>63</v>
      </c>
    </row>
    <row r="157" spans="1:23" ht="11.25" customHeight="1" x14ac:dyDescent="0.25">
      <c r="A157" s="4" t="s">
        <v>21</v>
      </c>
      <c r="B157" s="4" t="s">
        <v>41</v>
      </c>
      <c r="C157" s="4" t="s">
        <v>39</v>
      </c>
      <c r="D157" s="4" t="s">
        <v>42</v>
      </c>
      <c r="E157" s="4" t="s">
        <v>25</v>
      </c>
      <c r="F157" s="4" t="s">
        <v>25</v>
      </c>
      <c r="G157" s="4" t="s">
        <v>25</v>
      </c>
      <c r="H157" s="4" t="s">
        <v>36</v>
      </c>
      <c r="I157" s="5">
        <v>44409</v>
      </c>
      <c r="J157" s="6">
        <v>0</v>
      </c>
      <c r="K157" s="6">
        <v>0</v>
      </c>
      <c r="L157" s="6">
        <v>0.03</v>
      </c>
      <c r="M157" s="6">
        <v>0.03</v>
      </c>
      <c r="N157" s="6">
        <v>0.03</v>
      </c>
      <c r="O157" s="6">
        <v>0.03</v>
      </c>
      <c r="P157" s="6">
        <v>0</v>
      </c>
      <c r="Q157" s="4" t="s">
        <v>26</v>
      </c>
      <c r="R157" s="4">
        <v>0</v>
      </c>
      <c r="S157" s="4" t="s">
        <v>233</v>
      </c>
      <c r="T157" s="4" t="s">
        <v>438</v>
      </c>
      <c r="U157" s="4">
        <v>0</v>
      </c>
      <c r="V157" s="4">
        <v>26</v>
      </c>
      <c r="W157" s="4">
        <v>63</v>
      </c>
    </row>
    <row r="158" spans="1:23" ht="11.25" customHeight="1" x14ac:dyDescent="0.25">
      <c r="A158" s="4" t="s">
        <v>21</v>
      </c>
      <c r="B158" s="4" t="s">
        <v>41</v>
      </c>
      <c r="C158" s="4" t="s">
        <v>39</v>
      </c>
      <c r="D158" s="4" t="s">
        <v>42</v>
      </c>
      <c r="E158" s="4" t="s">
        <v>25</v>
      </c>
      <c r="F158" s="4" t="s">
        <v>25</v>
      </c>
      <c r="G158" s="4" t="s">
        <v>25</v>
      </c>
      <c r="H158" s="4" t="s">
        <v>36</v>
      </c>
      <c r="I158" s="5">
        <v>44440</v>
      </c>
      <c r="J158" s="6">
        <v>0</v>
      </c>
      <c r="K158" s="6">
        <v>0</v>
      </c>
      <c r="L158" s="6">
        <v>2.8000000000000001E-2</v>
      </c>
      <c r="M158" s="6">
        <v>2.8000000000000001E-2</v>
      </c>
      <c r="N158" s="6">
        <v>2.8000000000000001E-2</v>
      </c>
      <c r="O158" s="6">
        <v>2.8000000000000001E-2</v>
      </c>
      <c r="P158" s="6">
        <v>0</v>
      </c>
      <c r="Q158" s="4" t="s">
        <v>26</v>
      </c>
      <c r="R158" s="4">
        <v>0</v>
      </c>
      <c r="S158" s="4" t="s">
        <v>234</v>
      </c>
      <c r="T158" s="4" t="s">
        <v>439</v>
      </c>
      <c r="U158" s="4">
        <v>0</v>
      </c>
      <c r="V158" s="4">
        <v>26</v>
      </c>
      <c r="W158" s="4">
        <v>63</v>
      </c>
    </row>
    <row r="159" spans="1:23" ht="11.25" customHeight="1" x14ac:dyDescent="0.25">
      <c r="A159" s="4" t="s">
        <v>21</v>
      </c>
      <c r="B159" s="4" t="s">
        <v>41</v>
      </c>
      <c r="C159" s="4" t="s">
        <v>39</v>
      </c>
      <c r="D159" s="4" t="s">
        <v>42</v>
      </c>
      <c r="E159" s="4" t="s">
        <v>25</v>
      </c>
      <c r="F159" s="4" t="s">
        <v>25</v>
      </c>
      <c r="G159" s="4" t="s">
        <v>25</v>
      </c>
      <c r="H159" s="4" t="s">
        <v>36</v>
      </c>
      <c r="I159" s="5">
        <v>44470</v>
      </c>
      <c r="J159" s="6">
        <v>0</v>
      </c>
      <c r="K159" s="6">
        <v>0</v>
      </c>
      <c r="L159" s="6">
        <v>1.4E-2</v>
      </c>
      <c r="M159" s="6">
        <v>1.4E-2</v>
      </c>
      <c r="N159" s="6">
        <v>1.4E-2</v>
      </c>
      <c r="O159" s="6">
        <v>1.4E-2</v>
      </c>
      <c r="P159" s="6">
        <v>0</v>
      </c>
      <c r="Q159" s="4" t="s">
        <v>26</v>
      </c>
      <c r="R159" s="4">
        <v>0</v>
      </c>
      <c r="S159" s="4" t="s">
        <v>235</v>
      </c>
      <c r="T159" s="4" t="s">
        <v>440</v>
      </c>
      <c r="U159" s="4">
        <v>0</v>
      </c>
      <c r="V159" s="4">
        <v>26</v>
      </c>
      <c r="W159" s="4">
        <v>63</v>
      </c>
    </row>
    <row r="160" spans="1:23" ht="11.25" customHeight="1" x14ac:dyDescent="0.25">
      <c r="A160" s="4" t="s">
        <v>21</v>
      </c>
      <c r="B160" s="4" t="s">
        <v>41</v>
      </c>
      <c r="C160" s="4" t="s">
        <v>39</v>
      </c>
      <c r="D160" s="4" t="s">
        <v>42</v>
      </c>
      <c r="E160" s="4" t="s">
        <v>25</v>
      </c>
      <c r="F160" s="4" t="s">
        <v>25</v>
      </c>
      <c r="G160" s="4" t="s">
        <v>25</v>
      </c>
      <c r="H160" s="4" t="s">
        <v>36</v>
      </c>
      <c r="I160" s="5">
        <v>44501</v>
      </c>
      <c r="J160" s="6">
        <v>0</v>
      </c>
      <c r="K160" s="6">
        <v>0</v>
      </c>
      <c r="L160" s="6">
        <v>0.01</v>
      </c>
      <c r="M160" s="6">
        <v>0.01</v>
      </c>
      <c r="N160" s="6">
        <v>0.01</v>
      </c>
      <c r="O160" s="6">
        <v>0.01</v>
      </c>
      <c r="P160" s="6">
        <v>0</v>
      </c>
      <c r="Q160" s="4" t="s">
        <v>26</v>
      </c>
      <c r="R160" s="4">
        <v>0</v>
      </c>
      <c r="S160" s="4" t="s">
        <v>236</v>
      </c>
      <c r="T160" s="4" t="s">
        <v>441</v>
      </c>
      <c r="U160" s="4">
        <v>0</v>
      </c>
      <c r="V160" s="4">
        <v>26</v>
      </c>
      <c r="W160" s="4">
        <v>63</v>
      </c>
    </row>
    <row r="161" spans="1:23" ht="11.25" customHeight="1" x14ac:dyDescent="0.25">
      <c r="A161" s="4" t="s">
        <v>21</v>
      </c>
      <c r="B161" s="4" t="s">
        <v>41</v>
      </c>
      <c r="C161" s="4" t="s">
        <v>39</v>
      </c>
      <c r="D161" s="4" t="s">
        <v>42</v>
      </c>
      <c r="E161" s="4" t="s">
        <v>25</v>
      </c>
      <c r="F161" s="4" t="s">
        <v>25</v>
      </c>
      <c r="G161" s="4" t="s">
        <v>25</v>
      </c>
      <c r="H161" s="4" t="s">
        <v>36</v>
      </c>
      <c r="I161" s="5">
        <v>44531</v>
      </c>
      <c r="J161" s="6">
        <v>0</v>
      </c>
      <c r="K161" s="6">
        <v>0</v>
      </c>
      <c r="L161" s="6">
        <v>2.7E-2</v>
      </c>
      <c r="M161" s="6">
        <v>2.7E-2</v>
      </c>
      <c r="N161" s="6">
        <v>2.7E-2</v>
      </c>
      <c r="O161" s="6">
        <v>2.7E-2</v>
      </c>
      <c r="P161" s="6">
        <v>0</v>
      </c>
      <c r="Q161" s="4" t="s">
        <v>26</v>
      </c>
      <c r="R161" s="4">
        <v>0</v>
      </c>
      <c r="S161" s="4" t="s">
        <v>237</v>
      </c>
      <c r="T161" s="4" t="s">
        <v>442</v>
      </c>
      <c r="U161" s="4">
        <v>0</v>
      </c>
      <c r="V161" s="4">
        <v>26</v>
      </c>
      <c r="W161" s="4">
        <v>63</v>
      </c>
    </row>
    <row r="162" spans="1:23" ht="11.25" customHeight="1" x14ac:dyDescent="0.25">
      <c r="A162" s="4" t="s">
        <v>21</v>
      </c>
      <c r="B162" s="4" t="s">
        <v>41</v>
      </c>
      <c r="C162" s="4" t="s">
        <v>39</v>
      </c>
      <c r="D162" s="4" t="s">
        <v>42</v>
      </c>
      <c r="E162" s="4" t="s">
        <v>25</v>
      </c>
      <c r="F162" s="4" t="s">
        <v>25</v>
      </c>
      <c r="G162" s="4" t="s">
        <v>25</v>
      </c>
      <c r="H162" s="4" t="s">
        <v>36</v>
      </c>
      <c r="I162" s="5">
        <v>44562</v>
      </c>
      <c r="J162" s="6">
        <v>0</v>
      </c>
      <c r="K162" s="6">
        <v>0</v>
      </c>
      <c r="L162" s="6">
        <v>4.2000000000000003E-2</v>
      </c>
      <c r="M162" s="6">
        <v>4.2000000000000003E-2</v>
      </c>
      <c r="N162" s="6">
        <v>4.2000000000000003E-2</v>
      </c>
      <c r="O162" s="6">
        <v>4.2000000000000003E-2</v>
      </c>
      <c r="P162" s="6">
        <v>0</v>
      </c>
      <c r="Q162" s="4" t="s">
        <v>26</v>
      </c>
      <c r="R162" s="4">
        <v>0</v>
      </c>
      <c r="S162" s="4" t="s">
        <v>238</v>
      </c>
      <c r="T162" s="4" t="s">
        <v>443</v>
      </c>
      <c r="U162" s="4">
        <v>0</v>
      </c>
      <c r="V162" s="4">
        <v>26</v>
      </c>
      <c r="W162" s="4">
        <v>63</v>
      </c>
    </row>
    <row r="163" spans="1:23" ht="11.25" customHeight="1" x14ac:dyDescent="0.25">
      <c r="A163" s="4" t="s">
        <v>21</v>
      </c>
      <c r="B163" s="4" t="s">
        <v>41</v>
      </c>
      <c r="C163" s="4" t="s">
        <v>39</v>
      </c>
      <c r="D163" s="4" t="s">
        <v>42</v>
      </c>
      <c r="E163" s="4" t="s">
        <v>25</v>
      </c>
      <c r="F163" s="4" t="s">
        <v>25</v>
      </c>
      <c r="G163" s="4" t="s">
        <v>25</v>
      </c>
      <c r="H163" s="4" t="s">
        <v>36</v>
      </c>
      <c r="I163" s="5">
        <v>44593</v>
      </c>
      <c r="J163" s="6">
        <v>0</v>
      </c>
      <c r="K163" s="6">
        <v>0</v>
      </c>
      <c r="L163" s="6">
        <v>3.6999999999999998E-2</v>
      </c>
      <c r="M163" s="6">
        <v>3.6999999999999998E-2</v>
      </c>
      <c r="N163" s="6">
        <v>3.6999999999999998E-2</v>
      </c>
      <c r="O163" s="6">
        <v>3.6999999999999998E-2</v>
      </c>
      <c r="P163" s="6">
        <v>0</v>
      </c>
      <c r="Q163" s="4" t="s">
        <v>26</v>
      </c>
      <c r="R163" s="4">
        <v>0</v>
      </c>
      <c r="S163" s="4" t="s">
        <v>239</v>
      </c>
      <c r="T163" s="4" t="s">
        <v>444</v>
      </c>
      <c r="U163" s="4">
        <v>0</v>
      </c>
      <c r="V163" s="4">
        <v>26</v>
      </c>
      <c r="W163" s="4">
        <v>63</v>
      </c>
    </row>
    <row r="164" spans="1:23" ht="11.25" customHeight="1" x14ac:dyDescent="0.25">
      <c r="A164" s="4" t="s">
        <v>21</v>
      </c>
      <c r="B164" s="4" t="s">
        <v>41</v>
      </c>
      <c r="C164" s="4" t="s">
        <v>39</v>
      </c>
      <c r="D164" s="4" t="s">
        <v>42</v>
      </c>
      <c r="E164" s="4" t="s">
        <v>25</v>
      </c>
      <c r="F164" s="4" t="s">
        <v>25</v>
      </c>
      <c r="G164" s="4" t="s">
        <v>25</v>
      </c>
      <c r="H164" s="4" t="s">
        <v>36</v>
      </c>
      <c r="I164" s="5">
        <v>44621</v>
      </c>
      <c r="J164" s="6">
        <v>0</v>
      </c>
      <c r="K164" s="6">
        <v>0</v>
      </c>
      <c r="L164" s="6">
        <v>3.6999999999999998E-2</v>
      </c>
      <c r="M164" s="6">
        <v>3.6999999999999998E-2</v>
      </c>
      <c r="N164" s="6">
        <v>3.6999999999999998E-2</v>
      </c>
      <c r="O164" s="6">
        <v>3.6999999999999998E-2</v>
      </c>
      <c r="P164" s="6">
        <v>0</v>
      </c>
      <c r="Q164" s="4" t="s">
        <v>26</v>
      </c>
      <c r="R164" s="4">
        <v>0</v>
      </c>
      <c r="S164" s="4" t="s">
        <v>240</v>
      </c>
      <c r="T164" s="4" t="s">
        <v>445</v>
      </c>
      <c r="U164" s="4">
        <v>0</v>
      </c>
      <c r="V164" s="4">
        <v>26</v>
      </c>
      <c r="W164" s="4">
        <v>63</v>
      </c>
    </row>
    <row r="165" spans="1:23" ht="11.25" customHeight="1" x14ac:dyDescent="0.25">
      <c r="A165" s="4" t="s">
        <v>21</v>
      </c>
      <c r="B165" s="4" t="s">
        <v>41</v>
      </c>
      <c r="C165" s="4" t="s">
        <v>39</v>
      </c>
      <c r="D165" s="4" t="s">
        <v>42</v>
      </c>
      <c r="E165" s="4" t="s">
        <v>25</v>
      </c>
      <c r="F165" s="4" t="s">
        <v>25</v>
      </c>
      <c r="G165" s="4" t="s">
        <v>25</v>
      </c>
      <c r="H165" s="4" t="s">
        <v>36</v>
      </c>
      <c r="I165" s="5">
        <v>44652</v>
      </c>
      <c r="J165" s="6">
        <v>0</v>
      </c>
      <c r="K165" s="6">
        <v>0</v>
      </c>
      <c r="L165" s="6">
        <v>2.7E-2</v>
      </c>
      <c r="M165" s="6">
        <v>2.7E-2</v>
      </c>
      <c r="N165" s="6">
        <v>2.7E-2</v>
      </c>
      <c r="O165" s="6">
        <v>2.7E-2</v>
      </c>
      <c r="P165" s="6">
        <v>0</v>
      </c>
      <c r="Q165" s="4" t="s">
        <v>26</v>
      </c>
      <c r="R165" s="4">
        <v>0</v>
      </c>
      <c r="S165" s="4" t="s">
        <v>241</v>
      </c>
      <c r="T165" s="4" t="s">
        <v>446</v>
      </c>
      <c r="U165" s="4">
        <v>0</v>
      </c>
      <c r="V165" s="4">
        <v>26</v>
      </c>
      <c r="W165" s="4">
        <v>63</v>
      </c>
    </row>
    <row r="166" spans="1:23" ht="11.25" customHeight="1" x14ac:dyDescent="0.25">
      <c r="A166" s="4" t="s">
        <v>21</v>
      </c>
      <c r="B166" s="4" t="s">
        <v>41</v>
      </c>
      <c r="C166" s="4" t="s">
        <v>23</v>
      </c>
      <c r="D166" s="4" t="s">
        <v>42</v>
      </c>
      <c r="E166" s="4" t="s">
        <v>50</v>
      </c>
      <c r="F166" s="4" t="s">
        <v>51</v>
      </c>
      <c r="G166" s="4" t="s">
        <v>25</v>
      </c>
      <c r="H166" s="4" t="s">
        <v>25</v>
      </c>
      <c r="I166" s="5">
        <v>44317</v>
      </c>
      <c r="J166" s="6">
        <v>0</v>
      </c>
      <c r="K166" s="6">
        <v>0</v>
      </c>
      <c r="L166" s="6">
        <v>1.0669999999999999</v>
      </c>
      <c r="M166" s="6">
        <v>1.0669999999999999</v>
      </c>
      <c r="N166" s="6">
        <v>1.0669999999999999</v>
      </c>
      <c r="O166" s="6">
        <v>1.0669999999999999</v>
      </c>
      <c r="P166" s="6">
        <v>0</v>
      </c>
      <c r="Q166" s="4" t="s">
        <v>26</v>
      </c>
      <c r="R166" s="4">
        <v>0</v>
      </c>
      <c r="S166" s="4" t="s">
        <v>218</v>
      </c>
      <c r="T166" s="4" t="s">
        <v>423</v>
      </c>
      <c r="U166" s="4">
        <v>0</v>
      </c>
      <c r="V166" s="4">
        <v>29</v>
      </c>
      <c r="W166" s="4">
        <v>66</v>
      </c>
    </row>
    <row r="167" spans="1:23" ht="11.25" customHeight="1" x14ac:dyDescent="0.25">
      <c r="A167" s="4" t="s">
        <v>21</v>
      </c>
      <c r="B167" s="4" t="s">
        <v>41</v>
      </c>
      <c r="C167" s="4" t="s">
        <v>23</v>
      </c>
      <c r="D167" s="4" t="s">
        <v>42</v>
      </c>
      <c r="E167" s="4" t="s">
        <v>50</v>
      </c>
      <c r="F167" s="4" t="s">
        <v>51</v>
      </c>
      <c r="G167" s="4" t="s">
        <v>25</v>
      </c>
      <c r="H167" s="4" t="s">
        <v>25</v>
      </c>
      <c r="I167" s="5">
        <v>44348</v>
      </c>
      <c r="J167" s="6">
        <v>0</v>
      </c>
      <c r="K167" s="6">
        <v>0</v>
      </c>
      <c r="L167" s="6">
        <v>1.21</v>
      </c>
      <c r="M167" s="6">
        <v>1.21</v>
      </c>
      <c r="N167" s="6">
        <v>1.21</v>
      </c>
      <c r="O167" s="6">
        <v>1.21</v>
      </c>
      <c r="P167" s="6">
        <v>0</v>
      </c>
      <c r="Q167" s="4" t="s">
        <v>26</v>
      </c>
      <c r="R167" s="4">
        <v>0</v>
      </c>
      <c r="S167" s="4" t="s">
        <v>219</v>
      </c>
      <c r="T167" s="4" t="s">
        <v>424</v>
      </c>
      <c r="U167" s="4">
        <v>0</v>
      </c>
      <c r="V167" s="4">
        <v>29</v>
      </c>
      <c r="W167" s="4">
        <v>66</v>
      </c>
    </row>
    <row r="168" spans="1:23" ht="11.25" customHeight="1" x14ac:dyDescent="0.25">
      <c r="A168" s="4" t="s">
        <v>21</v>
      </c>
      <c r="B168" s="4" t="s">
        <v>41</v>
      </c>
      <c r="C168" s="4" t="s">
        <v>23</v>
      </c>
      <c r="D168" s="4" t="s">
        <v>42</v>
      </c>
      <c r="E168" s="4" t="s">
        <v>50</v>
      </c>
      <c r="F168" s="4" t="s">
        <v>51</v>
      </c>
      <c r="G168" s="4" t="s">
        <v>25</v>
      </c>
      <c r="H168" s="4" t="s">
        <v>25</v>
      </c>
      <c r="I168" s="5">
        <v>44378</v>
      </c>
      <c r="J168" s="6">
        <v>0</v>
      </c>
      <c r="K168" s="6">
        <v>0</v>
      </c>
      <c r="L168" s="6">
        <v>1.7809999999999999</v>
      </c>
      <c r="M168" s="6">
        <v>1.7809999999999999</v>
      </c>
      <c r="N168" s="6">
        <v>1.7809999999999999</v>
      </c>
      <c r="O168" s="6">
        <v>1.7809999999999999</v>
      </c>
      <c r="P168" s="6">
        <v>0</v>
      </c>
      <c r="Q168" s="4" t="s">
        <v>26</v>
      </c>
      <c r="R168" s="4">
        <v>0</v>
      </c>
      <c r="S168" s="4" t="s">
        <v>220</v>
      </c>
      <c r="T168" s="4" t="s">
        <v>425</v>
      </c>
      <c r="U168" s="4">
        <v>0</v>
      </c>
      <c r="V168" s="4">
        <v>29</v>
      </c>
      <c r="W168" s="4">
        <v>66</v>
      </c>
    </row>
    <row r="169" spans="1:23" ht="11.25" customHeight="1" x14ac:dyDescent="0.25">
      <c r="A169" s="4" t="s">
        <v>21</v>
      </c>
      <c r="B169" s="4" t="s">
        <v>41</v>
      </c>
      <c r="C169" s="4" t="s">
        <v>23</v>
      </c>
      <c r="D169" s="4" t="s">
        <v>42</v>
      </c>
      <c r="E169" s="4" t="s">
        <v>50</v>
      </c>
      <c r="F169" s="4" t="s">
        <v>51</v>
      </c>
      <c r="G169" s="4" t="s">
        <v>25</v>
      </c>
      <c r="H169" s="4" t="s">
        <v>25</v>
      </c>
      <c r="I169" s="5">
        <v>44409</v>
      </c>
      <c r="J169" s="6">
        <v>0</v>
      </c>
      <c r="K169" s="6">
        <v>0</v>
      </c>
      <c r="L169" s="6">
        <v>1.48</v>
      </c>
      <c r="M169" s="6">
        <v>1.48</v>
      </c>
      <c r="N169" s="6">
        <v>1.48</v>
      </c>
      <c r="O169" s="6">
        <v>1.48</v>
      </c>
      <c r="P169" s="6">
        <v>0</v>
      </c>
      <c r="Q169" s="4" t="s">
        <v>26</v>
      </c>
      <c r="R169" s="4">
        <v>0</v>
      </c>
      <c r="S169" s="4" t="s">
        <v>221</v>
      </c>
      <c r="T169" s="4" t="s">
        <v>426</v>
      </c>
      <c r="U169" s="4">
        <v>0</v>
      </c>
      <c r="V169" s="4">
        <v>29</v>
      </c>
      <c r="W169" s="4">
        <v>66</v>
      </c>
    </row>
    <row r="170" spans="1:23" ht="11.25" customHeight="1" x14ac:dyDescent="0.25">
      <c r="A170" s="4" t="s">
        <v>21</v>
      </c>
      <c r="B170" s="4" t="s">
        <v>41</v>
      </c>
      <c r="C170" s="4" t="s">
        <v>23</v>
      </c>
      <c r="D170" s="4" t="s">
        <v>42</v>
      </c>
      <c r="E170" s="4" t="s">
        <v>50</v>
      </c>
      <c r="F170" s="4" t="s">
        <v>51</v>
      </c>
      <c r="G170" s="4" t="s">
        <v>25</v>
      </c>
      <c r="H170" s="4" t="s">
        <v>25</v>
      </c>
      <c r="I170" s="5">
        <v>44440</v>
      </c>
      <c r="J170" s="6">
        <v>0</v>
      </c>
      <c r="K170" s="6">
        <v>0</v>
      </c>
      <c r="L170" s="6">
        <v>4.3639999999999999</v>
      </c>
      <c r="M170" s="6">
        <v>4.3639999999999999</v>
      </c>
      <c r="N170" s="6">
        <v>4.3639999999999999</v>
      </c>
      <c r="O170" s="6">
        <v>4.3639999999999999</v>
      </c>
      <c r="P170" s="6">
        <v>0</v>
      </c>
      <c r="Q170" s="4" t="s">
        <v>26</v>
      </c>
      <c r="R170" s="4">
        <v>0</v>
      </c>
      <c r="S170" s="4" t="s">
        <v>222</v>
      </c>
      <c r="T170" s="4" t="s">
        <v>427</v>
      </c>
      <c r="U170" s="4">
        <v>0</v>
      </c>
      <c r="V170" s="4">
        <v>29</v>
      </c>
      <c r="W170" s="4">
        <v>66</v>
      </c>
    </row>
    <row r="171" spans="1:23" ht="11.25" customHeight="1" x14ac:dyDescent="0.25">
      <c r="A171" s="4" t="s">
        <v>21</v>
      </c>
      <c r="B171" s="4" t="s">
        <v>41</v>
      </c>
      <c r="C171" s="4" t="s">
        <v>23</v>
      </c>
      <c r="D171" s="4" t="s">
        <v>42</v>
      </c>
      <c r="E171" s="4" t="s">
        <v>50</v>
      </c>
      <c r="F171" s="4" t="s">
        <v>51</v>
      </c>
      <c r="G171" s="4" t="s">
        <v>25</v>
      </c>
      <c r="H171" s="4" t="s">
        <v>25</v>
      </c>
      <c r="I171" s="5">
        <v>44470</v>
      </c>
      <c r="J171" s="6">
        <v>0</v>
      </c>
      <c r="K171" s="6">
        <v>0</v>
      </c>
      <c r="L171" s="6">
        <v>10.007</v>
      </c>
      <c r="M171" s="6">
        <v>10.007</v>
      </c>
      <c r="N171" s="6">
        <v>10.007</v>
      </c>
      <c r="O171" s="6">
        <v>10.007</v>
      </c>
      <c r="P171" s="6">
        <v>0</v>
      </c>
      <c r="Q171" s="4" t="s">
        <v>26</v>
      </c>
      <c r="R171" s="4">
        <v>0</v>
      </c>
      <c r="S171" s="4" t="s">
        <v>223</v>
      </c>
      <c r="T171" s="4" t="s">
        <v>428</v>
      </c>
      <c r="U171" s="4">
        <v>0</v>
      </c>
      <c r="V171" s="4">
        <v>29</v>
      </c>
      <c r="W171" s="4">
        <v>66</v>
      </c>
    </row>
    <row r="172" spans="1:23" ht="11.25" customHeight="1" x14ac:dyDescent="0.25">
      <c r="A172" s="4" t="s">
        <v>21</v>
      </c>
      <c r="B172" s="4" t="s">
        <v>41</v>
      </c>
      <c r="C172" s="4" t="s">
        <v>23</v>
      </c>
      <c r="D172" s="4" t="s">
        <v>42</v>
      </c>
      <c r="E172" s="4" t="s">
        <v>50</v>
      </c>
      <c r="F172" s="4" t="s">
        <v>51</v>
      </c>
      <c r="G172" s="4" t="s">
        <v>25</v>
      </c>
      <c r="H172" s="4" t="s">
        <v>25</v>
      </c>
      <c r="I172" s="5">
        <v>44501</v>
      </c>
      <c r="J172" s="6">
        <v>0</v>
      </c>
      <c r="K172" s="6">
        <v>0</v>
      </c>
      <c r="L172" s="6">
        <v>8.7550000000000008</v>
      </c>
      <c r="M172" s="6">
        <v>8.7550000000000008</v>
      </c>
      <c r="N172" s="6">
        <v>8.7550000000000008</v>
      </c>
      <c r="O172" s="6">
        <v>8.7550000000000008</v>
      </c>
      <c r="P172" s="6">
        <v>0</v>
      </c>
      <c r="Q172" s="4" t="s">
        <v>26</v>
      </c>
      <c r="R172" s="4">
        <v>0</v>
      </c>
      <c r="S172" s="4" t="s">
        <v>224</v>
      </c>
      <c r="T172" s="4" t="s">
        <v>429</v>
      </c>
      <c r="U172" s="4">
        <v>0</v>
      </c>
      <c r="V172" s="4">
        <v>29</v>
      </c>
      <c r="W172" s="4">
        <v>66</v>
      </c>
    </row>
    <row r="173" spans="1:23" ht="11.25" customHeight="1" x14ac:dyDescent="0.25">
      <c r="A173" s="4" t="s">
        <v>21</v>
      </c>
      <c r="B173" s="4" t="s">
        <v>41</v>
      </c>
      <c r="C173" s="4" t="s">
        <v>23</v>
      </c>
      <c r="D173" s="4" t="s">
        <v>42</v>
      </c>
      <c r="E173" s="4" t="s">
        <v>50</v>
      </c>
      <c r="F173" s="4" t="s">
        <v>51</v>
      </c>
      <c r="G173" s="4" t="s">
        <v>25</v>
      </c>
      <c r="H173" s="4" t="s">
        <v>25</v>
      </c>
      <c r="I173" s="5">
        <v>44531</v>
      </c>
      <c r="J173" s="6">
        <v>0</v>
      </c>
      <c r="K173" s="6">
        <v>0</v>
      </c>
      <c r="L173" s="6">
        <v>7.0979999999999999</v>
      </c>
      <c r="M173" s="6">
        <v>7.0979999999999999</v>
      </c>
      <c r="N173" s="6">
        <v>7.0979999999999999</v>
      </c>
      <c r="O173" s="6">
        <v>7.0979999999999999</v>
      </c>
      <c r="P173" s="6">
        <v>0</v>
      </c>
      <c r="Q173" s="4" t="s">
        <v>26</v>
      </c>
      <c r="R173" s="4">
        <v>0</v>
      </c>
      <c r="S173" s="4" t="s">
        <v>225</v>
      </c>
      <c r="T173" s="4" t="s">
        <v>430</v>
      </c>
      <c r="U173" s="4">
        <v>0</v>
      </c>
      <c r="V173" s="4">
        <v>29</v>
      </c>
      <c r="W173" s="4">
        <v>66</v>
      </c>
    </row>
    <row r="174" spans="1:23" ht="11.25" customHeight="1" x14ac:dyDescent="0.25">
      <c r="A174" s="4" t="s">
        <v>21</v>
      </c>
      <c r="B174" s="4" t="s">
        <v>41</v>
      </c>
      <c r="C174" s="4" t="s">
        <v>23</v>
      </c>
      <c r="D174" s="4" t="s">
        <v>42</v>
      </c>
      <c r="E174" s="4" t="s">
        <v>50</v>
      </c>
      <c r="F174" s="4" t="s">
        <v>51</v>
      </c>
      <c r="G174" s="4" t="s">
        <v>25</v>
      </c>
      <c r="H174" s="4" t="s">
        <v>25</v>
      </c>
      <c r="I174" s="5">
        <v>44562</v>
      </c>
      <c r="J174" s="6">
        <v>0</v>
      </c>
      <c r="K174" s="6">
        <v>0</v>
      </c>
      <c r="L174" s="6">
        <v>6.3410000000000002</v>
      </c>
      <c r="M174" s="6">
        <v>6.3410000000000002</v>
      </c>
      <c r="N174" s="6">
        <v>6.3410000000000002</v>
      </c>
      <c r="O174" s="6">
        <v>6.3410000000000002</v>
      </c>
      <c r="P174" s="6">
        <v>0</v>
      </c>
      <c r="Q174" s="4" t="s">
        <v>26</v>
      </c>
      <c r="R174" s="4">
        <v>0</v>
      </c>
      <c r="S174" s="4" t="s">
        <v>226</v>
      </c>
      <c r="T174" s="4" t="s">
        <v>431</v>
      </c>
      <c r="U174" s="4">
        <v>0</v>
      </c>
      <c r="V174" s="4">
        <v>29</v>
      </c>
      <c r="W174" s="4">
        <v>66</v>
      </c>
    </row>
    <row r="175" spans="1:23" ht="11.25" customHeight="1" x14ac:dyDescent="0.25">
      <c r="A175" s="4" t="s">
        <v>21</v>
      </c>
      <c r="B175" s="4" t="s">
        <v>41</v>
      </c>
      <c r="C175" s="4" t="s">
        <v>23</v>
      </c>
      <c r="D175" s="4" t="s">
        <v>42</v>
      </c>
      <c r="E175" s="4" t="s">
        <v>50</v>
      </c>
      <c r="F175" s="4" t="s">
        <v>51</v>
      </c>
      <c r="G175" s="4" t="s">
        <v>25</v>
      </c>
      <c r="H175" s="4" t="s">
        <v>25</v>
      </c>
      <c r="I175" s="5">
        <v>44593</v>
      </c>
      <c r="J175" s="6">
        <v>0</v>
      </c>
      <c r="K175" s="6">
        <v>0</v>
      </c>
      <c r="L175" s="6">
        <v>7.7309999999999999</v>
      </c>
      <c r="M175" s="6">
        <v>7.7309999999999999</v>
      </c>
      <c r="N175" s="6">
        <v>7.7309999999999999</v>
      </c>
      <c r="O175" s="6">
        <v>7.7309999999999999</v>
      </c>
      <c r="P175" s="6">
        <v>0</v>
      </c>
      <c r="Q175" s="4" t="s">
        <v>26</v>
      </c>
      <c r="R175" s="4">
        <v>0</v>
      </c>
      <c r="S175" s="4" t="s">
        <v>227</v>
      </c>
      <c r="T175" s="4" t="s">
        <v>432</v>
      </c>
      <c r="U175" s="4">
        <v>0</v>
      </c>
      <c r="V175" s="4">
        <v>29</v>
      </c>
      <c r="W175" s="4">
        <v>66</v>
      </c>
    </row>
    <row r="176" spans="1:23" ht="11.25" customHeight="1" x14ac:dyDescent="0.25">
      <c r="A176" s="4" t="s">
        <v>21</v>
      </c>
      <c r="B176" s="4" t="s">
        <v>41</v>
      </c>
      <c r="C176" s="4" t="s">
        <v>23</v>
      </c>
      <c r="D176" s="4" t="s">
        <v>42</v>
      </c>
      <c r="E176" s="4" t="s">
        <v>50</v>
      </c>
      <c r="F176" s="4" t="s">
        <v>51</v>
      </c>
      <c r="G176" s="4" t="s">
        <v>25</v>
      </c>
      <c r="H176" s="4" t="s">
        <v>25</v>
      </c>
      <c r="I176" s="5">
        <v>44621</v>
      </c>
      <c r="J176" s="6">
        <v>0</v>
      </c>
      <c r="K176" s="6">
        <v>0</v>
      </c>
      <c r="L176" s="6">
        <v>6.0869999999999997</v>
      </c>
      <c r="M176" s="6">
        <v>6.0869999999999997</v>
      </c>
      <c r="N176" s="6">
        <v>6.0869999999999997</v>
      </c>
      <c r="O176" s="6">
        <v>6.0869999999999997</v>
      </c>
      <c r="P176" s="6">
        <v>0</v>
      </c>
      <c r="Q176" s="4" t="s">
        <v>26</v>
      </c>
      <c r="R176" s="4">
        <v>0</v>
      </c>
      <c r="S176" s="4" t="s">
        <v>228</v>
      </c>
      <c r="T176" s="4" t="s">
        <v>433</v>
      </c>
      <c r="U176" s="4">
        <v>0</v>
      </c>
      <c r="V176" s="4">
        <v>29</v>
      </c>
      <c r="W176" s="4">
        <v>66</v>
      </c>
    </row>
    <row r="177" spans="1:23" ht="11.25" customHeight="1" x14ac:dyDescent="0.25">
      <c r="A177" s="4" t="s">
        <v>21</v>
      </c>
      <c r="B177" s="4" t="s">
        <v>41</v>
      </c>
      <c r="C177" s="4" t="s">
        <v>23</v>
      </c>
      <c r="D177" s="4" t="s">
        <v>42</v>
      </c>
      <c r="E177" s="4" t="s">
        <v>50</v>
      </c>
      <c r="F177" s="4" t="s">
        <v>51</v>
      </c>
      <c r="G177" s="4" t="s">
        <v>25</v>
      </c>
      <c r="H177" s="4" t="s">
        <v>25</v>
      </c>
      <c r="I177" s="5">
        <v>44652</v>
      </c>
      <c r="J177" s="6">
        <v>0</v>
      </c>
      <c r="K177" s="6">
        <v>0</v>
      </c>
      <c r="L177" s="6">
        <v>5.8929999999999998</v>
      </c>
      <c r="M177" s="6">
        <v>5.8929999999999998</v>
      </c>
      <c r="N177" s="6">
        <v>5.8929999999999998</v>
      </c>
      <c r="O177" s="6">
        <v>5.8929999999999998</v>
      </c>
      <c r="P177" s="6">
        <v>0</v>
      </c>
      <c r="Q177" s="4" t="s">
        <v>26</v>
      </c>
      <c r="R177" s="4">
        <v>0</v>
      </c>
      <c r="S177" s="4" t="s">
        <v>229</v>
      </c>
      <c r="T177" s="4" t="s">
        <v>434</v>
      </c>
      <c r="U177" s="4">
        <v>0</v>
      </c>
      <c r="V177" s="4">
        <v>29</v>
      </c>
      <c r="W177" s="4">
        <v>66</v>
      </c>
    </row>
    <row r="178" spans="1:23" ht="11.25" customHeight="1" x14ac:dyDescent="0.25">
      <c r="A178" s="4" t="s">
        <v>21</v>
      </c>
      <c r="B178" s="4" t="s">
        <v>41</v>
      </c>
      <c r="C178" s="4" t="s">
        <v>23</v>
      </c>
      <c r="D178" s="4" t="s">
        <v>42</v>
      </c>
      <c r="E178" s="4" t="s">
        <v>50</v>
      </c>
      <c r="F178" s="4" t="s">
        <v>52</v>
      </c>
      <c r="G178" s="4" t="s">
        <v>25</v>
      </c>
      <c r="H178" s="4" t="s">
        <v>25</v>
      </c>
      <c r="I178" s="5">
        <v>44317</v>
      </c>
      <c r="J178" s="6">
        <v>0</v>
      </c>
      <c r="K178" s="6">
        <v>0</v>
      </c>
      <c r="L178" s="6">
        <v>0.34399999999999997</v>
      </c>
      <c r="M178" s="6">
        <v>9.2880000000000004E-2</v>
      </c>
      <c r="N178" s="6">
        <v>0.34399999999999997</v>
      </c>
      <c r="O178" s="6">
        <v>9.2880000000000004E-2</v>
      </c>
      <c r="P178" s="6">
        <v>0</v>
      </c>
      <c r="Q178" s="4" t="s">
        <v>26</v>
      </c>
      <c r="R178" s="4">
        <v>0</v>
      </c>
      <c r="S178" s="4" t="s">
        <v>218</v>
      </c>
      <c r="T178" s="4" t="s">
        <v>423</v>
      </c>
      <c r="U178" s="4">
        <v>0</v>
      </c>
      <c r="V178" s="4">
        <v>29</v>
      </c>
      <c r="W178" s="4">
        <v>66</v>
      </c>
    </row>
    <row r="179" spans="1:23" ht="11.25" customHeight="1" x14ac:dyDescent="0.25">
      <c r="A179" s="4" t="s">
        <v>21</v>
      </c>
      <c r="B179" s="4" t="s">
        <v>41</v>
      </c>
      <c r="C179" s="4" t="s">
        <v>23</v>
      </c>
      <c r="D179" s="4" t="s">
        <v>42</v>
      </c>
      <c r="E179" s="4" t="s">
        <v>50</v>
      </c>
      <c r="F179" s="4" t="s">
        <v>52</v>
      </c>
      <c r="G179" s="4" t="s">
        <v>25</v>
      </c>
      <c r="H179" s="4" t="s">
        <v>25</v>
      </c>
      <c r="I179" s="5">
        <v>44348</v>
      </c>
      <c r="J179" s="6">
        <v>0</v>
      </c>
      <c r="K179" s="6">
        <v>0</v>
      </c>
      <c r="L179" s="6">
        <v>0.34200000000000003</v>
      </c>
      <c r="M179" s="6">
        <v>9.2340000000000005E-2</v>
      </c>
      <c r="N179" s="6">
        <v>0.34200000000000003</v>
      </c>
      <c r="O179" s="6">
        <v>9.2340000000000005E-2</v>
      </c>
      <c r="P179" s="6">
        <v>0</v>
      </c>
      <c r="Q179" s="4" t="s">
        <v>26</v>
      </c>
      <c r="R179" s="4">
        <v>0</v>
      </c>
      <c r="S179" s="4" t="s">
        <v>219</v>
      </c>
      <c r="T179" s="4" t="s">
        <v>424</v>
      </c>
      <c r="U179" s="4">
        <v>0</v>
      </c>
      <c r="V179" s="4">
        <v>29</v>
      </c>
      <c r="W179" s="4">
        <v>66</v>
      </c>
    </row>
    <row r="180" spans="1:23" ht="11.25" customHeight="1" x14ac:dyDescent="0.25">
      <c r="A180" s="4" t="s">
        <v>21</v>
      </c>
      <c r="B180" s="4" t="s">
        <v>41</v>
      </c>
      <c r="C180" s="4" t="s">
        <v>23</v>
      </c>
      <c r="D180" s="4" t="s">
        <v>42</v>
      </c>
      <c r="E180" s="4" t="s">
        <v>50</v>
      </c>
      <c r="F180" s="4" t="s">
        <v>52</v>
      </c>
      <c r="G180" s="4" t="s">
        <v>25</v>
      </c>
      <c r="H180" s="4" t="s">
        <v>25</v>
      </c>
      <c r="I180" s="5">
        <v>44378</v>
      </c>
      <c r="J180" s="6">
        <v>0</v>
      </c>
      <c r="K180" s="6">
        <v>0</v>
      </c>
      <c r="L180" s="6">
        <v>0.56999999999999995</v>
      </c>
      <c r="M180" s="6">
        <v>0.15390000000000001</v>
      </c>
      <c r="N180" s="6">
        <v>0.56999999999999995</v>
      </c>
      <c r="O180" s="6">
        <v>0.15390000000000001</v>
      </c>
      <c r="P180" s="6">
        <v>0</v>
      </c>
      <c r="Q180" s="4" t="s">
        <v>26</v>
      </c>
      <c r="R180" s="4">
        <v>0</v>
      </c>
      <c r="S180" s="4" t="s">
        <v>220</v>
      </c>
      <c r="T180" s="4" t="s">
        <v>425</v>
      </c>
      <c r="U180" s="4">
        <v>0</v>
      </c>
      <c r="V180" s="4">
        <v>29</v>
      </c>
      <c r="W180" s="4">
        <v>66</v>
      </c>
    </row>
    <row r="181" spans="1:23" ht="11.25" customHeight="1" x14ac:dyDescent="0.25">
      <c r="A181" s="4" t="s">
        <v>21</v>
      </c>
      <c r="B181" s="4" t="s">
        <v>41</v>
      </c>
      <c r="C181" s="4" t="s">
        <v>23</v>
      </c>
      <c r="D181" s="4" t="s">
        <v>42</v>
      </c>
      <c r="E181" s="4" t="s">
        <v>50</v>
      </c>
      <c r="F181" s="4" t="s">
        <v>52</v>
      </c>
      <c r="G181" s="4" t="s">
        <v>25</v>
      </c>
      <c r="H181" s="4" t="s">
        <v>25</v>
      </c>
      <c r="I181" s="5">
        <v>44409</v>
      </c>
      <c r="J181" s="6">
        <v>0</v>
      </c>
      <c r="K181" s="6">
        <v>0</v>
      </c>
      <c r="L181" s="6">
        <v>0.66600000000000004</v>
      </c>
      <c r="M181" s="6">
        <v>0.17982000000000001</v>
      </c>
      <c r="N181" s="6">
        <v>0.66600000000000004</v>
      </c>
      <c r="O181" s="6">
        <v>0.17982000000000001</v>
      </c>
      <c r="P181" s="6">
        <v>0</v>
      </c>
      <c r="Q181" s="4" t="s">
        <v>26</v>
      </c>
      <c r="R181" s="4">
        <v>0</v>
      </c>
      <c r="S181" s="4" t="s">
        <v>221</v>
      </c>
      <c r="T181" s="4" t="s">
        <v>426</v>
      </c>
      <c r="U181" s="4">
        <v>0</v>
      </c>
      <c r="V181" s="4">
        <v>29</v>
      </c>
      <c r="W181" s="4">
        <v>66</v>
      </c>
    </row>
    <row r="182" spans="1:23" ht="11.25" customHeight="1" x14ac:dyDescent="0.25">
      <c r="A182" s="4" t="s">
        <v>21</v>
      </c>
      <c r="B182" s="4" t="s">
        <v>41</v>
      </c>
      <c r="C182" s="4" t="s">
        <v>23</v>
      </c>
      <c r="D182" s="4" t="s">
        <v>42</v>
      </c>
      <c r="E182" s="4" t="s">
        <v>50</v>
      </c>
      <c r="F182" s="4" t="s">
        <v>52</v>
      </c>
      <c r="G182" s="4" t="s">
        <v>25</v>
      </c>
      <c r="H182" s="4" t="s">
        <v>25</v>
      </c>
      <c r="I182" s="5">
        <v>44440</v>
      </c>
      <c r="J182" s="6">
        <v>0</v>
      </c>
      <c r="K182" s="6">
        <v>0</v>
      </c>
      <c r="L182" s="6">
        <v>1.4950000000000001</v>
      </c>
      <c r="M182" s="6">
        <v>0.40365000000000001</v>
      </c>
      <c r="N182" s="6">
        <v>1.4950000000000001</v>
      </c>
      <c r="O182" s="6">
        <v>0.40365000000000001</v>
      </c>
      <c r="P182" s="6">
        <v>0</v>
      </c>
      <c r="Q182" s="4" t="s">
        <v>26</v>
      </c>
      <c r="R182" s="4">
        <v>0</v>
      </c>
      <c r="S182" s="4" t="s">
        <v>222</v>
      </c>
      <c r="T182" s="4" t="s">
        <v>427</v>
      </c>
      <c r="U182" s="4">
        <v>0</v>
      </c>
      <c r="V182" s="4">
        <v>29</v>
      </c>
      <c r="W182" s="4">
        <v>66</v>
      </c>
    </row>
    <row r="183" spans="1:23" ht="11.25" customHeight="1" x14ac:dyDescent="0.25">
      <c r="A183" s="4" t="s">
        <v>21</v>
      </c>
      <c r="B183" s="4" t="s">
        <v>41</v>
      </c>
      <c r="C183" s="4" t="s">
        <v>23</v>
      </c>
      <c r="D183" s="4" t="s">
        <v>42</v>
      </c>
      <c r="E183" s="4" t="s">
        <v>50</v>
      </c>
      <c r="F183" s="4" t="s">
        <v>52</v>
      </c>
      <c r="G183" s="4" t="s">
        <v>25</v>
      </c>
      <c r="H183" s="4" t="s">
        <v>25</v>
      </c>
      <c r="I183" s="5">
        <v>44470</v>
      </c>
      <c r="J183" s="6">
        <v>0</v>
      </c>
      <c r="K183" s="6">
        <v>0</v>
      </c>
      <c r="L183" s="6">
        <v>7.0389999999999997</v>
      </c>
      <c r="M183" s="6">
        <v>1.9005300000000001</v>
      </c>
      <c r="N183" s="6">
        <v>7.0389999999999997</v>
      </c>
      <c r="O183" s="6">
        <v>1.9005300000000001</v>
      </c>
      <c r="P183" s="6">
        <v>0</v>
      </c>
      <c r="Q183" s="4" t="s">
        <v>26</v>
      </c>
      <c r="R183" s="4">
        <v>0</v>
      </c>
      <c r="S183" s="4" t="s">
        <v>223</v>
      </c>
      <c r="T183" s="4" t="s">
        <v>428</v>
      </c>
      <c r="U183" s="4">
        <v>0</v>
      </c>
      <c r="V183" s="4">
        <v>29</v>
      </c>
      <c r="W183" s="4">
        <v>66</v>
      </c>
    </row>
    <row r="184" spans="1:23" ht="11.25" customHeight="1" x14ac:dyDescent="0.25">
      <c r="A184" s="4" t="s">
        <v>21</v>
      </c>
      <c r="B184" s="4" t="s">
        <v>41</v>
      </c>
      <c r="C184" s="4" t="s">
        <v>23</v>
      </c>
      <c r="D184" s="4" t="s">
        <v>42</v>
      </c>
      <c r="E184" s="4" t="s">
        <v>50</v>
      </c>
      <c r="F184" s="4" t="s">
        <v>52</v>
      </c>
      <c r="G184" s="4" t="s">
        <v>25</v>
      </c>
      <c r="H184" s="4" t="s">
        <v>25</v>
      </c>
      <c r="I184" s="5">
        <v>44501</v>
      </c>
      <c r="J184" s="6">
        <v>0</v>
      </c>
      <c r="K184" s="6">
        <v>0</v>
      </c>
      <c r="L184" s="6">
        <v>6.0309999999999997</v>
      </c>
      <c r="M184" s="6">
        <v>1.6283700000000001</v>
      </c>
      <c r="N184" s="6">
        <v>6.0309999999999997</v>
      </c>
      <c r="O184" s="6">
        <v>1.6283700000000001</v>
      </c>
      <c r="P184" s="6">
        <v>0</v>
      </c>
      <c r="Q184" s="4" t="s">
        <v>26</v>
      </c>
      <c r="R184" s="4">
        <v>0</v>
      </c>
      <c r="S184" s="4" t="s">
        <v>224</v>
      </c>
      <c r="T184" s="4" t="s">
        <v>429</v>
      </c>
      <c r="U184" s="4">
        <v>0</v>
      </c>
      <c r="V184" s="4">
        <v>29</v>
      </c>
      <c r="W184" s="4">
        <v>66</v>
      </c>
    </row>
    <row r="185" spans="1:23" ht="11.25" customHeight="1" x14ac:dyDescent="0.25">
      <c r="A185" s="4" t="s">
        <v>21</v>
      </c>
      <c r="B185" s="4" t="s">
        <v>41</v>
      </c>
      <c r="C185" s="4" t="s">
        <v>23</v>
      </c>
      <c r="D185" s="4" t="s">
        <v>42</v>
      </c>
      <c r="E185" s="4" t="s">
        <v>50</v>
      </c>
      <c r="F185" s="4" t="s">
        <v>52</v>
      </c>
      <c r="G185" s="4" t="s">
        <v>25</v>
      </c>
      <c r="H185" s="4" t="s">
        <v>25</v>
      </c>
      <c r="I185" s="5">
        <v>44531</v>
      </c>
      <c r="J185" s="6">
        <v>0</v>
      </c>
      <c r="K185" s="6">
        <v>0</v>
      </c>
      <c r="L185" s="6">
        <v>5.9320000000000004</v>
      </c>
      <c r="M185" s="6">
        <v>1.60164</v>
      </c>
      <c r="N185" s="6">
        <v>5.9320000000000004</v>
      </c>
      <c r="O185" s="6">
        <v>1.60164</v>
      </c>
      <c r="P185" s="6">
        <v>0</v>
      </c>
      <c r="Q185" s="4" t="s">
        <v>26</v>
      </c>
      <c r="R185" s="4">
        <v>0</v>
      </c>
      <c r="S185" s="4" t="s">
        <v>225</v>
      </c>
      <c r="T185" s="4" t="s">
        <v>430</v>
      </c>
      <c r="U185" s="4">
        <v>0</v>
      </c>
      <c r="V185" s="4">
        <v>29</v>
      </c>
      <c r="W185" s="4">
        <v>66</v>
      </c>
    </row>
    <row r="186" spans="1:23" ht="11.25" customHeight="1" x14ac:dyDescent="0.25">
      <c r="A186" s="4" t="s">
        <v>21</v>
      </c>
      <c r="B186" s="4" t="s">
        <v>41</v>
      </c>
      <c r="C186" s="4" t="s">
        <v>23</v>
      </c>
      <c r="D186" s="4" t="s">
        <v>42</v>
      </c>
      <c r="E186" s="4" t="s">
        <v>50</v>
      </c>
      <c r="F186" s="4" t="s">
        <v>52</v>
      </c>
      <c r="G186" s="4" t="s">
        <v>25</v>
      </c>
      <c r="H186" s="4" t="s">
        <v>25</v>
      </c>
      <c r="I186" s="5">
        <v>44562</v>
      </c>
      <c r="J186" s="6">
        <v>0</v>
      </c>
      <c r="K186" s="6">
        <v>0</v>
      </c>
      <c r="L186" s="6">
        <v>8.2620000000000005</v>
      </c>
      <c r="M186" s="6">
        <v>2.2307399999999999</v>
      </c>
      <c r="N186" s="6">
        <v>8.2620000000000005</v>
      </c>
      <c r="O186" s="6">
        <v>2.2307399999999999</v>
      </c>
      <c r="P186" s="6">
        <v>0</v>
      </c>
      <c r="Q186" s="4" t="s">
        <v>26</v>
      </c>
      <c r="R186" s="4">
        <v>0</v>
      </c>
      <c r="S186" s="4" t="s">
        <v>226</v>
      </c>
      <c r="T186" s="4" t="s">
        <v>431</v>
      </c>
      <c r="U186" s="4">
        <v>0</v>
      </c>
      <c r="V186" s="4">
        <v>29</v>
      </c>
      <c r="W186" s="4">
        <v>66</v>
      </c>
    </row>
    <row r="187" spans="1:23" ht="11.25" customHeight="1" x14ac:dyDescent="0.25">
      <c r="A187" s="4" t="s">
        <v>21</v>
      </c>
      <c r="B187" s="4" t="s">
        <v>41</v>
      </c>
      <c r="C187" s="4" t="s">
        <v>23</v>
      </c>
      <c r="D187" s="4" t="s">
        <v>42</v>
      </c>
      <c r="E187" s="4" t="s">
        <v>50</v>
      </c>
      <c r="F187" s="4" t="s">
        <v>52</v>
      </c>
      <c r="G187" s="4" t="s">
        <v>25</v>
      </c>
      <c r="H187" s="4" t="s">
        <v>25</v>
      </c>
      <c r="I187" s="5">
        <v>44593</v>
      </c>
      <c r="J187" s="6">
        <v>0</v>
      </c>
      <c r="K187" s="6">
        <v>0</v>
      </c>
      <c r="L187" s="6">
        <v>5.62</v>
      </c>
      <c r="M187" s="6">
        <v>1.5174000000000001</v>
      </c>
      <c r="N187" s="6">
        <v>5.62</v>
      </c>
      <c r="O187" s="6">
        <v>1.5174000000000001</v>
      </c>
      <c r="P187" s="6">
        <v>0</v>
      </c>
      <c r="Q187" s="4" t="s">
        <v>26</v>
      </c>
      <c r="R187" s="4">
        <v>0</v>
      </c>
      <c r="S187" s="4" t="s">
        <v>227</v>
      </c>
      <c r="T187" s="4" t="s">
        <v>432</v>
      </c>
      <c r="U187" s="4">
        <v>0</v>
      </c>
      <c r="V187" s="4">
        <v>29</v>
      </c>
      <c r="W187" s="4">
        <v>66</v>
      </c>
    </row>
    <row r="188" spans="1:23" ht="11.25" customHeight="1" x14ac:dyDescent="0.25">
      <c r="A188" s="4" t="s">
        <v>21</v>
      </c>
      <c r="B188" s="4" t="s">
        <v>41</v>
      </c>
      <c r="C188" s="4" t="s">
        <v>23</v>
      </c>
      <c r="D188" s="4" t="s">
        <v>42</v>
      </c>
      <c r="E188" s="4" t="s">
        <v>50</v>
      </c>
      <c r="F188" s="4" t="s">
        <v>52</v>
      </c>
      <c r="G188" s="4" t="s">
        <v>25</v>
      </c>
      <c r="H188" s="4" t="s">
        <v>25</v>
      </c>
      <c r="I188" s="5">
        <v>44621</v>
      </c>
      <c r="J188" s="6">
        <v>0</v>
      </c>
      <c r="K188" s="6">
        <v>0</v>
      </c>
      <c r="L188" s="6">
        <v>6.157</v>
      </c>
      <c r="M188" s="6">
        <v>1.66239</v>
      </c>
      <c r="N188" s="6">
        <v>6.157</v>
      </c>
      <c r="O188" s="6">
        <v>1.66239</v>
      </c>
      <c r="P188" s="6">
        <v>0</v>
      </c>
      <c r="Q188" s="4" t="s">
        <v>26</v>
      </c>
      <c r="R188" s="4">
        <v>0</v>
      </c>
      <c r="S188" s="4" t="s">
        <v>228</v>
      </c>
      <c r="T188" s="4" t="s">
        <v>433</v>
      </c>
      <c r="U188" s="4">
        <v>0</v>
      </c>
      <c r="V188" s="4">
        <v>29</v>
      </c>
      <c r="W188" s="4">
        <v>66</v>
      </c>
    </row>
    <row r="189" spans="1:23" ht="11.25" customHeight="1" x14ac:dyDescent="0.25">
      <c r="A189" s="4" t="s">
        <v>21</v>
      </c>
      <c r="B189" s="4" t="s">
        <v>41</v>
      </c>
      <c r="C189" s="4" t="s">
        <v>23</v>
      </c>
      <c r="D189" s="4" t="s">
        <v>42</v>
      </c>
      <c r="E189" s="4" t="s">
        <v>50</v>
      </c>
      <c r="F189" s="4" t="s">
        <v>52</v>
      </c>
      <c r="G189" s="4" t="s">
        <v>25</v>
      </c>
      <c r="H189" s="4" t="s">
        <v>25</v>
      </c>
      <c r="I189" s="5">
        <v>44652</v>
      </c>
      <c r="J189" s="6">
        <v>0</v>
      </c>
      <c r="K189" s="6">
        <v>0</v>
      </c>
      <c r="L189" s="6">
        <v>3.532</v>
      </c>
      <c r="M189" s="6">
        <v>0.95364000000000004</v>
      </c>
      <c r="N189" s="6">
        <v>3.532</v>
      </c>
      <c r="O189" s="6">
        <v>0.95364000000000004</v>
      </c>
      <c r="P189" s="6">
        <v>0</v>
      </c>
      <c r="Q189" s="4" t="s">
        <v>26</v>
      </c>
      <c r="R189" s="4">
        <v>0</v>
      </c>
      <c r="S189" s="4" t="s">
        <v>229</v>
      </c>
      <c r="T189" s="4" t="s">
        <v>434</v>
      </c>
      <c r="U189" s="4">
        <v>0</v>
      </c>
      <c r="V189" s="4">
        <v>29</v>
      </c>
      <c r="W189" s="4">
        <v>66</v>
      </c>
    </row>
    <row r="190" spans="1:23" ht="11.25" customHeight="1" x14ac:dyDescent="0.25">
      <c r="A190" s="4" t="s">
        <v>21</v>
      </c>
      <c r="B190" s="4" t="s">
        <v>41</v>
      </c>
      <c r="C190" s="4" t="s">
        <v>23</v>
      </c>
      <c r="D190" s="4" t="s">
        <v>42</v>
      </c>
      <c r="E190" s="4" t="s">
        <v>25</v>
      </c>
      <c r="F190" s="4" t="s">
        <v>25</v>
      </c>
      <c r="G190" s="4" t="s">
        <v>25</v>
      </c>
      <c r="H190" s="4" t="s">
        <v>25</v>
      </c>
      <c r="I190" s="5">
        <v>44317</v>
      </c>
      <c r="J190" s="6">
        <v>0</v>
      </c>
      <c r="K190" s="6">
        <v>0</v>
      </c>
      <c r="L190" s="6">
        <v>206.80799999999999</v>
      </c>
      <c r="M190" s="6">
        <v>206.80799999999999</v>
      </c>
      <c r="N190" s="6">
        <v>206.80799999999999</v>
      </c>
      <c r="O190" s="6">
        <v>206.80799999999999</v>
      </c>
      <c r="P190" s="6">
        <v>1819</v>
      </c>
      <c r="Q190" s="4" t="s">
        <v>26</v>
      </c>
      <c r="R190" s="4">
        <v>0</v>
      </c>
      <c r="S190" s="4" t="s">
        <v>218</v>
      </c>
      <c r="T190" s="4" t="s">
        <v>423</v>
      </c>
      <c r="U190" s="4">
        <v>0</v>
      </c>
      <c r="V190" s="4">
        <v>29</v>
      </c>
      <c r="W190" s="4">
        <v>66</v>
      </c>
    </row>
    <row r="191" spans="1:23" ht="11.25" customHeight="1" x14ac:dyDescent="0.25">
      <c r="A191" s="4" t="s">
        <v>21</v>
      </c>
      <c r="B191" s="4" t="s">
        <v>41</v>
      </c>
      <c r="C191" s="4" t="s">
        <v>23</v>
      </c>
      <c r="D191" s="4" t="s">
        <v>42</v>
      </c>
      <c r="E191" s="4" t="s">
        <v>25</v>
      </c>
      <c r="F191" s="4" t="s">
        <v>25</v>
      </c>
      <c r="G191" s="4" t="s">
        <v>25</v>
      </c>
      <c r="H191" s="4" t="s">
        <v>25</v>
      </c>
      <c r="I191" s="5">
        <v>44348</v>
      </c>
      <c r="J191" s="6">
        <v>0</v>
      </c>
      <c r="K191" s="6">
        <v>0</v>
      </c>
      <c r="L191" s="6">
        <v>202.642</v>
      </c>
      <c r="M191" s="6">
        <v>202.642</v>
      </c>
      <c r="N191" s="6">
        <v>202.642</v>
      </c>
      <c r="O191" s="6">
        <v>202.642</v>
      </c>
      <c r="P191" s="6">
        <v>1812</v>
      </c>
      <c r="Q191" s="4" t="s">
        <v>26</v>
      </c>
      <c r="R191" s="4">
        <v>0</v>
      </c>
      <c r="S191" s="4" t="s">
        <v>219</v>
      </c>
      <c r="T191" s="4" t="s">
        <v>424</v>
      </c>
      <c r="U191" s="4">
        <v>0</v>
      </c>
      <c r="V191" s="4">
        <v>29</v>
      </c>
      <c r="W191" s="4">
        <v>66</v>
      </c>
    </row>
    <row r="192" spans="1:23" ht="11.25" customHeight="1" x14ac:dyDescent="0.25">
      <c r="A192" s="4" t="s">
        <v>27</v>
      </c>
      <c r="B192" s="4" t="s">
        <v>41</v>
      </c>
      <c r="C192" s="4" t="s">
        <v>23</v>
      </c>
      <c r="D192" s="4" t="s">
        <v>42</v>
      </c>
      <c r="E192" s="4" t="s">
        <v>25</v>
      </c>
      <c r="F192" s="4" t="s">
        <v>25</v>
      </c>
      <c r="G192" s="4" t="s">
        <v>25</v>
      </c>
      <c r="H192" s="4" t="s">
        <v>25</v>
      </c>
      <c r="I192" s="5">
        <v>44348</v>
      </c>
      <c r="J192" s="6">
        <v>0</v>
      </c>
      <c r="K192" s="6">
        <v>0</v>
      </c>
      <c r="L192" s="6">
        <v>1.649</v>
      </c>
      <c r="M192" s="6">
        <v>1.649</v>
      </c>
      <c r="N192" s="6">
        <v>1.649</v>
      </c>
      <c r="O192" s="6">
        <v>1.649</v>
      </c>
      <c r="P192" s="6">
        <v>5</v>
      </c>
      <c r="Q192" s="4" t="s">
        <v>26</v>
      </c>
      <c r="R192" s="4">
        <v>0</v>
      </c>
      <c r="S192" s="4" t="s">
        <v>219</v>
      </c>
      <c r="T192" s="4" t="s">
        <v>424</v>
      </c>
      <c r="U192" s="4">
        <v>0</v>
      </c>
      <c r="V192" s="4">
        <v>29</v>
      </c>
      <c r="W192" s="4">
        <v>66</v>
      </c>
    </row>
    <row r="193" spans="1:23" ht="11.25" customHeight="1" x14ac:dyDescent="0.25">
      <c r="A193" s="4" t="s">
        <v>21</v>
      </c>
      <c r="B193" s="4" t="s">
        <v>41</v>
      </c>
      <c r="C193" s="4" t="s">
        <v>23</v>
      </c>
      <c r="D193" s="4" t="s">
        <v>42</v>
      </c>
      <c r="E193" s="4" t="s">
        <v>25</v>
      </c>
      <c r="F193" s="4" t="s">
        <v>25</v>
      </c>
      <c r="G193" s="4" t="s">
        <v>25</v>
      </c>
      <c r="H193" s="4" t="s">
        <v>25</v>
      </c>
      <c r="I193" s="5">
        <v>44378</v>
      </c>
      <c r="J193" s="6">
        <v>0</v>
      </c>
      <c r="K193" s="6">
        <v>0</v>
      </c>
      <c r="L193" s="6">
        <v>182.971</v>
      </c>
      <c r="M193" s="6">
        <v>182.971</v>
      </c>
      <c r="N193" s="6">
        <v>182.971</v>
      </c>
      <c r="O193" s="6">
        <v>182.971</v>
      </c>
      <c r="P193" s="6">
        <v>1807</v>
      </c>
      <c r="Q193" s="4" t="s">
        <v>26</v>
      </c>
      <c r="R193" s="4">
        <v>0</v>
      </c>
      <c r="S193" s="4" t="s">
        <v>220</v>
      </c>
      <c r="T193" s="4" t="s">
        <v>425</v>
      </c>
      <c r="U193" s="4">
        <v>0</v>
      </c>
      <c r="V193" s="4">
        <v>29</v>
      </c>
      <c r="W193" s="4">
        <v>66</v>
      </c>
    </row>
    <row r="194" spans="1:23" ht="11.25" customHeight="1" x14ac:dyDescent="0.25">
      <c r="A194" s="4" t="s">
        <v>27</v>
      </c>
      <c r="B194" s="4" t="s">
        <v>41</v>
      </c>
      <c r="C194" s="4" t="s">
        <v>23</v>
      </c>
      <c r="D194" s="4" t="s">
        <v>42</v>
      </c>
      <c r="E194" s="4" t="s">
        <v>25</v>
      </c>
      <c r="F194" s="4" t="s">
        <v>25</v>
      </c>
      <c r="G194" s="4" t="s">
        <v>25</v>
      </c>
      <c r="H194" s="4" t="s">
        <v>25</v>
      </c>
      <c r="I194" s="5">
        <v>44378</v>
      </c>
      <c r="J194" s="6">
        <v>0</v>
      </c>
      <c r="K194" s="6">
        <v>0</v>
      </c>
      <c r="L194" s="6">
        <v>1.875</v>
      </c>
      <c r="M194" s="6">
        <v>1.875</v>
      </c>
      <c r="N194" s="6">
        <v>1.875</v>
      </c>
      <c r="O194" s="6">
        <v>1.875</v>
      </c>
      <c r="P194" s="6">
        <v>6</v>
      </c>
      <c r="Q194" s="4" t="s">
        <v>26</v>
      </c>
      <c r="R194" s="4">
        <v>0</v>
      </c>
      <c r="S194" s="4" t="s">
        <v>220</v>
      </c>
      <c r="T194" s="4" t="s">
        <v>425</v>
      </c>
      <c r="U194" s="4">
        <v>0</v>
      </c>
      <c r="V194" s="4">
        <v>29</v>
      </c>
      <c r="W194" s="4">
        <v>66</v>
      </c>
    </row>
    <row r="195" spans="1:23" ht="11.25" customHeight="1" x14ac:dyDescent="0.25">
      <c r="A195" s="4" t="s">
        <v>21</v>
      </c>
      <c r="B195" s="4" t="s">
        <v>41</v>
      </c>
      <c r="C195" s="4" t="s">
        <v>23</v>
      </c>
      <c r="D195" s="4" t="s">
        <v>42</v>
      </c>
      <c r="E195" s="4" t="s">
        <v>25</v>
      </c>
      <c r="F195" s="4" t="s">
        <v>25</v>
      </c>
      <c r="G195" s="4" t="s">
        <v>25</v>
      </c>
      <c r="H195" s="4" t="s">
        <v>25</v>
      </c>
      <c r="I195" s="5">
        <v>44409</v>
      </c>
      <c r="J195" s="6">
        <v>0</v>
      </c>
      <c r="K195" s="6">
        <v>0</v>
      </c>
      <c r="L195" s="6">
        <v>181.00299999999999</v>
      </c>
      <c r="M195" s="6">
        <v>181.00299999999999</v>
      </c>
      <c r="N195" s="6">
        <v>181.00299999999999</v>
      </c>
      <c r="O195" s="6">
        <v>181.00299999999999</v>
      </c>
      <c r="P195" s="6">
        <v>1792</v>
      </c>
      <c r="Q195" s="4" t="s">
        <v>26</v>
      </c>
      <c r="R195" s="4">
        <v>0</v>
      </c>
      <c r="S195" s="4" t="s">
        <v>221</v>
      </c>
      <c r="T195" s="4" t="s">
        <v>426</v>
      </c>
      <c r="U195" s="4">
        <v>0</v>
      </c>
      <c r="V195" s="4">
        <v>29</v>
      </c>
      <c r="W195" s="4">
        <v>66</v>
      </c>
    </row>
    <row r="196" spans="1:23" ht="11.25" customHeight="1" x14ac:dyDescent="0.25">
      <c r="A196" s="4" t="s">
        <v>27</v>
      </c>
      <c r="B196" s="4" t="s">
        <v>41</v>
      </c>
      <c r="C196" s="4" t="s">
        <v>23</v>
      </c>
      <c r="D196" s="4" t="s">
        <v>42</v>
      </c>
      <c r="E196" s="4" t="s">
        <v>25</v>
      </c>
      <c r="F196" s="4" t="s">
        <v>25</v>
      </c>
      <c r="G196" s="4" t="s">
        <v>25</v>
      </c>
      <c r="H196" s="4" t="s">
        <v>25</v>
      </c>
      <c r="I196" s="5">
        <v>44409</v>
      </c>
      <c r="J196" s="6">
        <v>0</v>
      </c>
      <c r="K196" s="6">
        <v>0</v>
      </c>
      <c r="L196" s="6">
        <v>3.98</v>
      </c>
      <c r="M196" s="6">
        <v>3.98</v>
      </c>
      <c r="N196" s="6">
        <v>3.98</v>
      </c>
      <c r="O196" s="6">
        <v>3.98</v>
      </c>
      <c r="P196" s="6">
        <v>6</v>
      </c>
      <c r="Q196" s="4" t="s">
        <v>26</v>
      </c>
      <c r="R196" s="4">
        <v>0</v>
      </c>
      <c r="S196" s="4" t="s">
        <v>221</v>
      </c>
      <c r="T196" s="4" t="s">
        <v>426</v>
      </c>
      <c r="U196" s="4">
        <v>0</v>
      </c>
      <c r="V196" s="4">
        <v>29</v>
      </c>
      <c r="W196" s="4">
        <v>66</v>
      </c>
    </row>
    <row r="197" spans="1:23" ht="11.25" customHeight="1" x14ac:dyDescent="0.25">
      <c r="A197" s="4" t="s">
        <v>21</v>
      </c>
      <c r="B197" s="4" t="s">
        <v>41</v>
      </c>
      <c r="C197" s="4" t="s">
        <v>23</v>
      </c>
      <c r="D197" s="4" t="s">
        <v>42</v>
      </c>
      <c r="E197" s="4" t="s">
        <v>25</v>
      </c>
      <c r="F197" s="4" t="s">
        <v>25</v>
      </c>
      <c r="G197" s="4" t="s">
        <v>25</v>
      </c>
      <c r="H197" s="4" t="s">
        <v>25</v>
      </c>
      <c r="I197" s="5">
        <v>44440</v>
      </c>
      <c r="J197" s="6">
        <v>0</v>
      </c>
      <c r="K197" s="6">
        <v>0</v>
      </c>
      <c r="L197" s="6">
        <v>186.982</v>
      </c>
      <c r="M197" s="6">
        <v>186.982</v>
      </c>
      <c r="N197" s="6">
        <v>186.982</v>
      </c>
      <c r="O197" s="6">
        <v>186.982</v>
      </c>
      <c r="P197" s="6">
        <v>1778</v>
      </c>
      <c r="Q197" s="4" t="s">
        <v>26</v>
      </c>
      <c r="R197" s="4">
        <v>0</v>
      </c>
      <c r="S197" s="4" t="s">
        <v>222</v>
      </c>
      <c r="T197" s="4" t="s">
        <v>427</v>
      </c>
      <c r="U197" s="4">
        <v>0</v>
      </c>
      <c r="V197" s="4">
        <v>29</v>
      </c>
      <c r="W197" s="4">
        <v>66</v>
      </c>
    </row>
    <row r="198" spans="1:23" ht="11.25" customHeight="1" x14ac:dyDescent="0.25">
      <c r="A198" s="4" t="s">
        <v>27</v>
      </c>
      <c r="B198" s="4" t="s">
        <v>41</v>
      </c>
      <c r="C198" s="4" t="s">
        <v>23</v>
      </c>
      <c r="D198" s="4" t="s">
        <v>42</v>
      </c>
      <c r="E198" s="4" t="s">
        <v>25</v>
      </c>
      <c r="F198" s="4" t="s">
        <v>25</v>
      </c>
      <c r="G198" s="4" t="s">
        <v>25</v>
      </c>
      <c r="H198" s="4" t="s">
        <v>25</v>
      </c>
      <c r="I198" s="5">
        <v>44440</v>
      </c>
      <c r="J198" s="6">
        <v>0</v>
      </c>
      <c r="K198" s="6">
        <v>0</v>
      </c>
      <c r="L198" s="6">
        <v>3.367</v>
      </c>
      <c r="M198" s="6">
        <v>3.367</v>
      </c>
      <c r="N198" s="6">
        <v>3.367</v>
      </c>
      <c r="O198" s="6">
        <v>3.367</v>
      </c>
      <c r="P198" s="6">
        <v>7</v>
      </c>
      <c r="Q198" s="4" t="s">
        <v>26</v>
      </c>
      <c r="R198" s="4">
        <v>0</v>
      </c>
      <c r="S198" s="4" t="s">
        <v>222</v>
      </c>
      <c r="T198" s="4" t="s">
        <v>427</v>
      </c>
      <c r="U198" s="4">
        <v>0</v>
      </c>
      <c r="V198" s="4">
        <v>29</v>
      </c>
      <c r="W198" s="4">
        <v>66</v>
      </c>
    </row>
    <row r="199" spans="1:23" ht="11.25" customHeight="1" x14ac:dyDescent="0.25">
      <c r="A199" s="4" t="s">
        <v>21</v>
      </c>
      <c r="B199" s="4" t="s">
        <v>41</v>
      </c>
      <c r="C199" s="4" t="s">
        <v>23</v>
      </c>
      <c r="D199" s="4" t="s">
        <v>42</v>
      </c>
      <c r="E199" s="4" t="s">
        <v>25</v>
      </c>
      <c r="F199" s="4" t="s">
        <v>25</v>
      </c>
      <c r="G199" s="4" t="s">
        <v>25</v>
      </c>
      <c r="H199" s="4" t="s">
        <v>25</v>
      </c>
      <c r="I199" s="5">
        <v>44470</v>
      </c>
      <c r="J199" s="6">
        <v>0</v>
      </c>
      <c r="K199" s="6">
        <v>0</v>
      </c>
      <c r="L199" s="6">
        <v>193.477</v>
      </c>
      <c r="M199" s="6">
        <v>193.477</v>
      </c>
      <c r="N199" s="6">
        <v>193.477</v>
      </c>
      <c r="O199" s="6">
        <v>193.477</v>
      </c>
      <c r="P199" s="6">
        <v>1761</v>
      </c>
      <c r="Q199" s="4" t="s">
        <v>26</v>
      </c>
      <c r="R199" s="4">
        <v>0</v>
      </c>
      <c r="S199" s="4" t="s">
        <v>223</v>
      </c>
      <c r="T199" s="4" t="s">
        <v>428</v>
      </c>
      <c r="U199" s="4">
        <v>0</v>
      </c>
      <c r="V199" s="4">
        <v>29</v>
      </c>
      <c r="W199" s="4">
        <v>66</v>
      </c>
    </row>
    <row r="200" spans="1:23" ht="11.25" customHeight="1" x14ac:dyDescent="0.25">
      <c r="A200" s="4" t="s">
        <v>27</v>
      </c>
      <c r="B200" s="4" t="s">
        <v>41</v>
      </c>
      <c r="C200" s="4" t="s">
        <v>23</v>
      </c>
      <c r="D200" s="4" t="s">
        <v>42</v>
      </c>
      <c r="E200" s="4" t="s">
        <v>25</v>
      </c>
      <c r="F200" s="4" t="s">
        <v>25</v>
      </c>
      <c r="G200" s="4" t="s">
        <v>25</v>
      </c>
      <c r="H200" s="4" t="s">
        <v>25</v>
      </c>
      <c r="I200" s="5">
        <v>44470</v>
      </c>
      <c r="J200" s="6">
        <v>0</v>
      </c>
      <c r="K200" s="6">
        <v>0</v>
      </c>
      <c r="L200" s="6">
        <v>1.6419999999999999</v>
      </c>
      <c r="M200" s="6">
        <v>1.6419999999999999</v>
      </c>
      <c r="N200" s="6">
        <v>1.6419999999999999</v>
      </c>
      <c r="O200" s="6">
        <v>1.6419999999999999</v>
      </c>
      <c r="P200" s="6">
        <v>7</v>
      </c>
      <c r="Q200" s="4" t="s">
        <v>26</v>
      </c>
      <c r="R200" s="4">
        <v>0</v>
      </c>
      <c r="S200" s="4" t="s">
        <v>223</v>
      </c>
      <c r="T200" s="4" t="s">
        <v>428</v>
      </c>
      <c r="U200" s="4">
        <v>0</v>
      </c>
      <c r="V200" s="4">
        <v>29</v>
      </c>
      <c r="W200" s="4">
        <v>66</v>
      </c>
    </row>
    <row r="201" spans="1:23" ht="11.25" customHeight="1" x14ac:dyDescent="0.25">
      <c r="A201" s="4" t="s">
        <v>21</v>
      </c>
      <c r="B201" s="4" t="s">
        <v>41</v>
      </c>
      <c r="C201" s="4" t="s">
        <v>23</v>
      </c>
      <c r="D201" s="4" t="s">
        <v>42</v>
      </c>
      <c r="E201" s="4" t="s">
        <v>25</v>
      </c>
      <c r="F201" s="4" t="s">
        <v>25</v>
      </c>
      <c r="G201" s="4" t="s">
        <v>25</v>
      </c>
      <c r="H201" s="4" t="s">
        <v>25</v>
      </c>
      <c r="I201" s="5">
        <v>44501</v>
      </c>
      <c r="J201" s="6">
        <v>0</v>
      </c>
      <c r="K201" s="6">
        <v>0</v>
      </c>
      <c r="L201" s="6">
        <v>233.98599999999999</v>
      </c>
      <c r="M201" s="6">
        <v>233.98599999999999</v>
      </c>
      <c r="N201" s="6">
        <v>233.98599999999999</v>
      </c>
      <c r="O201" s="6">
        <v>233.98599999999999</v>
      </c>
      <c r="P201" s="6">
        <v>1752</v>
      </c>
      <c r="Q201" s="4" t="s">
        <v>26</v>
      </c>
      <c r="R201" s="4">
        <v>0</v>
      </c>
      <c r="S201" s="4" t="s">
        <v>224</v>
      </c>
      <c r="T201" s="4" t="s">
        <v>429</v>
      </c>
      <c r="U201" s="4">
        <v>0</v>
      </c>
      <c r="V201" s="4">
        <v>29</v>
      </c>
      <c r="W201" s="4">
        <v>66</v>
      </c>
    </row>
    <row r="202" spans="1:23" ht="11.25" customHeight="1" x14ac:dyDescent="0.25">
      <c r="A202" s="4" t="s">
        <v>27</v>
      </c>
      <c r="B202" s="4" t="s">
        <v>41</v>
      </c>
      <c r="C202" s="4" t="s">
        <v>23</v>
      </c>
      <c r="D202" s="4" t="s">
        <v>42</v>
      </c>
      <c r="E202" s="4" t="s">
        <v>25</v>
      </c>
      <c r="F202" s="4" t="s">
        <v>25</v>
      </c>
      <c r="G202" s="4" t="s">
        <v>25</v>
      </c>
      <c r="H202" s="4" t="s">
        <v>25</v>
      </c>
      <c r="I202" s="5">
        <v>44501</v>
      </c>
      <c r="J202" s="6">
        <v>0</v>
      </c>
      <c r="K202" s="6">
        <v>0</v>
      </c>
      <c r="L202" s="6">
        <v>5.5339999999999998</v>
      </c>
      <c r="M202" s="6">
        <v>5.5339999999999998</v>
      </c>
      <c r="N202" s="6">
        <v>5.5339999999999998</v>
      </c>
      <c r="O202" s="6">
        <v>5.5339999999999998</v>
      </c>
      <c r="P202" s="6">
        <v>7</v>
      </c>
      <c r="Q202" s="4" t="s">
        <v>26</v>
      </c>
      <c r="R202" s="4">
        <v>0</v>
      </c>
      <c r="S202" s="4" t="s">
        <v>224</v>
      </c>
      <c r="T202" s="4" t="s">
        <v>429</v>
      </c>
      <c r="U202" s="4">
        <v>0</v>
      </c>
      <c r="V202" s="4">
        <v>29</v>
      </c>
      <c r="W202" s="4">
        <v>66</v>
      </c>
    </row>
    <row r="203" spans="1:23" ht="11.25" customHeight="1" x14ac:dyDescent="0.25">
      <c r="A203" s="4" t="s">
        <v>21</v>
      </c>
      <c r="B203" s="4" t="s">
        <v>41</v>
      </c>
      <c r="C203" s="4" t="s">
        <v>23</v>
      </c>
      <c r="D203" s="4" t="s">
        <v>42</v>
      </c>
      <c r="E203" s="4" t="s">
        <v>25</v>
      </c>
      <c r="F203" s="4" t="s">
        <v>25</v>
      </c>
      <c r="G203" s="4" t="s">
        <v>25</v>
      </c>
      <c r="H203" s="4" t="s">
        <v>25</v>
      </c>
      <c r="I203" s="5">
        <v>44531</v>
      </c>
      <c r="J203" s="6">
        <v>0</v>
      </c>
      <c r="K203" s="6">
        <v>0</v>
      </c>
      <c r="L203" s="6">
        <v>212.27</v>
      </c>
      <c r="M203" s="6">
        <v>212.27</v>
      </c>
      <c r="N203" s="6">
        <v>212.27</v>
      </c>
      <c r="O203" s="6">
        <v>212.27</v>
      </c>
      <c r="P203" s="6">
        <v>1736</v>
      </c>
      <c r="Q203" s="4" t="s">
        <v>26</v>
      </c>
      <c r="R203" s="4">
        <v>0</v>
      </c>
      <c r="S203" s="4" t="s">
        <v>225</v>
      </c>
      <c r="T203" s="4" t="s">
        <v>430</v>
      </c>
      <c r="U203" s="4">
        <v>0</v>
      </c>
      <c r="V203" s="4">
        <v>29</v>
      </c>
      <c r="W203" s="4">
        <v>66</v>
      </c>
    </row>
    <row r="204" spans="1:23" ht="11.25" customHeight="1" x14ac:dyDescent="0.25">
      <c r="A204" s="4" t="s">
        <v>27</v>
      </c>
      <c r="B204" s="4" t="s">
        <v>41</v>
      </c>
      <c r="C204" s="4" t="s">
        <v>23</v>
      </c>
      <c r="D204" s="4" t="s">
        <v>42</v>
      </c>
      <c r="E204" s="4" t="s">
        <v>25</v>
      </c>
      <c r="F204" s="4" t="s">
        <v>25</v>
      </c>
      <c r="G204" s="4" t="s">
        <v>25</v>
      </c>
      <c r="H204" s="4" t="s">
        <v>25</v>
      </c>
      <c r="I204" s="5">
        <v>44531</v>
      </c>
      <c r="J204" s="6">
        <v>0</v>
      </c>
      <c r="K204" s="6">
        <v>0</v>
      </c>
      <c r="L204" s="6">
        <v>0.88800000000000001</v>
      </c>
      <c r="M204" s="6">
        <v>0.88800000000000001</v>
      </c>
      <c r="N204" s="6">
        <v>0.88800000000000001</v>
      </c>
      <c r="O204" s="6">
        <v>0.88800000000000001</v>
      </c>
      <c r="P204" s="6">
        <v>8</v>
      </c>
      <c r="Q204" s="4" t="s">
        <v>26</v>
      </c>
      <c r="R204" s="4">
        <v>0</v>
      </c>
      <c r="S204" s="4" t="s">
        <v>225</v>
      </c>
      <c r="T204" s="4" t="s">
        <v>430</v>
      </c>
      <c r="U204" s="4">
        <v>0</v>
      </c>
      <c r="V204" s="4">
        <v>29</v>
      </c>
      <c r="W204" s="4">
        <v>66</v>
      </c>
    </row>
    <row r="205" spans="1:23" ht="11.25" customHeight="1" x14ac:dyDescent="0.25">
      <c r="A205" s="4" t="s">
        <v>21</v>
      </c>
      <c r="B205" s="4" t="s">
        <v>41</v>
      </c>
      <c r="C205" s="4" t="s">
        <v>23</v>
      </c>
      <c r="D205" s="4" t="s">
        <v>42</v>
      </c>
      <c r="E205" s="4" t="s">
        <v>25</v>
      </c>
      <c r="F205" s="4" t="s">
        <v>25</v>
      </c>
      <c r="G205" s="4" t="s">
        <v>25</v>
      </c>
      <c r="H205" s="4" t="s">
        <v>25</v>
      </c>
      <c r="I205" s="5">
        <v>44562</v>
      </c>
      <c r="J205" s="6">
        <v>0</v>
      </c>
      <c r="K205" s="6">
        <v>0</v>
      </c>
      <c r="L205" s="6">
        <v>196.99100000000001</v>
      </c>
      <c r="M205" s="6">
        <v>196.99100000000001</v>
      </c>
      <c r="N205" s="6">
        <v>196.99100000000001</v>
      </c>
      <c r="O205" s="6">
        <v>196.99100000000001</v>
      </c>
      <c r="P205" s="6">
        <v>1715</v>
      </c>
      <c r="Q205" s="4" t="s">
        <v>26</v>
      </c>
      <c r="R205" s="4">
        <v>0</v>
      </c>
      <c r="S205" s="4" t="s">
        <v>226</v>
      </c>
      <c r="T205" s="4" t="s">
        <v>431</v>
      </c>
      <c r="U205" s="4">
        <v>0</v>
      </c>
      <c r="V205" s="4">
        <v>29</v>
      </c>
      <c r="W205" s="4">
        <v>66</v>
      </c>
    </row>
    <row r="206" spans="1:23" ht="11.25" customHeight="1" x14ac:dyDescent="0.25">
      <c r="A206" s="4" t="s">
        <v>27</v>
      </c>
      <c r="B206" s="4" t="s">
        <v>41</v>
      </c>
      <c r="C206" s="4" t="s">
        <v>23</v>
      </c>
      <c r="D206" s="4" t="s">
        <v>42</v>
      </c>
      <c r="E206" s="4" t="s">
        <v>25</v>
      </c>
      <c r="F206" s="4" t="s">
        <v>25</v>
      </c>
      <c r="G206" s="4" t="s">
        <v>25</v>
      </c>
      <c r="H206" s="4" t="s">
        <v>25</v>
      </c>
      <c r="I206" s="5">
        <v>44562</v>
      </c>
      <c r="J206" s="6">
        <v>0</v>
      </c>
      <c r="K206" s="6">
        <v>0</v>
      </c>
      <c r="L206" s="6">
        <v>8.8620000000000001</v>
      </c>
      <c r="M206" s="6">
        <v>8.8620000000000001</v>
      </c>
      <c r="N206" s="6">
        <v>8.8620000000000001</v>
      </c>
      <c r="O206" s="6">
        <v>8.8620000000000001</v>
      </c>
      <c r="P206" s="6">
        <v>8</v>
      </c>
      <c r="Q206" s="4" t="s">
        <v>26</v>
      </c>
      <c r="R206" s="4">
        <v>0</v>
      </c>
      <c r="S206" s="4" t="s">
        <v>226</v>
      </c>
      <c r="T206" s="4" t="s">
        <v>431</v>
      </c>
      <c r="U206" s="4">
        <v>0</v>
      </c>
      <c r="V206" s="4">
        <v>29</v>
      </c>
      <c r="W206" s="4">
        <v>66</v>
      </c>
    </row>
    <row r="207" spans="1:23" ht="11.25" customHeight="1" x14ac:dyDescent="0.25">
      <c r="A207" s="4" t="s">
        <v>21</v>
      </c>
      <c r="B207" s="4" t="s">
        <v>41</v>
      </c>
      <c r="C207" s="4" t="s">
        <v>23</v>
      </c>
      <c r="D207" s="4" t="s">
        <v>42</v>
      </c>
      <c r="E207" s="4" t="s">
        <v>25</v>
      </c>
      <c r="F207" s="4" t="s">
        <v>25</v>
      </c>
      <c r="G207" s="4" t="s">
        <v>25</v>
      </c>
      <c r="H207" s="4" t="s">
        <v>25</v>
      </c>
      <c r="I207" s="5">
        <v>44593</v>
      </c>
      <c r="J207" s="6">
        <v>0</v>
      </c>
      <c r="K207" s="6">
        <v>0</v>
      </c>
      <c r="L207" s="6">
        <v>194.405</v>
      </c>
      <c r="M207" s="6">
        <v>194.405</v>
      </c>
      <c r="N207" s="6">
        <v>194.405</v>
      </c>
      <c r="O207" s="6">
        <v>194.405</v>
      </c>
      <c r="P207" s="6">
        <v>1596</v>
      </c>
      <c r="Q207" s="4" t="s">
        <v>26</v>
      </c>
      <c r="R207" s="4">
        <v>0</v>
      </c>
      <c r="S207" s="4" t="s">
        <v>227</v>
      </c>
      <c r="T207" s="4" t="s">
        <v>432</v>
      </c>
      <c r="U207" s="4">
        <v>0</v>
      </c>
      <c r="V207" s="4">
        <v>29</v>
      </c>
      <c r="W207" s="4">
        <v>66</v>
      </c>
    </row>
    <row r="208" spans="1:23" ht="11.25" customHeight="1" x14ac:dyDescent="0.25">
      <c r="A208" s="4" t="s">
        <v>27</v>
      </c>
      <c r="B208" s="4" t="s">
        <v>41</v>
      </c>
      <c r="C208" s="4" t="s">
        <v>23</v>
      </c>
      <c r="D208" s="4" t="s">
        <v>42</v>
      </c>
      <c r="E208" s="4" t="s">
        <v>25</v>
      </c>
      <c r="F208" s="4" t="s">
        <v>25</v>
      </c>
      <c r="G208" s="4" t="s">
        <v>25</v>
      </c>
      <c r="H208" s="4" t="s">
        <v>25</v>
      </c>
      <c r="I208" s="5">
        <v>44593</v>
      </c>
      <c r="J208" s="6">
        <v>0</v>
      </c>
      <c r="K208" s="6">
        <v>0</v>
      </c>
      <c r="L208" s="6">
        <v>10.568</v>
      </c>
      <c r="M208" s="6">
        <v>10.568</v>
      </c>
      <c r="N208" s="6">
        <v>10.568</v>
      </c>
      <c r="O208" s="6">
        <v>10.568</v>
      </c>
      <c r="P208" s="6">
        <v>8</v>
      </c>
      <c r="Q208" s="4" t="s">
        <v>26</v>
      </c>
      <c r="R208" s="4">
        <v>0</v>
      </c>
      <c r="S208" s="4" t="s">
        <v>227</v>
      </c>
      <c r="T208" s="4" t="s">
        <v>432</v>
      </c>
      <c r="U208" s="4">
        <v>0</v>
      </c>
      <c r="V208" s="4">
        <v>29</v>
      </c>
      <c r="W208" s="4">
        <v>66</v>
      </c>
    </row>
    <row r="209" spans="1:23" ht="11.25" customHeight="1" x14ac:dyDescent="0.25">
      <c r="A209" s="4" t="s">
        <v>21</v>
      </c>
      <c r="B209" s="4" t="s">
        <v>41</v>
      </c>
      <c r="C209" s="4" t="s">
        <v>23</v>
      </c>
      <c r="D209" s="4" t="s">
        <v>42</v>
      </c>
      <c r="E209" s="4" t="s">
        <v>25</v>
      </c>
      <c r="F209" s="4" t="s">
        <v>25</v>
      </c>
      <c r="G209" s="4" t="s">
        <v>25</v>
      </c>
      <c r="H209" s="4" t="s">
        <v>25</v>
      </c>
      <c r="I209" s="5">
        <v>44621</v>
      </c>
      <c r="J209" s="6">
        <v>0</v>
      </c>
      <c r="K209" s="6">
        <v>0</v>
      </c>
      <c r="L209" s="6">
        <v>211.785</v>
      </c>
      <c r="M209" s="6">
        <v>211.785</v>
      </c>
      <c r="N209" s="6">
        <v>211.785</v>
      </c>
      <c r="O209" s="6">
        <v>211.785</v>
      </c>
      <c r="P209" s="6">
        <v>1573</v>
      </c>
      <c r="Q209" s="4" t="s">
        <v>26</v>
      </c>
      <c r="R209" s="4">
        <v>0</v>
      </c>
      <c r="S209" s="4" t="s">
        <v>228</v>
      </c>
      <c r="T209" s="4" t="s">
        <v>433</v>
      </c>
      <c r="U209" s="4">
        <v>0</v>
      </c>
      <c r="V209" s="4">
        <v>29</v>
      </c>
      <c r="W209" s="4">
        <v>66</v>
      </c>
    </row>
    <row r="210" spans="1:23" ht="11.25" customHeight="1" x14ac:dyDescent="0.25">
      <c r="A210" s="4" t="s">
        <v>27</v>
      </c>
      <c r="B210" s="4" t="s">
        <v>41</v>
      </c>
      <c r="C210" s="4" t="s">
        <v>23</v>
      </c>
      <c r="D210" s="4" t="s">
        <v>42</v>
      </c>
      <c r="E210" s="4" t="s">
        <v>25</v>
      </c>
      <c r="F210" s="4" t="s">
        <v>25</v>
      </c>
      <c r="G210" s="4" t="s">
        <v>25</v>
      </c>
      <c r="H210" s="4" t="s">
        <v>25</v>
      </c>
      <c r="I210" s="5">
        <v>44621</v>
      </c>
      <c r="J210" s="6">
        <v>0</v>
      </c>
      <c r="K210" s="6">
        <v>0</v>
      </c>
      <c r="L210" s="6">
        <v>1.1879999999999999</v>
      </c>
      <c r="M210" s="6">
        <v>1.1879999999999999</v>
      </c>
      <c r="N210" s="6">
        <v>1.1879999999999999</v>
      </c>
      <c r="O210" s="6">
        <v>1.1879999999999999</v>
      </c>
      <c r="P210" s="6">
        <v>8</v>
      </c>
      <c r="Q210" s="4" t="s">
        <v>26</v>
      </c>
      <c r="R210" s="4">
        <v>0</v>
      </c>
      <c r="S210" s="4" t="s">
        <v>228</v>
      </c>
      <c r="T210" s="4" t="s">
        <v>433</v>
      </c>
      <c r="U210" s="4">
        <v>0</v>
      </c>
      <c r="V210" s="4">
        <v>29</v>
      </c>
      <c r="W210" s="4">
        <v>66</v>
      </c>
    </row>
    <row r="211" spans="1:23" ht="11.25" customHeight="1" x14ac:dyDescent="0.25">
      <c r="A211" s="4" t="s">
        <v>21</v>
      </c>
      <c r="B211" s="4" t="s">
        <v>41</v>
      </c>
      <c r="C211" s="4" t="s">
        <v>23</v>
      </c>
      <c r="D211" s="4" t="s">
        <v>42</v>
      </c>
      <c r="E211" s="4" t="s">
        <v>25</v>
      </c>
      <c r="F211" s="4" t="s">
        <v>25</v>
      </c>
      <c r="G211" s="4" t="s">
        <v>25</v>
      </c>
      <c r="H211" s="4" t="s">
        <v>25</v>
      </c>
      <c r="I211" s="5">
        <v>44652</v>
      </c>
      <c r="J211" s="6">
        <v>0</v>
      </c>
      <c r="K211" s="6">
        <v>0</v>
      </c>
      <c r="L211" s="6">
        <v>184.376</v>
      </c>
      <c r="M211" s="6">
        <v>184.376</v>
      </c>
      <c r="N211" s="6">
        <v>184.376</v>
      </c>
      <c r="O211" s="6">
        <v>184.376</v>
      </c>
      <c r="P211" s="6">
        <v>1537</v>
      </c>
      <c r="Q211" s="4" t="s">
        <v>26</v>
      </c>
      <c r="R211" s="4">
        <v>0</v>
      </c>
      <c r="S211" s="4" t="s">
        <v>229</v>
      </c>
      <c r="T211" s="4" t="s">
        <v>434</v>
      </c>
      <c r="U211" s="4">
        <v>0</v>
      </c>
      <c r="V211" s="4">
        <v>29</v>
      </c>
      <c r="W211" s="4">
        <v>66</v>
      </c>
    </row>
    <row r="212" spans="1:23" ht="11.25" customHeight="1" x14ac:dyDescent="0.25">
      <c r="A212" s="4" t="s">
        <v>27</v>
      </c>
      <c r="B212" s="4" t="s">
        <v>41</v>
      </c>
      <c r="C212" s="4" t="s">
        <v>23</v>
      </c>
      <c r="D212" s="4" t="s">
        <v>42</v>
      </c>
      <c r="E212" s="4" t="s">
        <v>25</v>
      </c>
      <c r="F212" s="4" t="s">
        <v>25</v>
      </c>
      <c r="G212" s="4" t="s">
        <v>25</v>
      </c>
      <c r="H212" s="4" t="s">
        <v>25</v>
      </c>
      <c r="I212" s="5">
        <v>44652</v>
      </c>
      <c r="J212" s="6">
        <v>0</v>
      </c>
      <c r="K212" s="6">
        <v>0</v>
      </c>
      <c r="L212" s="6">
        <v>12.340999999999999</v>
      </c>
      <c r="M212" s="6">
        <v>12.340999999999999</v>
      </c>
      <c r="N212" s="6">
        <v>12.340999999999999</v>
      </c>
      <c r="O212" s="6">
        <v>12.340999999999999</v>
      </c>
      <c r="P212" s="6">
        <v>7</v>
      </c>
      <c r="Q212" s="4" t="s">
        <v>26</v>
      </c>
      <c r="R212" s="4">
        <v>0</v>
      </c>
      <c r="S212" s="4" t="s">
        <v>229</v>
      </c>
      <c r="T212" s="4" t="s">
        <v>434</v>
      </c>
      <c r="U212" s="4">
        <v>0</v>
      </c>
      <c r="V212" s="4">
        <v>29</v>
      </c>
      <c r="W212" s="4">
        <v>66</v>
      </c>
    </row>
    <row r="213" spans="1:23" ht="11.25" customHeight="1" x14ac:dyDescent="0.25">
      <c r="A213" s="4" t="s">
        <v>21</v>
      </c>
      <c r="B213" s="4" t="s">
        <v>32</v>
      </c>
      <c r="C213" s="4" t="s">
        <v>39</v>
      </c>
      <c r="D213" s="4" t="s">
        <v>38</v>
      </c>
      <c r="E213" s="4" t="s">
        <v>25</v>
      </c>
      <c r="F213" s="4" t="s">
        <v>25</v>
      </c>
      <c r="G213" s="4" t="s">
        <v>25</v>
      </c>
      <c r="H213" s="4" t="s">
        <v>37</v>
      </c>
      <c r="I213" s="5">
        <v>44317</v>
      </c>
      <c r="J213" s="6">
        <v>0</v>
      </c>
      <c r="K213" s="6">
        <v>0</v>
      </c>
      <c r="L213" s="6">
        <v>0.32700000000000001</v>
      </c>
      <c r="M213" s="6">
        <v>0.32700000000000001</v>
      </c>
      <c r="N213" s="6">
        <v>0.32700000000000001</v>
      </c>
      <c r="O213" s="6">
        <v>0.32700000000000001</v>
      </c>
      <c r="P213" s="6">
        <v>0</v>
      </c>
      <c r="Q213" s="4" t="s">
        <v>26</v>
      </c>
      <c r="R213" s="4">
        <v>0</v>
      </c>
      <c r="S213" s="4" t="s">
        <v>242</v>
      </c>
      <c r="T213" s="4" t="s">
        <v>447</v>
      </c>
      <c r="U213" s="4">
        <v>0</v>
      </c>
      <c r="V213" s="4">
        <v>43</v>
      </c>
      <c r="W213" s="4">
        <v>80</v>
      </c>
    </row>
    <row r="214" spans="1:23" ht="11.25" customHeight="1" x14ac:dyDescent="0.25">
      <c r="A214" s="4" t="s">
        <v>21</v>
      </c>
      <c r="B214" s="4" t="s">
        <v>32</v>
      </c>
      <c r="C214" s="4" t="s">
        <v>39</v>
      </c>
      <c r="D214" s="4" t="s">
        <v>38</v>
      </c>
      <c r="E214" s="4" t="s">
        <v>25</v>
      </c>
      <c r="F214" s="4" t="s">
        <v>25</v>
      </c>
      <c r="G214" s="4" t="s">
        <v>25</v>
      </c>
      <c r="H214" s="4" t="s">
        <v>37</v>
      </c>
      <c r="I214" s="5">
        <v>44348</v>
      </c>
      <c r="J214" s="6">
        <v>0</v>
      </c>
      <c r="K214" s="6">
        <v>0</v>
      </c>
      <c r="L214" s="6">
        <v>0.25700000000000001</v>
      </c>
      <c r="M214" s="6">
        <v>0.25700000000000001</v>
      </c>
      <c r="N214" s="6">
        <v>0.25700000000000001</v>
      </c>
      <c r="O214" s="6">
        <v>0.25700000000000001</v>
      </c>
      <c r="P214" s="6">
        <v>0</v>
      </c>
      <c r="Q214" s="4" t="s">
        <v>26</v>
      </c>
      <c r="R214" s="4">
        <v>0</v>
      </c>
      <c r="S214" s="4" t="s">
        <v>243</v>
      </c>
      <c r="T214" s="4" t="s">
        <v>448</v>
      </c>
      <c r="U214" s="4">
        <v>0</v>
      </c>
      <c r="V214" s="4">
        <v>43</v>
      </c>
      <c r="W214" s="4">
        <v>80</v>
      </c>
    </row>
    <row r="215" spans="1:23" ht="11.25" customHeight="1" x14ac:dyDescent="0.25">
      <c r="A215" s="4" t="s">
        <v>21</v>
      </c>
      <c r="B215" s="4" t="s">
        <v>32</v>
      </c>
      <c r="C215" s="4" t="s">
        <v>39</v>
      </c>
      <c r="D215" s="4" t="s">
        <v>38</v>
      </c>
      <c r="E215" s="4" t="s">
        <v>25</v>
      </c>
      <c r="F215" s="4" t="s">
        <v>25</v>
      </c>
      <c r="G215" s="4" t="s">
        <v>25</v>
      </c>
      <c r="H215" s="4" t="s">
        <v>37</v>
      </c>
      <c r="I215" s="5">
        <v>44378</v>
      </c>
      <c r="J215" s="6">
        <v>0</v>
      </c>
      <c r="K215" s="6">
        <v>0</v>
      </c>
      <c r="L215" s="6">
        <v>0.34399999999999997</v>
      </c>
      <c r="M215" s="6">
        <v>0.34399999999999997</v>
      </c>
      <c r="N215" s="6">
        <v>0.34399999999999997</v>
      </c>
      <c r="O215" s="6">
        <v>0.34399999999999997</v>
      </c>
      <c r="P215" s="6">
        <v>0</v>
      </c>
      <c r="Q215" s="4" t="s">
        <v>26</v>
      </c>
      <c r="R215" s="4">
        <v>0</v>
      </c>
      <c r="S215" s="4" t="s">
        <v>244</v>
      </c>
      <c r="T215" s="4" t="s">
        <v>449</v>
      </c>
      <c r="U215" s="4">
        <v>0</v>
      </c>
      <c r="V215" s="4">
        <v>43</v>
      </c>
      <c r="W215" s="4">
        <v>80</v>
      </c>
    </row>
    <row r="216" spans="1:23" ht="11.25" customHeight="1" x14ac:dyDescent="0.25">
      <c r="A216" s="4" t="s">
        <v>21</v>
      </c>
      <c r="B216" s="4" t="s">
        <v>32</v>
      </c>
      <c r="C216" s="4" t="s">
        <v>39</v>
      </c>
      <c r="D216" s="4" t="s">
        <v>38</v>
      </c>
      <c r="E216" s="4" t="s">
        <v>25</v>
      </c>
      <c r="F216" s="4" t="s">
        <v>25</v>
      </c>
      <c r="G216" s="4" t="s">
        <v>25</v>
      </c>
      <c r="H216" s="4" t="s">
        <v>37</v>
      </c>
      <c r="I216" s="5">
        <v>44409</v>
      </c>
      <c r="J216" s="6">
        <v>0</v>
      </c>
      <c r="K216" s="6">
        <v>0</v>
      </c>
      <c r="L216" s="6">
        <v>0.47299999999999998</v>
      </c>
      <c r="M216" s="6">
        <v>0.47299999999999998</v>
      </c>
      <c r="N216" s="6">
        <v>0.47299999999999998</v>
      </c>
      <c r="O216" s="6">
        <v>0.47299999999999998</v>
      </c>
      <c r="P216" s="6">
        <v>0</v>
      </c>
      <c r="Q216" s="4" t="s">
        <v>26</v>
      </c>
      <c r="R216" s="4">
        <v>0</v>
      </c>
      <c r="S216" s="4" t="s">
        <v>245</v>
      </c>
      <c r="T216" s="4" t="s">
        <v>450</v>
      </c>
      <c r="U216" s="4">
        <v>0</v>
      </c>
      <c r="V216" s="4">
        <v>43</v>
      </c>
      <c r="W216" s="4">
        <v>80</v>
      </c>
    </row>
    <row r="217" spans="1:23" ht="11.25" customHeight="1" x14ac:dyDescent="0.25">
      <c r="A217" s="4" t="s">
        <v>21</v>
      </c>
      <c r="B217" s="4" t="s">
        <v>32</v>
      </c>
      <c r="C217" s="4" t="s">
        <v>39</v>
      </c>
      <c r="D217" s="4" t="s">
        <v>38</v>
      </c>
      <c r="E217" s="4" t="s">
        <v>25</v>
      </c>
      <c r="F217" s="4" t="s">
        <v>25</v>
      </c>
      <c r="G217" s="4" t="s">
        <v>25</v>
      </c>
      <c r="H217" s="4" t="s">
        <v>37</v>
      </c>
      <c r="I217" s="5">
        <v>44440</v>
      </c>
      <c r="J217" s="6">
        <v>0</v>
      </c>
      <c r="K217" s="6">
        <v>0</v>
      </c>
      <c r="L217" s="6">
        <v>0.52200000000000002</v>
      </c>
      <c r="M217" s="6">
        <v>0.52200000000000002</v>
      </c>
      <c r="N217" s="6">
        <v>0.52200000000000002</v>
      </c>
      <c r="O217" s="6">
        <v>0.52200000000000002</v>
      </c>
      <c r="P217" s="6">
        <v>0</v>
      </c>
      <c r="Q217" s="4" t="s">
        <v>26</v>
      </c>
      <c r="R217" s="4">
        <v>0</v>
      </c>
      <c r="S217" s="4" t="s">
        <v>246</v>
      </c>
      <c r="T217" s="4" t="s">
        <v>451</v>
      </c>
      <c r="U217" s="4">
        <v>0</v>
      </c>
      <c r="V217" s="4">
        <v>43</v>
      </c>
      <c r="W217" s="4">
        <v>80</v>
      </c>
    </row>
    <row r="218" spans="1:23" ht="11.25" customHeight="1" x14ac:dyDescent="0.25">
      <c r="A218" s="4" t="s">
        <v>21</v>
      </c>
      <c r="B218" s="4" t="s">
        <v>32</v>
      </c>
      <c r="C218" s="4" t="s">
        <v>39</v>
      </c>
      <c r="D218" s="4" t="s">
        <v>38</v>
      </c>
      <c r="E218" s="4" t="s">
        <v>25</v>
      </c>
      <c r="F218" s="4" t="s">
        <v>25</v>
      </c>
      <c r="G218" s="4" t="s">
        <v>25</v>
      </c>
      <c r="H218" s="4" t="s">
        <v>37</v>
      </c>
      <c r="I218" s="5">
        <v>44470</v>
      </c>
      <c r="J218" s="6">
        <v>0</v>
      </c>
      <c r="K218" s="6">
        <v>0</v>
      </c>
      <c r="L218" s="6">
        <v>0.501</v>
      </c>
      <c r="M218" s="6">
        <v>0.501</v>
      </c>
      <c r="N218" s="6">
        <v>0.501</v>
      </c>
      <c r="O218" s="6">
        <v>0.501</v>
      </c>
      <c r="P218" s="6">
        <v>0</v>
      </c>
      <c r="Q218" s="4" t="s">
        <v>26</v>
      </c>
      <c r="R218" s="4">
        <v>0</v>
      </c>
      <c r="S218" s="4" t="s">
        <v>247</v>
      </c>
      <c r="T218" s="4" t="s">
        <v>452</v>
      </c>
      <c r="U218" s="4">
        <v>0</v>
      </c>
      <c r="V218" s="4">
        <v>43</v>
      </c>
      <c r="W218" s="4">
        <v>80</v>
      </c>
    </row>
    <row r="219" spans="1:23" ht="11.25" customHeight="1" x14ac:dyDescent="0.25">
      <c r="A219" s="4" t="s">
        <v>21</v>
      </c>
      <c r="B219" s="4" t="s">
        <v>32</v>
      </c>
      <c r="C219" s="4" t="s">
        <v>39</v>
      </c>
      <c r="D219" s="4" t="s">
        <v>38</v>
      </c>
      <c r="E219" s="4" t="s">
        <v>25</v>
      </c>
      <c r="F219" s="4" t="s">
        <v>25</v>
      </c>
      <c r="G219" s="4" t="s">
        <v>25</v>
      </c>
      <c r="H219" s="4" t="s">
        <v>37</v>
      </c>
      <c r="I219" s="5">
        <v>44501</v>
      </c>
      <c r="J219" s="6">
        <v>0</v>
      </c>
      <c r="K219" s="6">
        <v>0</v>
      </c>
      <c r="L219" s="6">
        <v>0.53900000000000003</v>
      </c>
      <c r="M219" s="6">
        <v>0.53900000000000003</v>
      </c>
      <c r="N219" s="6">
        <v>0.53900000000000003</v>
      </c>
      <c r="O219" s="6">
        <v>0.53900000000000003</v>
      </c>
      <c r="P219" s="6">
        <v>0</v>
      </c>
      <c r="Q219" s="4" t="s">
        <v>26</v>
      </c>
      <c r="R219" s="4">
        <v>0</v>
      </c>
      <c r="S219" s="4" t="s">
        <v>248</v>
      </c>
      <c r="T219" s="4" t="s">
        <v>453</v>
      </c>
      <c r="U219" s="4">
        <v>0</v>
      </c>
      <c r="V219" s="4">
        <v>43</v>
      </c>
      <c r="W219" s="4">
        <v>80</v>
      </c>
    </row>
    <row r="220" spans="1:23" ht="11.25" customHeight="1" x14ac:dyDescent="0.25">
      <c r="A220" s="4" t="s">
        <v>21</v>
      </c>
      <c r="B220" s="4" t="s">
        <v>32</v>
      </c>
      <c r="C220" s="4" t="s">
        <v>39</v>
      </c>
      <c r="D220" s="4" t="s">
        <v>38</v>
      </c>
      <c r="E220" s="4" t="s">
        <v>25</v>
      </c>
      <c r="F220" s="4" t="s">
        <v>25</v>
      </c>
      <c r="G220" s="4" t="s">
        <v>25</v>
      </c>
      <c r="H220" s="4" t="s">
        <v>37</v>
      </c>
      <c r="I220" s="5">
        <v>44531</v>
      </c>
      <c r="J220" s="6">
        <v>0</v>
      </c>
      <c r="K220" s="6">
        <v>0</v>
      </c>
      <c r="L220" s="6">
        <v>0.56599999999999995</v>
      </c>
      <c r="M220" s="6">
        <v>0.56599999999999995</v>
      </c>
      <c r="N220" s="6">
        <v>0.56599999999999995</v>
      </c>
      <c r="O220" s="6">
        <v>0.56599999999999995</v>
      </c>
      <c r="P220" s="6">
        <v>0</v>
      </c>
      <c r="Q220" s="4" t="s">
        <v>26</v>
      </c>
      <c r="R220" s="4">
        <v>0</v>
      </c>
      <c r="S220" s="4" t="s">
        <v>249</v>
      </c>
      <c r="T220" s="4" t="s">
        <v>454</v>
      </c>
      <c r="U220" s="4">
        <v>0</v>
      </c>
      <c r="V220" s="4">
        <v>43</v>
      </c>
      <c r="W220" s="4">
        <v>80</v>
      </c>
    </row>
    <row r="221" spans="1:23" ht="11.25" customHeight="1" x14ac:dyDescent="0.25">
      <c r="A221" s="4" t="s">
        <v>21</v>
      </c>
      <c r="B221" s="4" t="s">
        <v>32</v>
      </c>
      <c r="C221" s="4" t="s">
        <v>39</v>
      </c>
      <c r="D221" s="4" t="s">
        <v>38</v>
      </c>
      <c r="E221" s="4" t="s">
        <v>25</v>
      </c>
      <c r="F221" s="4" t="s">
        <v>25</v>
      </c>
      <c r="G221" s="4" t="s">
        <v>25</v>
      </c>
      <c r="H221" s="4" t="s">
        <v>37</v>
      </c>
      <c r="I221" s="5">
        <v>44562</v>
      </c>
      <c r="J221" s="6">
        <v>0</v>
      </c>
      <c r="K221" s="6">
        <v>0</v>
      </c>
      <c r="L221" s="6">
        <v>0.39500000000000002</v>
      </c>
      <c r="M221" s="6">
        <v>0.39500000000000002</v>
      </c>
      <c r="N221" s="6">
        <v>0.39500000000000002</v>
      </c>
      <c r="O221" s="6">
        <v>0.39500000000000002</v>
      </c>
      <c r="P221" s="6">
        <v>0</v>
      </c>
      <c r="Q221" s="4" t="s">
        <v>26</v>
      </c>
      <c r="R221" s="4">
        <v>0</v>
      </c>
      <c r="S221" s="4" t="s">
        <v>250</v>
      </c>
      <c r="T221" s="4" t="s">
        <v>455</v>
      </c>
      <c r="U221" s="4">
        <v>0</v>
      </c>
      <c r="V221" s="4">
        <v>43</v>
      </c>
      <c r="W221" s="4">
        <v>80</v>
      </c>
    </row>
    <row r="222" spans="1:23" ht="11.25" customHeight="1" x14ac:dyDescent="0.25">
      <c r="A222" s="4" t="s">
        <v>21</v>
      </c>
      <c r="B222" s="4" t="s">
        <v>32</v>
      </c>
      <c r="C222" s="4" t="s">
        <v>39</v>
      </c>
      <c r="D222" s="4" t="s">
        <v>38</v>
      </c>
      <c r="E222" s="4" t="s">
        <v>25</v>
      </c>
      <c r="F222" s="4" t="s">
        <v>25</v>
      </c>
      <c r="G222" s="4" t="s">
        <v>25</v>
      </c>
      <c r="H222" s="4" t="s">
        <v>37</v>
      </c>
      <c r="I222" s="5">
        <v>44593</v>
      </c>
      <c r="J222" s="6">
        <v>0</v>
      </c>
      <c r="K222" s="6">
        <v>0</v>
      </c>
      <c r="L222" s="6">
        <v>0.35899999999999999</v>
      </c>
      <c r="M222" s="6">
        <v>0.35899999999999999</v>
      </c>
      <c r="N222" s="6">
        <v>0.35899999999999999</v>
      </c>
      <c r="O222" s="6">
        <v>0.35899999999999999</v>
      </c>
      <c r="P222" s="6">
        <v>0</v>
      </c>
      <c r="Q222" s="4" t="s">
        <v>26</v>
      </c>
      <c r="R222" s="4">
        <v>0</v>
      </c>
      <c r="S222" s="4" t="s">
        <v>251</v>
      </c>
      <c r="T222" s="4" t="s">
        <v>456</v>
      </c>
      <c r="U222" s="4">
        <v>0</v>
      </c>
      <c r="V222" s="4">
        <v>43</v>
      </c>
      <c r="W222" s="4">
        <v>80</v>
      </c>
    </row>
    <row r="223" spans="1:23" ht="11.25" customHeight="1" x14ac:dyDescent="0.25">
      <c r="A223" s="4" t="s">
        <v>21</v>
      </c>
      <c r="B223" s="4" t="s">
        <v>32</v>
      </c>
      <c r="C223" s="4" t="s">
        <v>39</v>
      </c>
      <c r="D223" s="4" t="s">
        <v>38</v>
      </c>
      <c r="E223" s="4" t="s">
        <v>25</v>
      </c>
      <c r="F223" s="4" t="s">
        <v>25</v>
      </c>
      <c r="G223" s="4" t="s">
        <v>25</v>
      </c>
      <c r="H223" s="4" t="s">
        <v>37</v>
      </c>
      <c r="I223" s="5">
        <v>44621</v>
      </c>
      <c r="J223" s="6">
        <v>0</v>
      </c>
      <c r="K223" s="6">
        <v>0</v>
      </c>
      <c r="L223" s="6">
        <v>0.41099999999999998</v>
      </c>
      <c r="M223" s="6">
        <v>0.41099999999999998</v>
      </c>
      <c r="N223" s="6">
        <v>0.41099999999999998</v>
      </c>
      <c r="O223" s="6">
        <v>0.41099999999999998</v>
      </c>
      <c r="P223" s="6">
        <v>0</v>
      </c>
      <c r="Q223" s="4" t="s">
        <v>26</v>
      </c>
      <c r="R223" s="4">
        <v>0</v>
      </c>
      <c r="S223" s="4" t="s">
        <v>252</v>
      </c>
      <c r="T223" s="4" t="s">
        <v>457</v>
      </c>
      <c r="U223" s="4">
        <v>0</v>
      </c>
      <c r="V223" s="4">
        <v>43</v>
      </c>
      <c r="W223" s="4">
        <v>80</v>
      </c>
    </row>
    <row r="224" spans="1:23" ht="11.25" customHeight="1" x14ac:dyDescent="0.25">
      <c r="A224" s="4" t="s">
        <v>21</v>
      </c>
      <c r="B224" s="4" t="s">
        <v>32</v>
      </c>
      <c r="C224" s="4" t="s">
        <v>39</v>
      </c>
      <c r="D224" s="4" t="s">
        <v>38</v>
      </c>
      <c r="E224" s="4" t="s">
        <v>25</v>
      </c>
      <c r="F224" s="4" t="s">
        <v>25</v>
      </c>
      <c r="G224" s="4" t="s">
        <v>25</v>
      </c>
      <c r="H224" s="4" t="s">
        <v>37</v>
      </c>
      <c r="I224" s="5">
        <v>44652</v>
      </c>
      <c r="J224" s="6">
        <v>0</v>
      </c>
      <c r="K224" s="6">
        <v>0</v>
      </c>
      <c r="L224" s="6">
        <v>0.378</v>
      </c>
      <c r="M224" s="6">
        <v>0.378</v>
      </c>
      <c r="N224" s="6">
        <v>0.378</v>
      </c>
      <c r="O224" s="6">
        <v>0.378</v>
      </c>
      <c r="P224" s="6">
        <v>0</v>
      </c>
      <c r="Q224" s="4" t="s">
        <v>26</v>
      </c>
      <c r="R224" s="4">
        <v>0</v>
      </c>
      <c r="S224" s="4" t="s">
        <v>253</v>
      </c>
      <c r="T224" s="4" t="s">
        <v>458</v>
      </c>
      <c r="U224" s="4">
        <v>0</v>
      </c>
      <c r="V224" s="4">
        <v>43</v>
      </c>
      <c r="W224" s="4">
        <v>80</v>
      </c>
    </row>
    <row r="225" spans="1:23" ht="11.25" customHeight="1" x14ac:dyDescent="0.25">
      <c r="A225" s="4" t="s">
        <v>21</v>
      </c>
      <c r="B225" s="4" t="s">
        <v>32</v>
      </c>
      <c r="C225" s="4" t="s">
        <v>39</v>
      </c>
      <c r="D225" s="4" t="s">
        <v>38</v>
      </c>
      <c r="E225" s="4" t="s">
        <v>25</v>
      </c>
      <c r="F225" s="4" t="s">
        <v>25</v>
      </c>
      <c r="G225" s="4" t="s">
        <v>25</v>
      </c>
      <c r="H225" s="4" t="s">
        <v>40</v>
      </c>
      <c r="I225" s="5">
        <v>44317</v>
      </c>
      <c r="J225" s="6">
        <v>0</v>
      </c>
      <c r="K225" s="6">
        <v>0</v>
      </c>
      <c r="L225" s="6">
        <v>1.0999999999999999E-2</v>
      </c>
      <c r="M225" s="6">
        <v>1.0999999999999999E-2</v>
      </c>
      <c r="N225" s="6">
        <v>1.0999999999999999E-2</v>
      </c>
      <c r="O225" s="6">
        <v>1.0999999999999999E-2</v>
      </c>
      <c r="P225" s="6">
        <v>0</v>
      </c>
      <c r="Q225" s="4" t="s">
        <v>26</v>
      </c>
      <c r="R225" s="4">
        <v>0</v>
      </c>
      <c r="S225" s="4" t="s">
        <v>254</v>
      </c>
      <c r="T225" s="4" t="s">
        <v>459</v>
      </c>
      <c r="U225" s="4">
        <v>0</v>
      </c>
      <c r="V225" s="4">
        <v>42</v>
      </c>
      <c r="W225" s="4">
        <v>79</v>
      </c>
    </row>
    <row r="226" spans="1:23" ht="11.25" customHeight="1" x14ac:dyDescent="0.25">
      <c r="A226" s="4" t="s">
        <v>21</v>
      </c>
      <c r="B226" s="4" t="s">
        <v>32</v>
      </c>
      <c r="C226" s="4" t="s">
        <v>39</v>
      </c>
      <c r="D226" s="4" t="s">
        <v>38</v>
      </c>
      <c r="E226" s="4" t="s">
        <v>25</v>
      </c>
      <c r="F226" s="4" t="s">
        <v>25</v>
      </c>
      <c r="G226" s="4" t="s">
        <v>25</v>
      </c>
      <c r="H226" s="4" t="s">
        <v>40</v>
      </c>
      <c r="I226" s="5">
        <v>44348</v>
      </c>
      <c r="J226" s="6">
        <v>0</v>
      </c>
      <c r="K226" s="6">
        <v>0</v>
      </c>
      <c r="L226" s="6">
        <v>8.9999999999999993E-3</v>
      </c>
      <c r="M226" s="6">
        <v>8.9999999999999993E-3</v>
      </c>
      <c r="N226" s="6">
        <v>8.9999999999999993E-3</v>
      </c>
      <c r="O226" s="6">
        <v>8.9999999999999993E-3</v>
      </c>
      <c r="P226" s="6">
        <v>0</v>
      </c>
      <c r="Q226" s="4" t="s">
        <v>26</v>
      </c>
      <c r="R226" s="4">
        <v>0</v>
      </c>
      <c r="S226" s="4" t="s">
        <v>255</v>
      </c>
      <c r="T226" s="4" t="s">
        <v>460</v>
      </c>
      <c r="U226" s="4">
        <v>0</v>
      </c>
      <c r="V226" s="4">
        <v>42</v>
      </c>
      <c r="W226" s="4">
        <v>79</v>
      </c>
    </row>
    <row r="227" spans="1:23" ht="11.25" customHeight="1" x14ac:dyDescent="0.25">
      <c r="A227" s="4" t="s">
        <v>21</v>
      </c>
      <c r="B227" s="4" t="s">
        <v>32</v>
      </c>
      <c r="C227" s="4" t="s">
        <v>39</v>
      </c>
      <c r="D227" s="4" t="s">
        <v>38</v>
      </c>
      <c r="E227" s="4" t="s">
        <v>25</v>
      </c>
      <c r="F227" s="4" t="s">
        <v>25</v>
      </c>
      <c r="G227" s="4" t="s">
        <v>25</v>
      </c>
      <c r="H227" s="4" t="s">
        <v>40</v>
      </c>
      <c r="I227" s="5">
        <v>44378</v>
      </c>
      <c r="J227" s="6">
        <v>0</v>
      </c>
      <c r="K227" s="6">
        <v>0</v>
      </c>
      <c r="L227" s="6">
        <v>1.9E-2</v>
      </c>
      <c r="M227" s="6">
        <v>1.9E-2</v>
      </c>
      <c r="N227" s="6">
        <v>1.9E-2</v>
      </c>
      <c r="O227" s="6">
        <v>1.9E-2</v>
      </c>
      <c r="P227" s="6">
        <v>0</v>
      </c>
      <c r="Q227" s="4" t="s">
        <v>26</v>
      </c>
      <c r="R227" s="4">
        <v>0</v>
      </c>
      <c r="S227" s="4" t="s">
        <v>256</v>
      </c>
      <c r="T227" s="4" t="s">
        <v>461</v>
      </c>
      <c r="U227" s="4">
        <v>0</v>
      </c>
      <c r="V227" s="4">
        <v>42</v>
      </c>
      <c r="W227" s="4">
        <v>79</v>
      </c>
    </row>
    <row r="228" spans="1:23" ht="11.25" customHeight="1" x14ac:dyDescent="0.25">
      <c r="A228" s="4" t="s">
        <v>21</v>
      </c>
      <c r="B228" s="4" t="s">
        <v>32</v>
      </c>
      <c r="C228" s="4" t="s">
        <v>39</v>
      </c>
      <c r="D228" s="4" t="s">
        <v>38</v>
      </c>
      <c r="E228" s="4" t="s">
        <v>25</v>
      </c>
      <c r="F228" s="4" t="s">
        <v>25</v>
      </c>
      <c r="G228" s="4" t="s">
        <v>25</v>
      </c>
      <c r="H228" s="4" t="s">
        <v>40</v>
      </c>
      <c r="I228" s="5">
        <v>44409</v>
      </c>
      <c r="J228" s="6">
        <v>0</v>
      </c>
      <c r="K228" s="6">
        <v>0</v>
      </c>
      <c r="L228" s="6">
        <v>1.2999999999999999E-2</v>
      </c>
      <c r="M228" s="6">
        <v>1.2999999999999999E-2</v>
      </c>
      <c r="N228" s="6">
        <v>1.2999999999999999E-2</v>
      </c>
      <c r="O228" s="6">
        <v>1.2999999999999999E-2</v>
      </c>
      <c r="P228" s="6">
        <v>0</v>
      </c>
      <c r="Q228" s="4" t="s">
        <v>26</v>
      </c>
      <c r="R228" s="4">
        <v>0</v>
      </c>
      <c r="S228" s="4" t="s">
        <v>257</v>
      </c>
      <c r="T228" s="4" t="s">
        <v>462</v>
      </c>
      <c r="U228" s="4">
        <v>0</v>
      </c>
      <c r="V228" s="4">
        <v>42</v>
      </c>
      <c r="W228" s="4">
        <v>79</v>
      </c>
    </row>
    <row r="229" spans="1:23" ht="11.25" customHeight="1" x14ac:dyDescent="0.25">
      <c r="A229" s="4" t="s">
        <v>21</v>
      </c>
      <c r="B229" s="4" t="s">
        <v>32</v>
      </c>
      <c r="C229" s="4" t="s">
        <v>39</v>
      </c>
      <c r="D229" s="4" t="s">
        <v>38</v>
      </c>
      <c r="E229" s="4" t="s">
        <v>25</v>
      </c>
      <c r="F229" s="4" t="s">
        <v>25</v>
      </c>
      <c r="G229" s="4" t="s">
        <v>25</v>
      </c>
      <c r="H229" s="4" t="s">
        <v>40</v>
      </c>
      <c r="I229" s="5">
        <v>44440</v>
      </c>
      <c r="J229" s="6">
        <v>0</v>
      </c>
      <c r="K229" s="6">
        <v>0</v>
      </c>
      <c r="L229" s="6">
        <v>1.2E-2</v>
      </c>
      <c r="M229" s="6">
        <v>1.2E-2</v>
      </c>
      <c r="N229" s="6">
        <v>1.2E-2</v>
      </c>
      <c r="O229" s="6">
        <v>1.2E-2</v>
      </c>
      <c r="P229" s="6">
        <v>0</v>
      </c>
      <c r="Q229" s="4" t="s">
        <v>26</v>
      </c>
      <c r="R229" s="4">
        <v>0</v>
      </c>
      <c r="S229" s="4" t="s">
        <v>258</v>
      </c>
      <c r="T229" s="4" t="s">
        <v>463</v>
      </c>
      <c r="U229" s="4">
        <v>0</v>
      </c>
      <c r="V229" s="4">
        <v>42</v>
      </c>
      <c r="W229" s="4">
        <v>79</v>
      </c>
    </row>
    <row r="230" spans="1:23" ht="11.25" customHeight="1" x14ac:dyDescent="0.25">
      <c r="A230" s="4" t="s">
        <v>21</v>
      </c>
      <c r="B230" s="4" t="s">
        <v>32</v>
      </c>
      <c r="C230" s="4" t="s">
        <v>39</v>
      </c>
      <c r="D230" s="4" t="s">
        <v>38</v>
      </c>
      <c r="E230" s="4" t="s">
        <v>25</v>
      </c>
      <c r="F230" s="4" t="s">
        <v>25</v>
      </c>
      <c r="G230" s="4" t="s">
        <v>25</v>
      </c>
      <c r="H230" s="4" t="s">
        <v>40</v>
      </c>
      <c r="I230" s="5">
        <v>44470</v>
      </c>
      <c r="J230" s="6">
        <v>0</v>
      </c>
      <c r="K230" s="6">
        <v>0</v>
      </c>
      <c r="L230" s="6">
        <v>1.0999999999999999E-2</v>
      </c>
      <c r="M230" s="6">
        <v>1.0999999999999999E-2</v>
      </c>
      <c r="N230" s="6">
        <v>1.0999999999999999E-2</v>
      </c>
      <c r="O230" s="6">
        <v>1.0999999999999999E-2</v>
      </c>
      <c r="P230" s="6">
        <v>0</v>
      </c>
      <c r="Q230" s="4" t="s">
        <v>26</v>
      </c>
      <c r="R230" s="4">
        <v>0</v>
      </c>
      <c r="S230" s="4" t="s">
        <v>259</v>
      </c>
      <c r="T230" s="4" t="s">
        <v>464</v>
      </c>
      <c r="U230" s="4">
        <v>0</v>
      </c>
      <c r="V230" s="4">
        <v>42</v>
      </c>
      <c r="W230" s="4">
        <v>79</v>
      </c>
    </row>
    <row r="231" spans="1:23" ht="11.25" customHeight="1" x14ac:dyDescent="0.25">
      <c r="A231" s="4" t="s">
        <v>21</v>
      </c>
      <c r="B231" s="4" t="s">
        <v>32</v>
      </c>
      <c r="C231" s="4" t="s">
        <v>39</v>
      </c>
      <c r="D231" s="4" t="s">
        <v>38</v>
      </c>
      <c r="E231" s="4" t="s">
        <v>25</v>
      </c>
      <c r="F231" s="4" t="s">
        <v>25</v>
      </c>
      <c r="G231" s="4" t="s">
        <v>25</v>
      </c>
      <c r="H231" s="4" t="s">
        <v>40</v>
      </c>
      <c r="I231" s="5">
        <v>44501</v>
      </c>
      <c r="J231" s="6">
        <v>0</v>
      </c>
      <c r="K231" s="6">
        <v>0</v>
      </c>
      <c r="L231" s="6">
        <v>1.9E-2</v>
      </c>
      <c r="M231" s="6">
        <v>1.9E-2</v>
      </c>
      <c r="N231" s="6">
        <v>1.9E-2</v>
      </c>
      <c r="O231" s="6">
        <v>1.9E-2</v>
      </c>
      <c r="P231" s="6">
        <v>0</v>
      </c>
      <c r="Q231" s="4" t="s">
        <v>26</v>
      </c>
      <c r="R231" s="4">
        <v>0</v>
      </c>
      <c r="S231" s="4" t="s">
        <v>260</v>
      </c>
      <c r="T231" s="4" t="s">
        <v>465</v>
      </c>
      <c r="U231" s="4">
        <v>0</v>
      </c>
      <c r="V231" s="4">
        <v>42</v>
      </c>
      <c r="W231" s="4">
        <v>79</v>
      </c>
    </row>
    <row r="232" spans="1:23" ht="11.25" customHeight="1" x14ac:dyDescent="0.25">
      <c r="A232" s="4" t="s">
        <v>21</v>
      </c>
      <c r="B232" s="4" t="s">
        <v>32</v>
      </c>
      <c r="C232" s="4" t="s">
        <v>39</v>
      </c>
      <c r="D232" s="4" t="s">
        <v>38</v>
      </c>
      <c r="E232" s="4" t="s">
        <v>25</v>
      </c>
      <c r="F232" s="4" t="s">
        <v>25</v>
      </c>
      <c r="G232" s="4" t="s">
        <v>25</v>
      </c>
      <c r="H232" s="4" t="s">
        <v>40</v>
      </c>
      <c r="I232" s="5">
        <v>44531</v>
      </c>
      <c r="J232" s="6">
        <v>0</v>
      </c>
      <c r="K232" s="6">
        <v>0</v>
      </c>
      <c r="L232" s="6">
        <v>0.02</v>
      </c>
      <c r="M232" s="6">
        <v>0.02</v>
      </c>
      <c r="N232" s="6">
        <v>0.02</v>
      </c>
      <c r="O232" s="6">
        <v>0.02</v>
      </c>
      <c r="P232" s="6">
        <v>0</v>
      </c>
      <c r="Q232" s="4" t="s">
        <v>26</v>
      </c>
      <c r="R232" s="4">
        <v>0</v>
      </c>
      <c r="S232" s="4" t="s">
        <v>261</v>
      </c>
      <c r="T232" s="4" t="s">
        <v>466</v>
      </c>
      <c r="U232" s="4">
        <v>0</v>
      </c>
      <c r="V232" s="4">
        <v>42</v>
      </c>
      <c r="W232" s="4">
        <v>79</v>
      </c>
    </row>
    <row r="233" spans="1:23" ht="11.25" customHeight="1" x14ac:dyDescent="0.25">
      <c r="A233" s="4" t="s">
        <v>21</v>
      </c>
      <c r="B233" s="4" t="s">
        <v>32</v>
      </c>
      <c r="C233" s="4" t="s">
        <v>39</v>
      </c>
      <c r="D233" s="4" t="s">
        <v>38</v>
      </c>
      <c r="E233" s="4" t="s">
        <v>25</v>
      </c>
      <c r="F233" s="4" t="s">
        <v>25</v>
      </c>
      <c r="G233" s="4" t="s">
        <v>25</v>
      </c>
      <c r="H233" s="4" t="s">
        <v>40</v>
      </c>
      <c r="I233" s="5">
        <v>44562</v>
      </c>
      <c r="J233" s="6">
        <v>0</v>
      </c>
      <c r="K233" s="6">
        <v>0</v>
      </c>
      <c r="L233" s="6">
        <v>1.2999999999999999E-2</v>
      </c>
      <c r="M233" s="6">
        <v>1.2999999999999999E-2</v>
      </c>
      <c r="N233" s="6">
        <v>1.2999999999999999E-2</v>
      </c>
      <c r="O233" s="6">
        <v>1.2999999999999999E-2</v>
      </c>
      <c r="P233" s="6">
        <v>0</v>
      </c>
      <c r="Q233" s="4" t="s">
        <v>26</v>
      </c>
      <c r="R233" s="4">
        <v>0</v>
      </c>
      <c r="S233" s="4" t="s">
        <v>262</v>
      </c>
      <c r="T233" s="4" t="s">
        <v>467</v>
      </c>
      <c r="U233" s="4">
        <v>0</v>
      </c>
      <c r="V233" s="4">
        <v>42</v>
      </c>
      <c r="W233" s="4">
        <v>79</v>
      </c>
    </row>
    <row r="234" spans="1:23" ht="11.25" customHeight="1" x14ac:dyDescent="0.25">
      <c r="A234" s="4" t="s">
        <v>21</v>
      </c>
      <c r="B234" s="4" t="s">
        <v>32</v>
      </c>
      <c r="C234" s="4" t="s">
        <v>39</v>
      </c>
      <c r="D234" s="4" t="s">
        <v>38</v>
      </c>
      <c r="E234" s="4" t="s">
        <v>25</v>
      </c>
      <c r="F234" s="4" t="s">
        <v>25</v>
      </c>
      <c r="G234" s="4" t="s">
        <v>25</v>
      </c>
      <c r="H234" s="4" t="s">
        <v>40</v>
      </c>
      <c r="I234" s="5">
        <v>44593</v>
      </c>
      <c r="J234" s="6">
        <v>0</v>
      </c>
      <c r="K234" s="6">
        <v>0</v>
      </c>
      <c r="L234" s="6">
        <v>1.2E-2</v>
      </c>
      <c r="M234" s="6">
        <v>1.2E-2</v>
      </c>
      <c r="N234" s="6">
        <v>1.2E-2</v>
      </c>
      <c r="O234" s="6">
        <v>1.2E-2</v>
      </c>
      <c r="P234" s="6">
        <v>0</v>
      </c>
      <c r="Q234" s="4" t="s">
        <v>26</v>
      </c>
      <c r="R234" s="4">
        <v>0</v>
      </c>
      <c r="S234" s="4" t="s">
        <v>263</v>
      </c>
      <c r="T234" s="4" t="s">
        <v>468</v>
      </c>
      <c r="U234" s="4">
        <v>0</v>
      </c>
      <c r="V234" s="4">
        <v>42</v>
      </c>
      <c r="W234" s="4">
        <v>79</v>
      </c>
    </row>
    <row r="235" spans="1:23" ht="11.25" customHeight="1" x14ac:dyDescent="0.25">
      <c r="A235" s="4" t="s">
        <v>21</v>
      </c>
      <c r="B235" s="4" t="s">
        <v>32</v>
      </c>
      <c r="C235" s="4" t="s">
        <v>39</v>
      </c>
      <c r="D235" s="4" t="s">
        <v>38</v>
      </c>
      <c r="E235" s="4" t="s">
        <v>25</v>
      </c>
      <c r="F235" s="4" t="s">
        <v>25</v>
      </c>
      <c r="G235" s="4" t="s">
        <v>25</v>
      </c>
      <c r="H235" s="4" t="s">
        <v>40</v>
      </c>
      <c r="I235" s="5">
        <v>44621</v>
      </c>
      <c r="J235" s="6">
        <v>0</v>
      </c>
      <c r="K235" s="6">
        <v>0</v>
      </c>
      <c r="L235" s="6">
        <v>1.4E-2</v>
      </c>
      <c r="M235" s="6">
        <v>1.4E-2</v>
      </c>
      <c r="N235" s="6">
        <v>1.4E-2</v>
      </c>
      <c r="O235" s="6">
        <v>1.4E-2</v>
      </c>
      <c r="P235" s="6">
        <v>0</v>
      </c>
      <c r="Q235" s="4" t="s">
        <v>26</v>
      </c>
      <c r="R235" s="4">
        <v>0</v>
      </c>
      <c r="S235" s="4" t="s">
        <v>264</v>
      </c>
      <c r="T235" s="4" t="s">
        <v>469</v>
      </c>
      <c r="U235" s="4">
        <v>0</v>
      </c>
      <c r="V235" s="4">
        <v>42</v>
      </c>
      <c r="W235" s="4">
        <v>79</v>
      </c>
    </row>
    <row r="236" spans="1:23" ht="11.25" customHeight="1" x14ac:dyDescent="0.25">
      <c r="A236" s="4" t="s">
        <v>21</v>
      </c>
      <c r="B236" s="4" t="s">
        <v>32</v>
      </c>
      <c r="C236" s="4" t="s">
        <v>39</v>
      </c>
      <c r="D236" s="4" t="s">
        <v>38</v>
      </c>
      <c r="E236" s="4" t="s">
        <v>25</v>
      </c>
      <c r="F236" s="4" t="s">
        <v>25</v>
      </c>
      <c r="G236" s="4" t="s">
        <v>25</v>
      </c>
      <c r="H236" s="4" t="s">
        <v>40</v>
      </c>
      <c r="I236" s="5">
        <v>44652</v>
      </c>
      <c r="J236" s="6">
        <v>0</v>
      </c>
      <c r="K236" s="6">
        <v>0</v>
      </c>
      <c r="L236" s="6">
        <v>1.0999999999999999E-2</v>
      </c>
      <c r="M236" s="6">
        <v>1.0999999999999999E-2</v>
      </c>
      <c r="N236" s="6">
        <v>1.0999999999999999E-2</v>
      </c>
      <c r="O236" s="6">
        <v>1.0999999999999999E-2</v>
      </c>
      <c r="P236" s="6">
        <v>0</v>
      </c>
      <c r="Q236" s="4" t="s">
        <v>26</v>
      </c>
      <c r="R236" s="4">
        <v>0</v>
      </c>
      <c r="S236" s="4" t="s">
        <v>265</v>
      </c>
      <c r="T236" s="4" t="s">
        <v>470</v>
      </c>
      <c r="U236" s="4">
        <v>0</v>
      </c>
      <c r="V236" s="4">
        <v>42</v>
      </c>
      <c r="W236" s="4">
        <v>79</v>
      </c>
    </row>
    <row r="237" spans="1:23" ht="11.25" customHeight="1" x14ac:dyDescent="0.25">
      <c r="A237" s="4" t="s">
        <v>21</v>
      </c>
      <c r="B237" s="4" t="s">
        <v>32</v>
      </c>
      <c r="C237" s="4" t="s">
        <v>39</v>
      </c>
      <c r="D237" s="4" t="s">
        <v>38</v>
      </c>
      <c r="E237" s="4" t="s">
        <v>25</v>
      </c>
      <c r="F237" s="4" t="s">
        <v>25</v>
      </c>
      <c r="G237" s="4" t="s">
        <v>25</v>
      </c>
      <c r="H237" s="4" t="s">
        <v>36</v>
      </c>
      <c r="I237" s="5">
        <v>44317</v>
      </c>
      <c r="J237" s="6">
        <v>0</v>
      </c>
      <c r="K237" s="6">
        <v>0</v>
      </c>
      <c r="L237" s="6">
        <v>8.9999999999999993E-3</v>
      </c>
      <c r="M237" s="6">
        <v>8.9999999999999993E-3</v>
      </c>
      <c r="N237" s="6">
        <v>8.9999999999999993E-3</v>
      </c>
      <c r="O237" s="6">
        <v>8.9999999999999993E-3</v>
      </c>
      <c r="P237" s="6">
        <v>0</v>
      </c>
      <c r="Q237" s="4" t="s">
        <v>26</v>
      </c>
      <c r="R237" s="4">
        <v>0</v>
      </c>
      <c r="S237" s="4" t="s">
        <v>266</v>
      </c>
      <c r="T237" s="4" t="s">
        <v>471</v>
      </c>
      <c r="U237" s="4">
        <v>0</v>
      </c>
      <c r="V237" s="4">
        <v>41</v>
      </c>
      <c r="W237" s="4">
        <v>78</v>
      </c>
    </row>
    <row r="238" spans="1:23" ht="11.25" customHeight="1" x14ac:dyDescent="0.25">
      <c r="A238" s="4" t="s">
        <v>21</v>
      </c>
      <c r="B238" s="4" t="s">
        <v>32</v>
      </c>
      <c r="C238" s="4" t="s">
        <v>39</v>
      </c>
      <c r="D238" s="4" t="s">
        <v>38</v>
      </c>
      <c r="E238" s="4" t="s">
        <v>25</v>
      </c>
      <c r="F238" s="4" t="s">
        <v>25</v>
      </c>
      <c r="G238" s="4" t="s">
        <v>25</v>
      </c>
      <c r="H238" s="4" t="s">
        <v>36</v>
      </c>
      <c r="I238" s="5">
        <v>44348</v>
      </c>
      <c r="J238" s="6">
        <v>0</v>
      </c>
      <c r="K238" s="6">
        <v>0</v>
      </c>
      <c r="L238" s="6">
        <v>1.2E-2</v>
      </c>
      <c r="M238" s="6">
        <v>1.2E-2</v>
      </c>
      <c r="N238" s="6">
        <v>1.2E-2</v>
      </c>
      <c r="O238" s="6">
        <v>1.2E-2</v>
      </c>
      <c r="P238" s="6">
        <v>0</v>
      </c>
      <c r="Q238" s="4" t="s">
        <v>26</v>
      </c>
      <c r="R238" s="4">
        <v>0</v>
      </c>
      <c r="S238" s="4" t="s">
        <v>267</v>
      </c>
      <c r="T238" s="4" t="s">
        <v>472</v>
      </c>
      <c r="U238" s="4">
        <v>0</v>
      </c>
      <c r="V238" s="4">
        <v>41</v>
      </c>
      <c r="W238" s="4">
        <v>78</v>
      </c>
    </row>
    <row r="239" spans="1:23" ht="11.25" customHeight="1" x14ac:dyDescent="0.25">
      <c r="A239" s="4" t="s">
        <v>21</v>
      </c>
      <c r="B239" s="4" t="s">
        <v>32</v>
      </c>
      <c r="C239" s="4" t="s">
        <v>39</v>
      </c>
      <c r="D239" s="4" t="s">
        <v>38</v>
      </c>
      <c r="E239" s="4" t="s">
        <v>25</v>
      </c>
      <c r="F239" s="4" t="s">
        <v>25</v>
      </c>
      <c r="G239" s="4" t="s">
        <v>25</v>
      </c>
      <c r="H239" s="4" t="s">
        <v>36</v>
      </c>
      <c r="I239" s="5">
        <v>44378</v>
      </c>
      <c r="J239" s="6">
        <v>0</v>
      </c>
      <c r="K239" s="6">
        <v>0</v>
      </c>
      <c r="L239" s="6">
        <v>1.4E-2</v>
      </c>
      <c r="M239" s="6">
        <v>1.4E-2</v>
      </c>
      <c r="N239" s="6">
        <v>1.4E-2</v>
      </c>
      <c r="O239" s="6">
        <v>1.4E-2</v>
      </c>
      <c r="P239" s="6">
        <v>0</v>
      </c>
      <c r="Q239" s="4" t="s">
        <v>26</v>
      </c>
      <c r="R239" s="4">
        <v>0</v>
      </c>
      <c r="S239" s="4" t="s">
        <v>268</v>
      </c>
      <c r="T239" s="4" t="s">
        <v>473</v>
      </c>
      <c r="U239" s="4">
        <v>0</v>
      </c>
      <c r="V239" s="4">
        <v>41</v>
      </c>
      <c r="W239" s="4">
        <v>78</v>
      </c>
    </row>
    <row r="240" spans="1:23" ht="11.25" customHeight="1" x14ac:dyDescent="0.25">
      <c r="A240" s="4" t="s">
        <v>21</v>
      </c>
      <c r="B240" s="4" t="s">
        <v>32</v>
      </c>
      <c r="C240" s="4" t="s">
        <v>39</v>
      </c>
      <c r="D240" s="4" t="s">
        <v>38</v>
      </c>
      <c r="E240" s="4" t="s">
        <v>25</v>
      </c>
      <c r="F240" s="4" t="s">
        <v>25</v>
      </c>
      <c r="G240" s="4" t="s">
        <v>25</v>
      </c>
      <c r="H240" s="4" t="s">
        <v>36</v>
      </c>
      <c r="I240" s="5">
        <v>44409</v>
      </c>
      <c r="J240" s="6">
        <v>0</v>
      </c>
      <c r="K240" s="6">
        <v>0</v>
      </c>
      <c r="L240" s="6">
        <v>1.4999999999999999E-2</v>
      </c>
      <c r="M240" s="6">
        <v>1.4999999999999999E-2</v>
      </c>
      <c r="N240" s="6">
        <v>1.4999999999999999E-2</v>
      </c>
      <c r="O240" s="6">
        <v>1.4999999999999999E-2</v>
      </c>
      <c r="P240" s="6">
        <v>0</v>
      </c>
      <c r="Q240" s="4" t="s">
        <v>26</v>
      </c>
      <c r="R240" s="4">
        <v>0</v>
      </c>
      <c r="S240" s="4" t="s">
        <v>269</v>
      </c>
      <c r="T240" s="4" t="s">
        <v>474</v>
      </c>
      <c r="U240" s="4">
        <v>0</v>
      </c>
      <c r="V240" s="4">
        <v>41</v>
      </c>
      <c r="W240" s="4">
        <v>78</v>
      </c>
    </row>
    <row r="241" spans="1:23" ht="11.25" customHeight="1" x14ac:dyDescent="0.25">
      <c r="A241" s="4" t="s">
        <v>21</v>
      </c>
      <c r="B241" s="4" t="s">
        <v>32</v>
      </c>
      <c r="C241" s="4" t="s">
        <v>39</v>
      </c>
      <c r="D241" s="4" t="s">
        <v>38</v>
      </c>
      <c r="E241" s="4" t="s">
        <v>25</v>
      </c>
      <c r="F241" s="4" t="s">
        <v>25</v>
      </c>
      <c r="G241" s="4" t="s">
        <v>25</v>
      </c>
      <c r="H241" s="4" t="s">
        <v>36</v>
      </c>
      <c r="I241" s="5">
        <v>44440</v>
      </c>
      <c r="J241" s="6">
        <v>0</v>
      </c>
      <c r="K241" s="6">
        <v>0</v>
      </c>
      <c r="L241" s="6">
        <v>1.2E-2</v>
      </c>
      <c r="M241" s="6">
        <v>1.2E-2</v>
      </c>
      <c r="N241" s="6">
        <v>1.2E-2</v>
      </c>
      <c r="O241" s="6">
        <v>1.2E-2</v>
      </c>
      <c r="P241" s="6">
        <v>0</v>
      </c>
      <c r="Q241" s="4" t="s">
        <v>26</v>
      </c>
      <c r="R241" s="4">
        <v>0</v>
      </c>
      <c r="S241" s="4" t="s">
        <v>270</v>
      </c>
      <c r="T241" s="4" t="s">
        <v>475</v>
      </c>
      <c r="U241" s="4">
        <v>0</v>
      </c>
      <c r="V241" s="4">
        <v>41</v>
      </c>
      <c r="W241" s="4">
        <v>78</v>
      </c>
    </row>
    <row r="242" spans="1:23" ht="11.25" customHeight="1" x14ac:dyDescent="0.25">
      <c r="A242" s="4" t="s">
        <v>21</v>
      </c>
      <c r="B242" s="4" t="s">
        <v>32</v>
      </c>
      <c r="C242" s="4" t="s">
        <v>39</v>
      </c>
      <c r="D242" s="4" t="s">
        <v>38</v>
      </c>
      <c r="E242" s="4" t="s">
        <v>25</v>
      </c>
      <c r="F242" s="4" t="s">
        <v>25</v>
      </c>
      <c r="G242" s="4" t="s">
        <v>25</v>
      </c>
      <c r="H242" s="4" t="s">
        <v>36</v>
      </c>
      <c r="I242" s="5">
        <v>44470</v>
      </c>
      <c r="J242" s="6">
        <v>0</v>
      </c>
      <c r="K242" s="6">
        <v>0</v>
      </c>
      <c r="L242" s="6">
        <v>1.2999999999999999E-2</v>
      </c>
      <c r="M242" s="6">
        <v>1.2999999999999999E-2</v>
      </c>
      <c r="N242" s="6">
        <v>1.2999999999999999E-2</v>
      </c>
      <c r="O242" s="6">
        <v>1.2999999999999999E-2</v>
      </c>
      <c r="P242" s="6">
        <v>0</v>
      </c>
      <c r="Q242" s="4" t="s">
        <v>26</v>
      </c>
      <c r="R242" s="4">
        <v>0</v>
      </c>
      <c r="S242" s="4" t="s">
        <v>271</v>
      </c>
      <c r="T242" s="4" t="s">
        <v>476</v>
      </c>
      <c r="U242" s="4">
        <v>0</v>
      </c>
      <c r="V242" s="4">
        <v>41</v>
      </c>
      <c r="W242" s="4">
        <v>78</v>
      </c>
    </row>
    <row r="243" spans="1:23" ht="11.25" customHeight="1" x14ac:dyDescent="0.25">
      <c r="A243" s="4" t="s">
        <v>21</v>
      </c>
      <c r="B243" s="4" t="s">
        <v>32</v>
      </c>
      <c r="C243" s="4" t="s">
        <v>39</v>
      </c>
      <c r="D243" s="4" t="s">
        <v>38</v>
      </c>
      <c r="E243" s="4" t="s">
        <v>25</v>
      </c>
      <c r="F243" s="4" t="s">
        <v>25</v>
      </c>
      <c r="G243" s="4" t="s">
        <v>25</v>
      </c>
      <c r="H243" s="4" t="s">
        <v>36</v>
      </c>
      <c r="I243" s="5">
        <v>44501</v>
      </c>
      <c r="J243" s="6">
        <v>0</v>
      </c>
      <c r="K243" s="6">
        <v>0</v>
      </c>
      <c r="L243" s="6">
        <v>1.2E-2</v>
      </c>
      <c r="M243" s="6">
        <v>1.2E-2</v>
      </c>
      <c r="N243" s="6">
        <v>1.2E-2</v>
      </c>
      <c r="O243" s="6">
        <v>1.2E-2</v>
      </c>
      <c r="P243" s="6">
        <v>0</v>
      </c>
      <c r="Q243" s="4" t="s">
        <v>26</v>
      </c>
      <c r="R243" s="4">
        <v>0</v>
      </c>
      <c r="S243" s="4" t="s">
        <v>272</v>
      </c>
      <c r="T243" s="4" t="s">
        <v>477</v>
      </c>
      <c r="U243" s="4">
        <v>0</v>
      </c>
      <c r="V243" s="4">
        <v>41</v>
      </c>
      <c r="W243" s="4">
        <v>78</v>
      </c>
    </row>
    <row r="244" spans="1:23" ht="11.25" customHeight="1" x14ac:dyDescent="0.25">
      <c r="A244" s="4" t="s">
        <v>21</v>
      </c>
      <c r="B244" s="4" t="s">
        <v>32</v>
      </c>
      <c r="C244" s="4" t="s">
        <v>39</v>
      </c>
      <c r="D244" s="4" t="s">
        <v>38</v>
      </c>
      <c r="E244" s="4" t="s">
        <v>25</v>
      </c>
      <c r="F244" s="4" t="s">
        <v>25</v>
      </c>
      <c r="G244" s="4" t="s">
        <v>25</v>
      </c>
      <c r="H244" s="4" t="s">
        <v>36</v>
      </c>
      <c r="I244" s="5">
        <v>44531</v>
      </c>
      <c r="J244" s="6">
        <v>0</v>
      </c>
      <c r="K244" s="6">
        <v>0</v>
      </c>
      <c r="L244" s="6">
        <v>1.7000000000000001E-2</v>
      </c>
      <c r="M244" s="6">
        <v>1.7000000000000001E-2</v>
      </c>
      <c r="N244" s="6">
        <v>1.7000000000000001E-2</v>
      </c>
      <c r="O244" s="6">
        <v>1.7000000000000001E-2</v>
      </c>
      <c r="P244" s="6">
        <v>0</v>
      </c>
      <c r="Q244" s="4" t="s">
        <v>26</v>
      </c>
      <c r="R244" s="4">
        <v>0</v>
      </c>
      <c r="S244" s="4" t="s">
        <v>273</v>
      </c>
      <c r="T244" s="4" t="s">
        <v>478</v>
      </c>
      <c r="U244" s="4">
        <v>0</v>
      </c>
      <c r="V244" s="4">
        <v>41</v>
      </c>
      <c r="W244" s="4">
        <v>78</v>
      </c>
    </row>
    <row r="245" spans="1:23" ht="11.25" customHeight="1" x14ac:dyDescent="0.25">
      <c r="A245" s="4" t="s">
        <v>21</v>
      </c>
      <c r="B245" s="4" t="s">
        <v>32</v>
      </c>
      <c r="C245" s="4" t="s">
        <v>39</v>
      </c>
      <c r="D245" s="4" t="s">
        <v>38</v>
      </c>
      <c r="E245" s="4" t="s">
        <v>25</v>
      </c>
      <c r="F245" s="4" t="s">
        <v>25</v>
      </c>
      <c r="G245" s="4" t="s">
        <v>25</v>
      </c>
      <c r="H245" s="4" t="s">
        <v>36</v>
      </c>
      <c r="I245" s="5">
        <v>44562</v>
      </c>
      <c r="J245" s="6">
        <v>0</v>
      </c>
      <c r="K245" s="6">
        <v>0</v>
      </c>
      <c r="L245" s="6">
        <v>7.0000000000000001E-3</v>
      </c>
      <c r="M245" s="6">
        <v>7.0000000000000001E-3</v>
      </c>
      <c r="N245" s="6">
        <v>7.0000000000000001E-3</v>
      </c>
      <c r="O245" s="6">
        <v>7.0000000000000001E-3</v>
      </c>
      <c r="P245" s="6">
        <v>0</v>
      </c>
      <c r="Q245" s="4" t="s">
        <v>26</v>
      </c>
      <c r="R245" s="4">
        <v>0</v>
      </c>
      <c r="S245" s="4" t="s">
        <v>274</v>
      </c>
      <c r="T245" s="4" t="s">
        <v>479</v>
      </c>
      <c r="U245" s="4">
        <v>0</v>
      </c>
      <c r="V245" s="4">
        <v>41</v>
      </c>
      <c r="W245" s="4">
        <v>78</v>
      </c>
    </row>
    <row r="246" spans="1:23" ht="11.25" customHeight="1" x14ac:dyDescent="0.25">
      <c r="A246" s="4" t="s">
        <v>21</v>
      </c>
      <c r="B246" s="4" t="s">
        <v>32</v>
      </c>
      <c r="C246" s="4" t="s">
        <v>39</v>
      </c>
      <c r="D246" s="4" t="s">
        <v>38</v>
      </c>
      <c r="E246" s="4" t="s">
        <v>25</v>
      </c>
      <c r="F246" s="4" t="s">
        <v>25</v>
      </c>
      <c r="G246" s="4" t="s">
        <v>25</v>
      </c>
      <c r="H246" s="4" t="s">
        <v>36</v>
      </c>
      <c r="I246" s="5">
        <v>44593</v>
      </c>
      <c r="J246" s="6">
        <v>0</v>
      </c>
      <c r="K246" s="6">
        <v>0</v>
      </c>
      <c r="L246" s="6">
        <v>5.0000000000000001E-3</v>
      </c>
      <c r="M246" s="6">
        <v>5.0000000000000001E-3</v>
      </c>
      <c r="N246" s="6">
        <v>5.0000000000000001E-3</v>
      </c>
      <c r="O246" s="6">
        <v>5.0000000000000001E-3</v>
      </c>
      <c r="P246" s="6">
        <v>0</v>
      </c>
      <c r="Q246" s="4" t="s">
        <v>26</v>
      </c>
      <c r="R246" s="4">
        <v>0</v>
      </c>
      <c r="S246" s="4" t="s">
        <v>275</v>
      </c>
      <c r="T246" s="4" t="s">
        <v>480</v>
      </c>
      <c r="U246" s="4">
        <v>0</v>
      </c>
      <c r="V246" s="4">
        <v>41</v>
      </c>
      <c r="W246" s="4">
        <v>78</v>
      </c>
    </row>
    <row r="247" spans="1:23" ht="11.25" customHeight="1" x14ac:dyDescent="0.25">
      <c r="A247" s="4" t="s">
        <v>21</v>
      </c>
      <c r="B247" s="4" t="s">
        <v>32</v>
      </c>
      <c r="C247" s="4" t="s">
        <v>39</v>
      </c>
      <c r="D247" s="4" t="s">
        <v>38</v>
      </c>
      <c r="E247" s="4" t="s">
        <v>25</v>
      </c>
      <c r="F247" s="4" t="s">
        <v>25</v>
      </c>
      <c r="G247" s="4" t="s">
        <v>25</v>
      </c>
      <c r="H247" s="4" t="s">
        <v>36</v>
      </c>
      <c r="I247" s="5">
        <v>44621</v>
      </c>
      <c r="J247" s="6">
        <v>0</v>
      </c>
      <c r="K247" s="6">
        <v>0</v>
      </c>
      <c r="L247" s="6">
        <v>1.2E-2</v>
      </c>
      <c r="M247" s="6">
        <v>1.2E-2</v>
      </c>
      <c r="N247" s="6">
        <v>1.2E-2</v>
      </c>
      <c r="O247" s="6">
        <v>1.2E-2</v>
      </c>
      <c r="P247" s="6">
        <v>0</v>
      </c>
      <c r="Q247" s="4" t="s">
        <v>26</v>
      </c>
      <c r="R247" s="4">
        <v>0</v>
      </c>
      <c r="S247" s="4" t="s">
        <v>276</v>
      </c>
      <c r="T247" s="4" t="s">
        <v>481</v>
      </c>
      <c r="U247" s="4">
        <v>0</v>
      </c>
      <c r="V247" s="4">
        <v>41</v>
      </c>
      <c r="W247" s="4">
        <v>78</v>
      </c>
    </row>
    <row r="248" spans="1:23" ht="11.25" customHeight="1" x14ac:dyDescent="0.25">
      <c r="A248" s="4" t="s">
        <v>21</v>
      </c>
      <c r="B248" s="4" t="s">
        <v>32</v>
      </c>
      <c r="C248" s="4" t="s">
        <v>39</v>
      </c>
      <c r="D248" s="4" t="s">
        <v>38</v>
      </c>
      <c r="E248" s="4" t="s">
        <v>25</v>
      </c>
      <c r="F248" s="4" t="s">
        <v>25</v>
      </c>
      <c r="G248" s="4" t="s">
        <v>25</v>
      </c>
      <c r="H248" s="4" t="s">
        <v>36</v>
      </c>
      <c r="I248" s="5">
        <v>44652</v>
      </c>
      <c r="J248" s="6">
        <v>0</v>
      </c>
      <c r="K248" s="6">
        <v>0</v>
      </c>
      <c r="L248" s="6">
        <v>8.0000000000000002E-3</v>
      </c>
      <c r="M248" s="6">
        <v>8.0000000000000002E-3</v>
      </c>
      <c r="N248" s="6">
        <v>8.0000000000000002E-3</v>
      </c>
      <c r="O248" s="6">
        <v>8.0000000000000002E-3</v>
      </c>
      <c r="P248" s="6">
        <v>0</v>
      </c>
      <c r="Q248" s="4" t="s">
        <v>26</v>
      </c>
      <c r="R248" s="4">
        <v>0</v>
      </c>
      <c r="S248" s="4" t="s">
        <v>277</v>
      </c>
      <c r="T248" s="4" t="s">
        <v>482</v>
      </c>
      <c r="U248" s="4">
        <v>0</v>
      </c>
      <c r="V248" s="4">
        <v>41</v>
      </c>
      <c r="W248" s="4">
        <v>78</v>
      </c>
    </row>
    <row r="249" spans="1:23" ht="11.25" customHeight="1" x14ac:dyDescent="0.25">
      <c r="A249" s="4" t="s">
        <v>21</v>
      </c>
      <c r="B249" s="4" t="s">
        <v>32</v>
      </c>
      <c r="C249" s="4" t="s">
        <v>23</v>
      </c>
      <c r="D249" s="4" t="s">
        <v>38</v>
      </c>
      <c r="E249" s="4" t="s">
        <v>25</v>
      </c>
      <c r="F249" s="4" t="s">
        <v>25</v>
      </c>
      <c r="G249" s="4" t="s">
        <v>25</v>
      </c>
      <c r="H249" s="4" t="s">
        <v>25</v>
      </c>
      <c r="I249" s="5">
        <v>44317</v>
      </c>
      <c r="J249" s="6">
        <v>0</v>
      </c>
      <c r="K249" s="6">
        <v>0</v>
      </c>
      <c r="L249" s="6">
        <v>62.146000000000001</v>
      </c>
      <c r="M249" s="6">
        <v>62.146000000000001</v>
      </c>
      <c r="N249" s="6">
        <v>62.146000000000001</v>
      </c>
      <c r="O249" s="6">
        <v>62.146000000000001</v>
      </c>
      <c r="P249" s="6">
        <v>208</v>
      </c>
      <c r="Q249" s="4" t="s">
        <v>26</v>
      </c>
      <c r="R249" s="4">
        <v>0</v>
      </c>
      <c r="S249" s="4" t="s">
        <v>278</v>
      </c>
      <c r="T249" s="4" t="s">
        <v>483</v>
      </c>
      <c r="U249" s="4">
        <v>0</v>
      </c>
      <c r="V249" s="4">
        <v>44</v>
      </c>
      <c r="W249" s="4">
        <v>81</v>
      </c>
    </row>
    <row r="250" spans="1:23" ht="11.25" customHeight="1" x14ac:dyDescent="0.25">
      <c r="A250" s="4" t="s">
        <v>27</v>
      </c>
      <c r="B250" s="4" t="s">
        <v>32</v>
      </c>
      <c r="C250" s="4" t="s">
        <v>23</v>
      </c>
      <c r="D250" s="4" t="s">
        <v>38</v>
      </c>
      <c r="E250" s="4" t="s">
        <v>25</v>
      </c>
      <c r="F250" s="4" t="s">
        <v>25</v>
      </c>
      <c r="G250" s="4" t="s">
        <v>25</v>
      </c>
      <c r="H250" s="4" t="s">
        <v>25</v>
      </c>
      <c r="I250" s="5">
        <v>44317</v>
      </c>
      <c r="J250" s="6">
        <v>0</v>
      </c>
      <c r="K250" s="6">
        <v>0</v>
      </c>
      <c r="L250" s="6">
        <v>5.3890000000000002</v>
      </c>
      <c r="M250" s="6">
        <v>5.3890000000000002</v>
      </c>
      <c r="N250" s="6">
        <v>5.3890000000000002</v>
      </c>
      <c r="O250" s="6">
        <v>5.3890000000000002</v>
      </c>
      <c r="P250" s="6">
        <v>6</v>
      </c>
      <c r="Q250" s="4" t="s">
        <v>26</v>
      </c>
      <c r="R250" s="4">
        <v>0</v>
      </c>
      <c r="S250" s="4" t="s">
        <v>278</v>
      </c>
      <c r="T250" s="4" t="s">
        <v>483</v>
      </c>
      <c r="U250" s="4">
        <v>0</v>
      </c>
      <c r="V250" s="4">
        <v>44</v>
      </c>
      <c r="W250" s="4">
        <v>81</v>
      </c>
    </row>
    <row r="251" spans="1:23" ht="11.25" customHeight="1" x14ac:dyDescent="0.25">
      <c r="A251" s="4" t="s">
        <v>21</v>
      </c>
      <c r="B251" s="4" t="s">
        <v>32</v>
      </c>
      <c r="C251" s="4" t="s">
        <v>23</v>
      </c>
      <c r="D251" s="4" t="s">
        <v>38</v>
      </c>
      <c r="E251" s="4" t="s">
        <v>25</v>
      </c>
      <c r="F251" s="4" t="s">
        <v>25</v>
      </c>
      <c r="G251" s="4" t="s">
        <v>25</v>
      </c>
      <c r="H251" s="4" t="s">
        <v>25</v>
      </c>
      <c r="I251" s="5">
        <v>44348</v>
      </c>
      <c r="J251" s="6">
        <v>0</v>
      </c>
      <c r="K251" s="6">
        <v>0</v>
      </c>
      <c r="L251" s="6">
        <v>54.484000000000002</v>
      </c>
      <c r="M251" s="6">
        <v>54.484000000000002</v>
      </c>
      <c r="N251" s="6">
        <v>54.484000000000002</v>
      </c>
      <c r="O251" s="6">
        <v>54.484000000000002</v>
      </c>
      <c r="P251" s="6">
        <v>210</v>
      </c>
      <c r="Q251" s="4" t="s">
        <v>26</v>
      </c>
      <c r="R251" s="4">
        <v>0</v>
      </c>
      <c r="S251" s="4" t="s">
        <v>279</v>
      </c>
      <c r="T251" s="4" t="s">
        <v>484</v>
      </c>
      <c r="U251" s="4">
        <v>0</v>
      </c>
      <c r="V251" s="4">
        <v>44</v>
      </c>
      <c r="W251" s="4">
        <v>81</v>
      </c>
    </row>
    <row r="252" spans="1:23" ht="11.25" customHeight="1" x14ac:dyDescent="0.25">
      <c r="A252" s="4" t="s">
        <v>27</v>
      </c>
      <c r="B252" s="4" t="s">
        <v>32</v>
      </c>
      <c r="C252" s="4" t="s">
        <v>23</v>
      </c>
      <c r="D252" s="4" t="s">
        <v>38</v>
      </c>
      <c r="E252" s="4" t="s">
        <v>25</v>
      </c>
      <c r="F252" s="4" t="s">
        <v>25</v>
      </c>
      <c r="G252" s="4" t="s">
        <v>25</v>
      </c>
      <c r="H252" s="4" t="s">
        <v>25</v>
      </c>
      <c r="I252" s="5">
        <v>44348</v>
      </c>
      <c r="J252" s="6">
        <v>0</v>
      </c>
      <c r="K252" s="6">
        <v>0</v>
      </c>
      <c r="L252" s="6">
        <v>4.8170000000000002</v>
      </c>
      <c r="M252" s="6">
        <v>4.8170000000000002</v>
      </c>
      <c r="N252" s="6">
        <v>4.8170000000000002</v>
      </c>
      <c r="O252" s="6">
        <v>4.8170000000000002</v>
      </c>
      <c r="P252" s="6">
        <v>6</v>
      </c>
      <c r="Q252" s="4" t="s">
        <v>26</v>
      </c>
      <c r="R252" s="4">
        <v>0</v>
      </c>
      <c r="S252" s="4" t="s">
        <v>279</v>
      </c>
      <c r="T252" s="4" t="s">
        <v>484</v>
      </c>
      <c r="U252" s="4">
        <v>0</v>
      </c>
      <c r="V252" s="4">
        <v>44</v>
      </c>
      <c r="W252" s="4">
        <v>81</v>
      </c>
    </row>
    <row r="253" spans="1:23" ht="11.25" customHeight="1" x14ac:dyDescent="0.25">
      <c r="A253" s="4" t="s">
        <v>21</v>
      </c>
      <c r="B253" s="4" t="s">
        <v>32</v>
      </c>
      <c r="C253" s="4" t="s">
        <v>23</v>
      </c>
      <c r="D253" s="4" t="s">
        <v>38</v>
      </c>
      <c r="E253" s="4" t="s">
        <v>25</v>
      </c>
      <c r="F253" s="4" t="s">
        <v>25</v>
      </c>
      <c r="G253" s="4" t="s">
        <v>25</v>
      </c>
      <c r="H253" s="4" t="s">
        <v>25</v>
      </c>
      <c r="I253" s="5">
        <v>44378</v>
      </c>
      <c r="J253" s="6">
        <v>0</v>
      </c>
      <c r="K253" s="6">
        <v>0</v>
      </c>
      <c r="L253" s="6">
        <v>51.213000000000001</v>
      </c>
      <c r="M253" s="6">
        <v>51.213000000000001</v>
      </c>
      <c r="N253" s="6">
        <v>51.213000000000001</v>
      </c>
      <c r="O253" s="6">
        <v>51.213000000000001</v>
      </c>
      <c r="P253" s="6">
        <v>207</v>
      </c>
      <c r="Q253" s="4" t="s">
        <v>26</v>
      </c>
      <c r="R253" s="4">
        <v>0</v>
      </c>
      <c r="S253" s="4" t="s">
        <v>280</v>
      </c>
      <c r="T253" s="4" t="s">
        <v>485</v>
      </c>
      <c r="U253" s="4">
        <v>0</v>
      </c>
      <c r="V253" s="4">
        <v>44</v>
      </c>
      <c r="W253" s="4">
        <v>81</v>
      </c>
    </row>
    <row r="254" spans="1:23" ht="11.25" customHeight="1" x14ac:dyDescent="0.25">
      <c r="A254" s="4" t="s">
        <v>27</v>
      </c>
      <c r="B254" s="4" t="s">
        <v>32</v>
      </c>
      <c r="C254" s="4" t="s">
        <v>23</v>
      </c>
      <c r="D254" s="4" t="s">
        <v>38</v>
      </c>
      <c r="E254" s="4" t="s">
        <v>25</v>
      </c>
      <c r="F254" s="4" t="s">
        <v>25</v>
      </c>
      <c r="G254" s="4" t="s">
        <v>25</v>
      </c>
      <c r="H254" s="4" t="s">
        <v>25</v>
      </c>
      <c r="I254" s="5">
        <v>44378</v>
      </c>
      <c r="J254" s="6">
        <v>0</v>
      </c>
      <c r="K254" s="6">
        <v>0</v>
      </c>
      <c r="L254" s="6">
        <v>6.415</v>
      </c>
      <c r="M254" s="6">
        <v>6.415</v>
      </c>
      <c r="N254" s="6">
        <v>6.415</v>
      </c>
      <c r="O254" s="6">
        <v>6.415</v>
      </c>
      <c r="P254" s="6">
        <v>6</v>
      </c>
      <c r="Q254" s="4" t="s">
        <v>26</v>
      </c>
      <c r="R254" s="4">
        <v>0</v>
      </c>
      <c r="S254" s="4" t="s">
        <v>280</v>
      </c>
      <c r="T254" s="4" t="s">
        <v>485</v>
      </c>
      <c r="U254" s="4">
        <v>0</v>
      </c>
      <c r="V254" s="4">
        <v>44</v>
      </c>
      <c r="W254" s="4">
        <v>81</v>
      </c>
    </row>
    <row r="255" spans="1:23" ht="11.25" customHeight="1" x14ac:dyDescent="0.25">
      <c r="A255" s="4" t="s">
        <v>21</v>
      </c>
      <c r="B255" s="4" t="s">
        <v>32</v>
      </c>
      <c r="C255" s="4" t="s">
        <v>23</v>
      </c>
      <c r="D255" s="4" t="s">
        <v>38</v>
      </c>
      <c r="E255" s="4" t="s">
        <v>25</v>
      </c>
      <c r="F255" s="4" t="s">
        <v>25</v>
      </c>
      <c r="G255" s="4" t="s">
        <v>25</v>
      </c>
      <c r="H255" s="4" t="s">
        <v>25</v>
      </c>
      <c r="I255" s="5">
        <v>44409</v>
      </c>
      <c r="J255" s="6">
        <v>0</v>
      </c>
      <c r="K255" s="6">
        <v>0</v>
      </c>
      <c r="L255" s="6">
        <v>54.72</v>
      </c>
      <c r="M255" s="6">
        <v>54.72</v>
      </c>
      <c r="N255" s="6">
        <v>54.72</v>
      </c>
      <c r="O255" s="6">
        <v>54.72</v>
      </c>
      <c r="P255" s="6">
        <v>205</v>
      </c>
      <c r="Q255" s="4" t="s">
        <v>26</v>
      </c>
      <c r="R255" s="4">
        <v>0</v>
      </c>
      <c r="S255" s="4" t="s">
        <v>281</v>
      </c>
      <c r="T255" s="4" t="s">
        <v>486</v>
      </c>
      <c r="U255" s="4">
        <v>0</v>
      </c>
      <c r="V255" s="4">
        <v>44</v>
      </c>
      <c r="W255" s="4">
        <v>81</v>
      </c>
    </row>
    <row r="256" spans="1:23" ht="11.25" customHeight="1" x14ac:dyDescent="0.25">
      <c r="A256" s="4" t="s">
        <v>27</v>
      </c>
      <c r="B256" s="4" t="s">
        <v>32</v>
      </c>
      <c r="C256" s="4" t="s">
        <v>23</v>
      </c>
      <c r="D256" s="4" t="s">
        <v>38</v>
      </c>
      <c r="E256" s="4" t="s">
        <v>25</v>
      </c>
      <c r="F256" s="4" t="s">
        <v>25</v>
      </c>
      <c r="G256" s="4" t="s">
        <v>25</v>
      </c>
      <c r="H256" s="4" t="s">
        <v>25</v>
      </c>
      <c r="I256" s="5">
        <v>44409</v>
      </c>
      <c r="J256" s="6">
        <v>0</v>
      </c>
      <c r="K256" s="6">
        <v>0</v>
      </c>
      <c r="L256" s="6">
        <v>3.36</v>
      </c>
      <c r="M256" s="6">
        <v>3.36</v>
      </c>
      <c r="N256" s="6">
        <v>3.36</v>
      </c>
      <c r="O256" s="6">
        <v>3.36</v>
      </c>
      <c r="P256" s="6">
        <v>6</v>
      </c>
      <c r="Q256" s="4" t="s">
        <v>26</v>
      </c>
      <c r="R256" s="4">
        <v>0</v>
      </c>
      <c r="S256" s="4" t="s">
        <v>281</v>
      </c>
      <c r="T256" s="4" t="s">
        <v>486</v>
      </c>
      <c r="U256" s="4">
        <v>0</v>
      </c>
      <c r="V256" s="4">
        <v>44</v>
      </c>
      <c r="W256" s="4">
        <v>81</v>
      </c>
    </row>
    <row r="257" spans="1:23" ht="11.25" customHeight="1" x14ac:dyDescent="0.25">
      <c r="A257" s="4" t="s">
        <v>21</v>
      </c>
      <c r="B257" s="4" t="s">
        <v>32</v>
      </c>
      <c r="C257" s="4" t="s">
        <v>23</v>
      </c>
      <c r="D257" s="4" t="s">
        <v>38</v>
      </c>
      <c r="E257" s="4" t="s">
        <v>25</v>
      </c>
      <c r="F257" s="4" t="s">
        <v>25</v>
      </c>
      <c r="G257" s="4" t="s">
        <v>25</v>
      </c>
      <c r="H257" s="4" t="s">
        <v>25</v>
      </c>
      <c r="I257" s="5">
        <v>44440</v>
      </c>
      <c r="J257" s="6">
        <v>0</v>
      </c>
      <c r="K257" s="6">
        <v>0</v>
      </c>
      <c r="L257" s="6">
        <v>57.223999999999997</v>
      </c>
      <c r="M257" s="6">
        <v>57.223999999999997</v>
      </c>
      <c r="N257" s="6">
        <v>57.223999999999997</v>
      </c>
      <c r="O257" s="6">
        <v>57.223999999999997</v>
      </c>
      <c r="P257" s="6">
        <v>208</v>
      </c>
      <c r="Q257" s="4" t="s">
        <v>26</v>
      </c>
      <c r="R257" s="4">
        <v>0</v>
      </c>
      <c r="S257" s="4" t="s">
        <v>282</v>
      </c>
      <c r="T257" s="4" t="s">
        <v>487</v>
      </c>
      <c r="U257" s="4">
        <v>0</v>
      </c>
      <c r="V257" s="4">
        <v>44</v>
      </c>
      <c r="W257" s="4">
        <v>81</v>
      </c>
    </row>
    <row r="258" spans="1:23" ht="11.25" customHeight="1" x14ac:dyDescent="0.25">
      <c r="A258" s="4" t="s">
        <v>27</v>
      </c>
      <c r="B258" s="4" t="s">
        <v>32</v>
      </c>
      <c r="C258" s="4" t="s">
        <v>23</v>
      </c>
      <c r="D258" s="4" t="s">
        <v>38</v>
      </c>
      <c r="E258" s="4" t="s">
        <v>25</v>
      </c>
      <c r="F258" s="4" t="s">
        <v>25</v>
      </c>
      <c r="G258" s="4" t="s">
        <v>25</v>
      </c>
      <c r="H258" s="4" t="s">
        <v>25</v>
      </c>
      <c r="I258" s="5">
        <v>44440</v>
      </c>
      <c r="J258" s="6">
        <v>0</v>
      </c>
      <c r="K258" s="6">
        <v>0</v>
      </c>
      <c r="L258" s="6">
        <v>3.1739999999999999</v>
      </c>
      <c r="M258" s="6">
        <v>3.1739999999999999</v>
      </c>
      <c r="N258" s="6">
        <v>3.1739999999999999</v>
      </c>
      <c r="O258" s="6">
        <v>3.1739999999999999</v>
      </c>
      <c r="P258" s="6">
        <v>6</v>
      </c>
      <c r="Q258" s="4" t="s">
        <v>26</v>
      </c>
      <c r="R258" s="4">
        <v>0</v>
      </c>
      <c r="S258" s="4" t="s">
        <v>282</v>
      </c>
      <c r="T258" s="4" t="s">
        <v>487</v>
      </c>
      <c r="U258" s="4">
        <v>0</v>
      </c>
      <c r="V258" s="4">
        <v>44</v>
      </c>
      <c r="W258" s="4">
        <v>81</v>
      </c>
    </row>
    <row r="259" spans="1:23" ht="11.25" customHeight="1" x14ac:dyDescent="0.25">
      <c r="A259" s="4" t="s">
        <v>21</v>
      </c>
      <c r="B259" s="4" t="s">
        <v>32</v>
      </c>
      <c r="C259" s="4" t="s">
        <v>23</v>
      </c>
      <c r="D259" s="4" t="s">
        <v>38</v>
      </c>
      <c r="E259" s="4" t="s">
        <v>25</v>
      </c>
      <c r="F259" s="4" t="s">
        <v>25</v>
      </c>
      <c r="G259" s="4" t="s">
        <v>25</v>
      </c>
      <c r="H259" s="4" t="s">
        <v>25</v>
      </c>
      <c r="I259" s="5">
        <v>44470</v>
      </c>
      <c r="J259" s="6">
        <v>0</v>
      </c>
      <c r="K259" s="6">
        <v>0</v>
      </c>
      <c r="L259" s="6">
        <v>61.203000000000003</v>
      </c>
      <c r="M259" s="6">
        <v>61.203000000000003</v>
      </c>
      <c r="N259" s="6">
        <v>61.203000000000003</v>
      </c>
      <c r="O259" s="6">
        <v>61.203000000000003</v>
      </c>
      <c r="P259" s="6">
        <v>209</v>
      </c>
      <c r="Q259" s="4" t="s">
        <v>26</v>
      </c>
      <c r="R259" s="4">
        <v>0</v>
      </c>
      <c r="S259" s="4" t="s">
        <v>283</v>
      </c>
      <c r="T259" s="4" t="s">
        <v>488</v>
      </c>
      <c r="U259" s="4">
        <v>0</v>
      </c>
      <c r="V259" s="4">
        <v>44</v>
      </c>
      <c r="W259" s="4">
        <v>81</v>
      </c>
    </row>
    <row r="260" spans="1:23" ht="11.25" customHeight="1" x14ac:dyDescent="0.25">
      <c r="A260" s="4" t="s">
        <v>27</v>
      </c>
      <c r="B260" s="4" t="s">
        <v>32</v>
      </c>
      <c r="C260" s="4" t="s">
        <v>23</v>
      </c>
      <c r="D260" s="4" t="s">
        <v>38</v>
      </c>
      <c r="E260" s="4" t="s">
        <v>25</v>
      </c>
      <c r="F260" s="4" t="s">
        <v>25</v>
      </c>
      <c r="G260" s="4" t="s">
        <v>25</v>
      </c>
      <c r="H260" s="4" t="s">
        <v>25</v>
      </c>
      <c r="I260" s="5">
        <v>44470</v>
      </c>
      <c r="J260" s="6">
        <v>0</v>
      </c>
      <c r="K260" s="6">
        <v>0</v>
      </c>
      <c r="L260" s="6">
        <v>3.6379999999999999</v>
      </c>
      <c r="M260" s="6">
        <v>3.6379999999999999</v>
      </c>
      <c r="N260" s="6">
        <v>3.6379999999999999</v>
      </c>
      <c r="O260" s="6">
        <v>3.6379999999999999</v>
      </c>
      <c r="P260" s="6">
        <v>6</v>
      </c>
      <c r="Q260" s="4" t="s">
        <v>26</v>
      </c>
      <c r="R260" s="4">
        <v>0</v>
      </c>
      <c r="S260" s="4" t="s">
        <v>283</v>
      </c>
      <c r="T260" s="4" t="s">
        <v>488</v>
      </c>
      <c r="U260" s="4">
        <v>0</v>
      </c>
      <c r="V260" s="4">
        <v>44</v>
      </c>
      <c r="W260" s="4">
        <v>81</v>
      </c>
    </row>
    <row r="261" spans="1:23" ht="11.25" customHeight="1" x14ac:dyDescent="0.25">
      <c r="A261" s="4" t="s">
        <v>21</v>
      </c>
      <c r="B261" s="4" t="s">
        <v>32</v>
      </c>
      <c r="C261" s="4" t="s">
        <v>23</v>
      </c>
      <c r="D261" s="4" t="s">
        <v>38</v>
      </c>
      <c r="E261" s="4" t="s">
        <v>25</v>
      </c>
      <c r="F261" s="4" t="s">
        <v>25</v>
      </c>
      <c r="G261" s="4" t="s">
        <v>25</v>
      </c>
      <c r="H261" s="4" t="s">
        <v>25</v>
      </c>
      <c r="I261" s="5">
        <v>44501</v>
      </c>
      <c r="J261" s="6">
        <v>0</v>
      </c>
      <c r="K261" s="6">
        <v>0</v>
      </c>
      <c r="L261" s="6">
        <v>69.272000000000006</v>
      </c>
      <c r="M261" s="6">
        <v>69.272000000000006</v>
      </c>
      <c r="N261" s="6">
        <v>69.272000000000006</v>
      </c>
      <c r="O261" s="6">
        <v>69.272000000000006</v>
      </c>
      <c r="P261" s="6">
        <v>210</v>
      </c>
      <c r="Q261" s="4" t="s">
        <v>26</v>
      </c>
      <c r="R261" s="4">
        <v>0</v>
      </c>
      <c r="S261" s="4" t="s">
        <v>284</v>
      </c>
      <c r="T261" s="4" t="s">
        <v>489</v>
      </c>
      <c r="U261" s="4">
        <v>0</v>
      </c>
      <c r="V261" s="4">
        <v>44</v>
      </c>
      <c r="W261" s="4">
        <v>81</v>
      </c>
    </row>
    <row r="262" spans="1:23" ht="11.25" customHeight="1" x14ac:dyDescent="0.25">
      <c r="A262" s="4" t="s">
        <v>27</v>
      </c>
      <c r="B262" s="4" t="s">
        <v>32</v>
      </c>
      <c r="C262" s="4" t="s">
        <v>23</v>
      </c>
      <c r="D262" s="4" t="s">
        <v>38</v>
      </c>
      <c r="E262" s="4" t="s">
        <v>25</v>
      </c>
      <c r="F262" s="4" t="s">
        <v>25</v>
      </c>
      <c r="G262" s="4" t="s">
        <v>25</v>
      </c>
      <c r="H262" s="4" t="s">
        <v>25</v>
      </c>
      <c r="I262" s="5">
        <v>44501</v>
      </c>
      <c r="J262" s="6">
        <v>0</v>
      </c>
      <c r="K262" s="6">
        <v>0</v>
      </c>
      <c r="L262" s="6">
        <v>5.8289999999999997</v>
      </c>
      <c r="M262" s="6">
        <v>5.8289999999999997</v>
      </c>
      <c r="N262" s="6">
        <v>5.8289999999999997</v>
      </c>
      <c r="O262" s="6">
        <v>5.8289999999999997</v>
      </c>
      <c r="P262" s="6">
        <v>6</v>
      </c>
      <c r="Q262" s="4" t="s">
        <v>26</v>
      </c>
      <c r="R262" s="4">
        <v>0</v>
      </c>
      <c r="S262" s="4" t="s">
        <v>284</v>
      </c>
      <c r="T262" s="4" t="s">
        <v>489</v>
      </c>
      <c r="U262" s="4">
        <v>0</v>
      </c>
      <c r="V262" s="4">
        <v>44</v>
      </c>
      <c r="W262" s="4">
        <v>81</v>
      </c>
    </row>
    <row r="263" spans="1:23" ht="11.25" customHeight="1" x14ac:dyDescent="0.25">
      <c r="A263" s="4" t="s">
        <v>21</v>
      </c>
      <c r="B263" s="4" t="s">
        <v>32</v>
      </c>
      <c r="C263" s="4" t="s">
        <v>23</v>
      </c>
      <c r="D263" s="4" t="s">
        <v>38</v>
      </c>
      <c r="E263" s="4" t="s">
        <v>25</v>
      </c>
      <c r="F263" s="4" t="s">
        <v>25</v>
      </c>
      <c r="G263" s="4" t="s">
        <v>25</v>
      </c>
      <c r="H263" s="4" t="s">
        <v>25</v>
      </c>
      <c r="I263" s="5">
        <v>44531</v>
      </c>
      <c r="J263" s="6">
        <v>0</v>
      </c>
      <c r="K263" s="6">
        <v>0</v>
      </c>
      <c r="L263" s="6">
        <v>66.42</v>
      </c>
      <c r="M263" s="6">
        <v>66.42</v>
      </c>
      <c r="N263" s="6">
        <v>66.42</v>
      </c>
      <c r="O263" s="6">
        <v>66.42</v>
      </c>
      <c r="P263" s="6">
        <v>210</v>
      </c>
      <c r="Q263" s="4" t="s">
        <v>26</v>
      </c>
      <c r="R263" s="4">
        <v>0</v>
      </c>
      <c r="S263" s="4" t="s">
        <v>285</v>
      </c>
      <c r="T263" s="4" t="s">
        <v>490</v>
      </c>
      <c r="U263" s="4">
        <v>0</v>
      </c>
      <c r="V263" s="4">
        <v>44</v>
      </c>
      <c r="W263" s="4">
        <v>81</v>
      </c>
    </row>
    <row r="264" spans="1:23" ht="11.25" customHeight="1" x14ac:dyDescent="0.25">
      <c r="A264" s="4" t="s">
        <v>27</v>
      </c>
      <c r="B264" s="4" t="s">
        <v>32</v>
      </c>
      <c r="C264" s="4" t="s">
        <v>23</v>
      </c>
      <c r="D264" s="4" t="s">
        <v>38</v>
      </c>
      <c r="E264" s="4" t="s">
        <v>25</v>
      </c>
      <c r="F264" s="4" t="s">
        <v>25</v>
      </c>
      <c r="G264" s="4" t="s">
        <v>25</v>
      </c>
      <c r="H264" s="4" t="s">
        <v>25</v>
      </c>
      <c r="I264" s="5">
        <v>44531</v>
      </c>
      <c r="J264" s="6">
        <v>0</v>
      </c>
      <c r="K264" s="6">
        <v>0</v>
      </c>
      <c r="L264" s="6">
        <v>5.5060000000000002</v>
      </c>
      <c r="M264" s="6">
        <v>5.5060000000000002</v>
      </c>
      <c r="N264" s="6">
        <v>5.5060000000000002</v>
      </c>
      <c r="O264" s="6">
        <v>5.5060000000000002</v>
      </c>
      <c r="P264" s="6">
        <v>6</v>
      </c>
      <c r="Q264" s="4" t="s">
        <v>26</v>
      </c>
      <c r="R264" s="4">
        <v>0</v>
      </c>
      <c r="S264" s="4" t="s">
        <v>285</v>
      </c>
      <c r="T264" s="4" t="s">
        <v>490</v>
      </c>
      <c r="U264" s="4">
        <v>0</v>
      </c>
      <c r="V264" s="4">
        <v>44</v>
      </c>
      <c r="W264" s="4">
        <v>81</v>
      </c>
    </row>
    <row r="265" spans="1:23" ht="11.25" customHeight="1" x14ac:dyDescent="0.25">
      <c r="A265" s="4" t="s">
        <v>21</v>
      </c>
      <c r="B265" s="4" t="s">
        <v>32</v>
      </c>
      <c r="C265" s="4" t="s">
        <v>23</v>
      </c>
      <c r="D265" s="4" t="s">
        <v>38</v>
      </c>
      <c r="E265" s="4" t="s">
        <v>25</v>
      </c>
      <c r="F265" s="4" t="s">
        <v>25</v>
      </c>
      <c r="G265" s="4" t="s">
        <v>25</v>
      </c>
      <c r="H265" s="4" t="s">
        <v>25</v>
      </c>
      <c r="I265" s="5">
        <v>44562</v>
      </c>
      <c r="J265" s="6">
        <v>0</v>
      </c>
      <c r="K265" s="6">
        <v>0</v>
      </c>
      <c r="L265" s="6">
        <v>66.722999999999999</v>
      </c>
      <c r="M265" s="6">
        <v>66.722999999999999</v>
      </c>
      <c r="N265" s="6">
        <v>66.722999999999999</v>
      </c>
      <c r="O265" s="6">
        <v>66.722999999999999</v>
      </c>
      <c r="P265" s="6">
        <v>208</v>
      </c>
      <c r="Q265" s="4" t="s">
        <v>26</v>
      </c>
      <c r="R265" s="4">
        <v>0</v>
      </c>
      <c r="S265" s="4" t="s">
        <v>286</v>
      </c>
      <c r="T265" s="4" t="s">
        <v>491</v>
      </c>
      <c r="U265" s="4">
        <v>0</v>
      </c>
      <c r="V265" s="4">
        <v>44</v>
      </c>
      <c r="W265" s="4">
        <v>81</v>
      </c>
    </row>
    <row r="266" spans="1:23" ht="11.25" customHeight="1" x14ac:dyDescent="0.25">
      <c r="A266" s="4" t="s">
        <v>27</v>
      </c>
      <c r="B266" s="4" t="s">
        <v>32</v>
      </c>
      <c r="C266" s="4" t="s">
        <v>23</v>
      </c>
      <c r="D266" s="4" t="s">
        <v>38</v>
      </c>
      <c r="E266" s="4" t="s">
        <v>25</v>
      </c>
      <c r="F266" s="4" t="s">
        <v>25</v>
      </c>
      <c r="G266" s="4" t="s">
        <v>25</v>
      </c>
      <c r="H266" s="4" t="s">
        <v>25</v>
      </c>
      <c r="I266" s="5">
        <v>44562</v>
      </c>
      <c r="J266" s="6">
        <v>0</v>
      </c>
      <c r="K266" s="6">
        <v>0</v>
      </c>
      <c r="L266" s="6">
        <v>9.18</v>
      </c>
      <c r="M266" s="6">
        <v>9.18</v>
      </c>
      <c r="N266" s="6">
        <v>9.18</v>
      </c>
      <c r="O266" s="6">
        <v>9.18</v>
      </c>
      <c r="P266" s="6">
        <v>6</v>
      </c>
      <c r="Q266" s="4" t="s">
        <v>26</v>
      </c>
      <c r="R266" s="4">
        <v>0</v>
      </c>
      <c r="S266" s="4" t="s">
        <v>286</v>
      </c>
      <c r="T266" s="4" t="s">
        <v>491</v>
      </c>
      <c r="U266" s="4">
        <v>0</v>
      </c>
      <c r="V266" s="4">
        <v>44</v>
      </c>
      <c r="W266" s="4">
        <v>81</v>
      </c>
    </row>
    <row r="267" spans="1:23" ht="11.25" customHeight="1" x14ac:dyDescent="0.25">
      <c r="A267" s="4" t="s">
        <v>21</v>
      </c>
      <c r="B267" s="4" t="s">
        <v>32</v>
      </c>
      <c r="C267" s="4" t="s">
        <v>23</v>
      </c>
      <c r="D267" s="4" t="s">
        <v>38</v>
      </c>
      <c r="E267" s="4" t="s">
        <v>25</v>
      </c>
      <c r="F267" s="4" t="s">
        <v>25</v>
      </c>
      <c r="G267" s="4" t="s">
        <v>25</v>
      </c>
      <c r="H267" s="4" t="s">
        <v>25</v>
      </c>
      <c r="I267" s="5">
        <v>44593</v>
      </c>
      <c r="J267" s="6">
        <v>0</v>
      </c>
      <c r="K267" s="6">
        <v>0</v>
      </c>
      <c r="L267" s="6">
        <v>61.658000000000001</v>
      </c>
      <c r="M267" s="6">
        <v>61.658000000000001</v>
      </c>
      <c r="N267" s="6">
        <v>61.658000000000001</v>
      </c>
      <c r="O267" s="6">
        <v>61.658000000000001</v>
      </c>
      <c r="P267" s="6">
        <v>206</v>
      </c>
      <c r="Q267" s="4" t="s">
        <v>26</v>
      </c>
      <c r="R267" s="4">
        <v>0</v>
      </c>
      <c r="S267" s="4" t="s">
        <v>287</v>
      </c>
      <c r="T267" s="4" t="s">
        <v>492</v>
      </c>
      <c r="U267" s="4">
        <v>0</v>
      </c>
      <c r="V267" s="4">
        <v>44</v>
      </c>
      <c r="W267" s="4">
        <v>81</v>
      </c>
    </row>
    <row r="268" spans="1:23" ht="11.25" customHeight="1" x14ac:dyDescent="0.25">
      <c r="A268" s="4" t="s">
        <v>27</v>
      </c>
      <c r="B268" s="4" t="s">
        <v>32</v>
      </c>
      <c r="C268" s="4" t="s">
        <v>23</v>
      </c>
      <c r="D268" s="4" t="s">
        <v>38</v>
      </c>
      <c r="E268" s="4" t="s">
        <v>25</v>
      </c>
      <c r="F268" s="4" t="s">
        <v>25</v>
      </c>
      <c r="G268" s="4" t="s">
        <v>25</v>
      </c>
      <c r="H268" s="4" t="s">
        <v>25</v>
      </c>
      <c r="I268" s="5">
        <v>44593</v>
      </c>
      <c r="J268" s="6">
        <v>0</v>
      </c>
      <c r="K268" s="6">
        <v>0</v>
      </c>
      <c r="L268" s="6">
        <v>6.5590000000000002</v>
      </c>
      <c r="M268" s="6">
        <v>6.5590000000000002</v>
      </c>
      <c r="N268" s="6">
        <v>6.5590000000000002</v>
      </c>
      <c r="O268" s="6">
        <v>6.5590000000000002</v>
      </c>
      <c r="P268" s="6">
        <v>6</v>
      </c>
      <c r="Q268" s="4" t="s">
        <v>26</v>
      </c>
      <c r="R268" s="4">
        <v>0</v>
      </c>
      <c r="S268" s="4" t="s">
        <v>287</v>
      </c>
      <c r="T268" s="4" t="s">
        <v>492</v>
      </c>
      <c r="U268" s="4">
        <v>0</v>
      </c>
      <c r="V268" s="4">
        <v>44</v>
      </c>
      <c r="W268" s="4">
        <v>81</v>
      </c>
    </row>
    <row r="269" spans="1:23" ht="11.25" customHeight="1" x14ac:dyDescent="0.25">
      <c r="A269" s="4" t="s">
        <v>21</v>
      </c>
      <c r="B269" s="4" t="s">
        <v>32</v>
      </c>
      <c r="C269" s="4" t="s">
        <v>23</v>
      </c>
      <c r="D269" s="4" t="s">
        <v>38</v>
      </c>
      <c r="E269" s="4" t="s">
        <v>25</v>
      </c>
      <c r="F269" s="4" t="s">
        <v>25</v>
      </c>
      <c r="G269" s="4" t="s">
        <v>25</v>
      </c>
      <c r="H269" s="4" t="s">
        <v>25</v>
      </c>
      <c r="I269" s="5">
        <v>44621</v>
      </c>
      <c r="J269" s="6">
        <v>0</v>
      </c>
      <c r="K269" s="6">
        <v>0</v>
      </c>
      <c r="L269" s="6">
        <v>65.599000000000004</v>
      </c>
      <c r="M269" s="6">
        <v>65.599000000000004</v>
      </c>
      <c r="N269" s="6">
        <v>65.599000000000004</v>
      </c>
      <c r="O269" s="6">
        <v>65.599000000000004</v>
      </c>
      <c r="P269" s="6">
        <v>208</v>
      </c>
      <c r="Q269" s="4" t="s">
        <v>26</v>
      </c>
      <c r="R269" s="4">
        <v>0</v>
      </c>
      <c r="S269" s="4" t="s">
        <v>288</v>
      </c>
      <c r="T269" s="4" t="s">
        <v>493</v>
      </c>
      <c r="U269" s="4">
        <v>0</v>
      </c>
      <c r="V269" s="4">
        <v>44</v>
      </c>
      <c r="W269" s="4">
        <v>81</v>
      </c>
    </row>
    <row r="270" spans="1:23" ht="11.25" customHeight="1" x14ac:dyDescent="0.25">
      <c r="A270" s="4" t="s">
        <v>27</v>
      </c>
      <c r="B270" s="4" t="s">
        <v>32</v>
      </c>
      <c r="C270" s="4" t="s">
        <v>23</v>
      </c>
      <c r="D270" s="4" t="s">
        <v>38</v>
      </c>
      <c r="E270" s="4" t="s">
        <v>25</v>
      </c>
      <c r="F270" s="4" t="s">
        <v>25</v>
      </c>
      <c r="G270" s="4" t="s">
        <v>25</v>
      </c>
      <c r="H270" s="4" t="s">
        <v>25</v>
      </c>
      <c r="I270" s="5">
        <v>44621</v>
      </c>
      <c r="J270" s="6">
        <v>0</v>
      </c>
      <c r="K270" s="6">
        <v>0</v>
      </c>
      <c r="L270" s="6">
        <v>6.6639999999999997</v>
      </c>
      <c r="M270" s="6">
        <v>6.6639999999999997</v>
      </c>
      <c r="N270" s="6">
        <v>6.6639999999999997</v>
      </c>
      <c r="O270" s="6">
        <v>6.6639999999999997</v>
      </c>
      <c r="P270" s="6">
        <v>7</v>
      </c>
      <c r="Q270" s="4" t="s">
        <v>26</v>
      </c>
      <c r="R270" s="4">
        <v>0</v>
      </c>
      <c r="S270" s="4" t="s">
        <v>288</v>
      </c>
      <c r="T270" s="4" t="s">
        <v>493</v>
      </c>
      <c r="U270" s="4">
        <v>0</v>
      </c>
      <c r="V270" s="4">
        <v>44</v>
      </c>
      <c r="W270" s="4">
        <v>81</v>
      </c>
    </row>
    <row r="271" spans="1:23" ht="11.25" customHeight="1" x14ac:dyDescent="0.25">
      <c r="A271" s="4" t="s">
        <v>21</v>
      </c>
      <c r="B271" s="4" t="s">
        <v>32</v>
      </c>
      <c r="C271" s="4" t="s">
        <v>23</v>
      </c>
      <c r="D271" s="4" t="s">
        <v>38</v>
      </c>
      <c r="E271" s="4" t="s">
        <v>25</v>
      </c>
      <c r="F271" s="4" t="s">
        <v>25</v>
      </c>
      <c r="G271" s="4" t="s">
        <v>25</v>
      </c>
      <c r="H271" s="4" t="s">
        <v>25</v>
      </c>
      <c r="I271" s="5">
        <v>44652</v>
      </c>
      <c r="J271" s="6">
        <v>0</v>
      </c>
      <c r="K271" s="6">
        <v>0</v>
      </c>
      <c r="L271" s="6">
        <v>60.774000000000001</v>
      </c>
      <c r="M271" s="6">
        <v>60.774000000000001</v>
      </c>
      <c r="N271" s="6">
        <v>60.774000000000001</v>
      </c>
      <c r="O271" s="6">
        <v>60.774000000000001</v>
      </c>
      <c r="P271" s="6">
        <v>207</v>
      </c>
      <c r="Q271" s="4" t="s">
        <v>26</v>
      </c>
      <c r="R271" s="4">
        <v>0</v>
      </c>
      <c r="S271" s="4" t="s">
        <v>289</v>
      </c>
      <c r="T271" s="4" t="s">
        <v>494</v>
      </c>
      <c r="U271" s="4">
        <v>0</v>
      </c>
      <c r="V271" s="4">
        <v>44</v>
      </c>
      <c r="W271" s="4">
        <v>81</v>
      </c>
    </row>
    <row r="272" spans="1:23" ht="11.25" customHeight="1" x14ac:dyDescent="0.25">
      <c r="A272" s="4" t="s">
        <v>27</v>
      </c>
      <c r="B272" s="4" t="s">
        <v>32</v>
      </c>
      <c r="C272" s="4" t="s">
        <v>23</v>
      </c>
      <c r="D272" s="4" t="s">
        <v>38</v>
      </c>
      <c r="E272" s="4" t="s">
        <v>25</v>
      </c>
      <c r="F272" s="4" t="s">
        <v>25</v>
      </c>
      <c r="G272" s="4" t="s">
        <v>25</v>
      </c>
      <c r="H272" s="4" t="s">
        <v>25</v>
      </c>
      <c r="I272" s="5">
        <v>44652</v>
      </c>
      <c r="J272" s="6">
        <v>0</v>
      </c>
      <c r="K272" s="6">
        <v>0</v>
      </c>
      <c r="L272" s="6">
        <v>4.4989999999999997</v>
      </c>
      <c r="M272" s="6">
        <v>4.4989999999999997</v>
      </c>
      <c r="N272" s="6">
        <v>4.4989999999999997</v>
      </c>
      <c r="O272" s="6">
        <v>4.4989999999999997</v>
      </c>
      <c r="P272" s="6">
        <v>7</v>
      </c>
      <c r="Q272" s="4" t="s">
        <v>26</v>
      </c>
      <c r="R272" s="4">
        <v>0</v>
      </c>
      <c r="S272" s="4" t="s">
        <v>289</v>
      </c>
      <c r="T272" s="4" t="s">
        <v>494</v>
      </c>
      <c r="U272" s="4">
        <v>0</v>
      </c>
      <c r="V272" s="4">
        <v>44</v>
      </c>
      <c r="W272" s="4">
        <v>81</v>
      </c>
    </row>
    <row r="273" spans="1:23" ht="11.25" customHeight="1" x14ac:dyDescent="0.25">
      <c r="A273" s="4" t="s">
        <v>21</v>
      </c>
      <c r="B273" s="4" t="s">
        <v>32</v>
      </c>
      <c r="C273" s="4" t="s">
        <v>23</v>
      </c>
      <c r="D273" s="4" t="s">
        <v>49</v>
      </c>
      <c r="E273" s="4" t="s">
        <v>25</v>
      </c>
      <c r="F273" s="4" t="s">
        <v>25</v>
      </c>
      <c r="G273" s="4" t="s">
        <v>25</v>
      </c>
      <c r="H273" s="4" t="s">
        <v>25</v>
      </c>
      <c r="I273" s="5">
        <v>44317</v>
      </c>
      <c r="J273" s="6">
        <v>0</v>
      </c>
      <c r="K273" s="6">
        <v>0</v>
      </c>
      <c r="L273" s="6">
        <v>2.827</v>
      </c>
      <c r="M273" s="6">
        <v>2.827</v>
      </c>
      <c r="N273" s="6">
        <v>2.827</v>
      </c>
      <c r="O273" s="6">
        <v>2.827</v>
      </c>
      <c r="P273" s="6">
        <v>3</v>
      </c>
      <c r="Q273" s="4" t="s">
        <v>26</v>
      </c>
      <c r="R273" s="4">
        <v>0</v>
      </c>
      <c r="S273" s="4" t="s">
        <v>278</v>
      </c>
      <c r="T273" s="4" t="s">
        <v>483</v>
      </c>
      <c r="U273" s="4">
        <v>0</v>
      </c>
      <c r="V273" s="4">
        <v>44</v>
      </c>
      <c r="W273" s="4">
        <v>81</v>
      </c>
    </row>
    <row r="274" spans="1:23" ht="11.25" customHeight="1" x14ac:dyDescent="0.25">
      <c r="A274" s="4" t="s">
        <v>21</v>
      </c>
      <c r="B274" s="4" t="s">
        <v>32</v>
      </c>
      <c r="C274" s="4" t="s">
        <v>23</v>
      </c>
      <c r="D274" s="4" t="s">
        <v>49</v>
      </c>
      <c r="E274" s="4" t="s">
        <v>25</v>
      </c>
      <c r="F274" s="4" t="s">
        <v>25</v>
      </c>
      <c r="G274" s="4" t="s">
        <v>25</v>
      </c>
      <c r="H274" s="4" t="s">
        <v>25</v>
      </c>
      <c r="I274" s="5">
        <v>44348</v>
      </c>
      <c r="J274" s="6">
        <v>0</v>
      </c>
      <c r="K274" s="6">
        <v>0</v>
      </c>
      <c r="L274" s="6">
        <v>2.3570000000000002</v>
      </c>
      <c r="M274" s="6">
        <v>2.3570000000000002</v>
      </c>
      <c r="N274" s="6">
        <v>2.3570000000000002</v>
      </c>
      <c r="O274" s="6">
        <v>2.3570000000000002</v>
      </c>
      <c r="P274" s="6">
        <v>3</v>
      </c>
      <c r="Q274" s="4" t="s">
        <v>26</v>
      </c>
      <c r="R274" s="4">
        <v>0</v>
      </c>
      <c r="S274" s="4" t="s">
        <v>279</v>
      </c>
      <c r="T274" s="4" t="s">
        <v>484</v>
      </c>
      <c r="U274" s="4">
        <v>0</v>
      </c>
      <c r="V274" s="4">
        <v>44</v>
      </c>
      <c r="W274" s="4">
        <v>81</v>
      </c>
    </row>
    <row r="275" spans="1:23" ht="11.25" customHeight="1" x14ac:dyDescent="0.25">
      <c r="A275" s="4" t="s">
        <v>21</v>
      </c>
      <c r="B275" s="4" t="s">
        <v>32</v>
      </c>
      <c r="C275" s="4" t="s">
        <v>23</v>
      </c>
      <c r="D275" s="4" t="s">
        <v>49</v>
      </c>
      <c r="E275" s="4" t="s">
        <v>25</v>
      </c>
      <c r="F275" s="4" t="s">
        <v>25</v>
      </c>
      <c r="G275" s="4" t="s">
        <v>25</v>
      </c>
      <c r="H275" s="4" t="s">
        <v>25</v>
      </c>
      <c r="I275" s="5">
        <v>44378</v>
      </c>
      <c r="J275" s="6">
        <v>0</v>
      </c>
      <c r="K275" s="6">
        <v>0</v>
      </c>
      <c r="L275" s="6">
        <v>2.1869999999999998</v>
      </c>
      <c r="M275" s="6">
        <v>2.1869999999999998</v>
      </c>
      <c r="N275" s="6">
        <v>2.1869999999999998</v>
      </c>
      <c r="O275" s="6">
        <v>2.1869999999999998</v>
      </c>
      <c r="P275" s="6">
        <v>4</v>
      </c>
      <c r="Q275" s="4" t="s">
        <v>26</v>
      </c>
      <c r="R275" s="4">
        <v>0</v>
      </c>
      <c r="S275" s="4" t="s">
        <v>280</v>
      </c>
      <c r="T275" s="4" t="s">
        <v>485</v>
      </c>
      <c r="U275" s="4">
        <v>0</v>
      </c>
      <c r="V275" s="4">
        <v>44</v>
      </c>
      <c r="W275" s="4">
        <v>81</v>
      </c>
    </row>
    <row r="276" spans="1:23" ht="11.25" customHeight="1" x14ac:dyDescent="0.25">
      <c r="A276" s="4" t="s">
        <v>21</v>
      </c>
      <c r="B276" s="4" t="s">
        <v>32</v>
      </c>
      <c r="C276" s="4" t="s">
        <v>23</v>
      </c>
      <c r="D276" s="4" t="s">
        <v>49</v>
      </c>
      <c r="E276" s="4" t="s">
        <v>25</v>
      </c>
      <c r="F276" s="4" t="s">
        <v>25</v>
      </c>
      <c r="G276" s="4" t="s">
        <v>25</v>
      </c>
      <c r="H276" s="4" t="s">
        <v>25</v>
      </c>
      <c r="I276" s="5">
        <v>44409</v>
      </c>
      <c r="J276" s="6">
        <v>0</v>
      </c>
      <c r="K276" s="6">
        <v>0</v>
      </c>
      <c r="L276" s="6">
        <v>2.0830000000000002</v>
      </c>
      <c r="M276" s="6">
        <v>2.0830000000000002</v>
      </c>
      <c r="N276" s="6">
        <v>2.0830000000000002</v>
      </c>
      <c r="O276" s="6">
        <v>2.0830000000000002</v>
      </c>
      <c r="P276" s="6">
        <v>3</v>
      </c>
      <c r="Q276" s="4" t="s">
        <v>26</v>
      </c>
      <c r="R276" s="4">
        <v>0</v>
      </c>
      <c r="S276" s="4" t="s">
        <v>281</v>
      </c>
      <c r="T276" s="4" t="s">
        <v>486</v>
      </c>
      <c r="U276" s="4">
        <v>0</v>
      </c>
      <c r="V276" s="4">
        <v>44</v>
      </c>
      <c r="W276" s="4">
        <v>81</v>
      </c>
    </row>
    <row r="277" spans="1:23" ht="11.25" customHeight="1" x14ac:dyDescent="0.25">
      <c r="A277" s="4" t="s">
        <v>21</v>
      </c>
      <c r="B277" s="4" t="s">
        <v>32</v>
      </c>
      <c r="C277" s="4" t="s">
        <v>23</v>
      </c>
      <c r="D277" s="4" t="s">
        <v>49</v>
      </c>
      <c r="E277" s="4" t="s">
        <v>25</v>
      </c>
      <c r="F277" s="4" t="s">
        <v>25</v>
      </c>
      <c r="G277" s="4" t="s">
        <v>25</v>
      </c>
      <c r="H277" s="4" t="s">
        <v>25</v>
      </c>
      <c r="I277" s="5">
        <v>44440</v>
      </c>
      <c r="J277" s="6">
        <v>0</v>
      </c>
      <c r="K277" s="6">
        <v>0</v>
      </c>
      <c r="L277" s="6">
        <v>2.347</v>
      </c>
      <c r="M277" s="6">
        <v>2.347</v>
      </c>
      <c r="N277" s="6">
        <v>2.347</v>
      </c>
      <c r="O277" s="6">
        <v>2.347</v>
      </c>
      <c r="P277" s="6">
        <v>3</v>
      </c>
      <c r="Q277" s="4" t="s">
        <v>26</v>
      </c>
      <c r="R277" s="4">
        <v>0</v>
      </c>
      <c r="S277" s="4" t="s">
        <v>282</v>
      </c>
      <c r="T277" s="4" t="s">
        <v>487</v>
      </c>
      <c r="U277" s="4">
        <v>0</v>
      </c>
      <c r="V277" s="4">
        <v>44</v>
      </c>
      <c r="W277" s="4">
        <v>81</v>
      </c>
    </row>
    <row r="278" spans="1:23" ht="11.25" customHeight="1" x14ac:dyDescent="0.25">
      <c r="A278" s="4" t="s">
        <v>21</v>
      </c>
      <c r="B278" s="4" t="s">
        <v>32</v>
      </c>
      <c r="C278" s="4" t="s">
        <v>23</v>
      </c>
      <c r="D278" s="4" t="s">
        <v>49</v>
      </c>
      <c r="E278" s="4" t="s">
        <v>25</v>
      </c>
      <c r="F278" s="4" t="s">
        <v>25</v>
      </c>
      <c r="G278" s="4" t="s">
        <v>25</v>
      </c>
      <c r="H278" s="4" t="s">
        <v>25</v>
      </c>
      <c r="I278" s="5">
        <v>44470</v>
      </c>
      <c r="J278" s="6">
        <v>0</v>
      </c>
      <c r="K278" s="6">
        <v>0</v>
      </c>
      <c r="L278" s="6">
        <v>3.274</v>
      </c>
      <c r="M278" s="6">
        <v>3.274</v>
      </c>
      <c r="N278" s="6">
        <v>3.274</v>
      </c>
      <c r="O278" s="6">
        <v>3.274</v>
      </c>
      <c r="P278" s="6">
        <v>3</v>
      </c>
      <c r="Q278" s="4" t="s">
        <v>26</v>
      </c>
      <c r="R278" s="4">
        <v>0</v>
      </c>
      <c r="S278" s="4" t="s">
        <v>283</v>
      </c>
      <c r="T278" s="4" t="s">
        <v>488</v>
      </c>
      <c r="U278" s="4">
        <v>0</v>
      </c>
      <c r="V278" s="4">
        <v>44</v>
      </c>
      <c r="W278" s="4">
        <v>81</v>
      </c>
    </row>
    <row r="279" spans="1:23" ht="11.25" customHeight="1" x14ac:dyDescent="0.25">
      <c r="A279" s="4" t="s">
        <v>21</v>
      </c>
      <c r="B279" s="4" t="s">
        <v>32</v>
      </c>
      <c r="C279" s="4" t="s">
        <v>23</v>
      </c>
      <c r="D279" s="4" t="s">
        <v>49</v>
      </c>
      <c r="E279" s="4" t="s">
        <v>25</v>
      </c>
      <c r="F279" s="4" t="s">
        <v>25</v>
      </c>
      <c r="G279" s="4" t="s">
        <v>25</v>
      </c>
      <c r="H279" s="4" t="s">
        <v>25</v>
      </c>
      <c r="I279" s="5">
        <v>44501</v>
      </c>
      <c r="J279" s="6">
        <v>0</v>
      </c>
      <c r="K279" s="6">
        <v>0</v>
      </c>
      <c r="L279" s="6">
        <v>3.4620000000000002</v>
      </c>
      <c r="M279" s="6">
        <v>3.4620000000000002</v>
      </c>
      <c r="N279" s="6">
        <v>3.4620000000000002</v>
      </c>
      <c r="O279" s="6">
        <v>3.4620000000000002</v>
      </c>
      <c r="P279" s="6">
        <v>3</v>
      </c>
      <c r="Q279" s="4" t="s">
        <v>26</v>
      </c>
      <c r="R279" s="4">
        <v>0</v>
      </c>
      <c r="S279" s="4" t="s">
        <v>284</v>
      </c>
      <c r="T279" s="4" t="s">
        <v>489</v>
      </c>
      <c r="U279" s="4">
        <v>0</v>
      </c>
      <c r="V279" s="4">
        <v>44</v>
      </c>
      <c r="W279" s="4">
        <v>81</v>
      </c>
    </row>
    <row r="280" spans="1:23" ht="11.25" customHeight="1" x14ac:dyDescent="0.25">
      <c r="A280" s="4" t="s">
        <v>21</v>
      </c>
      <c r="B280" s="4" t="s">
        <v>32</v>
      </c>
      <c r="C280" s="4" t="s">
        <v>23</v>
      </c>
      <c r="D280" s="4" t="s">
        <v>49</v>
      </c>
      <c r="E280" s="4" t="s">
        <v>25</v>
      </c>
      <c r="F280" s="4" t="s">
        <v>25</v>
      </c>
      <c r="G280" s="4" t="s">
        <v>25</v>
      </c>
      <c r="H280" s="4" t="s">
        <v>25</v>
      </c>
      <c r="I280" s="5">
        <v>44531</v>
      </c>
      <c r="J280" s="6">
        <v>0</v>
      </c>
      <c r="K280" s="6">
        <v>0</v>
      </c>
      <c r="L280" s="6">
        <v>4.07</v>
      </c>
      <c r="M280" s="6">
        <v>4.07</v>
      </c>
      <c r="N280" s="6">
        <v>4.07</v>
      </c>
      <c r="O280" s="6">
        <v>4.07</v>
      </c>
      <c r="P280" s="6">
        <v>3</v>
      </c>
      <c r="Q280" s="4" t="s">
        <v>26</v>
      </c>
      <c r="R280" s="4">
        <v>0</v>
      </c>
      <c r="S280" s="4" t="s">
        <v>285</v>
      </c>
      <c r="T280" s="4" t="s">
        <v>490</v>
      </c>
      <c r="U280" s="4">
        <v>0</v>
      </c>
      <c r="V280" s="4">
        <v>44</v>
      </c>
      <c r="W280" s="4">
        <v>81</v>
      </c>
    </row>
    <row r="281" spans="1:23" ht="11.25" customHeight="1" x14ac:dyDescent="0.25">
      <c r="A281" s="4" t="s">
        <v>21</v>
      </c>
      <c r="B281" s="4" t="s">
        <v>32</v>
      </c>
      <c r="C281" s="4" t="s">
        <v>23</v>
      </c>
      <c r="D281" s="4" t="s">
        <v>49</v>
      </c>
      <c r="E281" s="4" t="s">
        <v>25</v>
      </c>
      <c r="F281" s="4" t="s">
        <v>25</v>
      </c>
      <c r="G281" s="4" t="s">
        <v>25</v>
      </c>
      <c r="H281" s="4" t="s">
        <v>25</v>
      </c>
      <c r="I281" s="5">
        <v>44562</v>
      </c>
      <c r="J281" s="6">
        <v>0</v>
      </c>
      <c r="K281" s="6">
        <v>0</v>
      </c>
      <c r="L281" s="6">
        <v>3.7850000000000001</v>
      </c>
      <c r="M281" s="6">
        <v>3.7850000000000001</v>
      </c>
      <c r="N281" s="6">
        <v>3.7850000000000001</v>
      </c>
      <c r="O281" s="6">
        <v>3.7850000000000001</v>
      </c>
      <c r="P281" s="6">
        <v>3</v>
      </c>
      <c r="Q281" s="4" t="s">
        <v>26</v>
      </c>
      <c r="R281" s="4">
        <v>0</v>
      </c>
      <c r="S281" s="4" t="s">
        <v>286</v>
      </c>
      <c r="T281" s="4" t="s">
        <v>491</v>
      </c>
      <c r="U281" s="4">
        <v>0</v>
      </c>
      <c r="V281" s="4">
        <v>44</v>
      </c>
      <c r="W281" s="4">
        <v>81</v>
      </c>
    </row>
    <row r="282" spans="1:23" ht="11.25" customHeight="1" x14ac:dyDescent="0.25">
      <c r="A282" s="4" t="s">
        <v>21</v>
      </c>
      <c r="B282" s="4" t="s">
        <v>32</v>
      </c>
      <c r="C282" s="4" t="s">
        <v>23</v>
      </c>
      <c r="D282" s="4" t="s">
        <v>49</v>
      </c>
      <c r="E282" s="4" t="s">
        <v>25</v>
      </c>
      <c r="F282" s="4" t="s">
        <v>25</v>
      </c>
      <c r="G282" s="4" t="s">
        <v>25</v>
      </c>
      <c r="H282" s="4" t="s">
        <v>25</v>
      </c>
      <c r="I282" s="5">
        <v>44593</v>
      </c>
      <c r="J282" s="6">
        <v>0</v>
      </c>
      <c r="K282" s="6">
        <v>0</v>
      </c>
      <c r="L282" s="6">
        <v>3.6960000000000002</v>
      </c>
      <c r="M282" s="6">
        <v>3.6960000000000002</v>
      </c>
      <c r="N282" s="6">
        <v>3.6960000000000002</v>
      </c>
      <c r="O282" s="6">
        <v>3.6960000000000002</v>
      </c>
      <c r="P282" s="6">
        <v>3</v>
      </c>
      <c r="Q282" s="4" t="s">
        <v>26</v>
      </c>
      <c r="R282" s="4">
        <v>0</v>
      </c>
      <c r="S282" s="4" t="s">
        <v>287</v>
      </c>
      <c r="T282" s="4" t="s">
        <v>492</v>
      </c>
      <c r="U282" s="4">
        <v>0</v>
      </c>
      <c r="V282" s="4">
        <v>44</v>
      </c>
      <c r="W282" s="4">
        <v>81</v>
      </c>
    </row>
    <row r="283" spans="1:23" ht="11.25" customHeight="1" x14ac:dyDescent="0.25">
      <c r="A283" s="4" t="s">
        <v>21</v>
      </c>
      <c r="B283" s="4" t="s">
        <v>32</v>
      </c>
      <c r="C283" s="4" t="s">
        <v>23</v>
      </c>
      <c r="D283" s="4" t="s">
        <v>49</v>
      </c>
      <c r="E283" s="4" t="s">
        <v>25</v>
      </c>
      <c r="F283" s="4" t="s">
        <v>25</v>
      </c>
      <c r="G283" s="4" t="s">
        <v>25</v>
      </c>
      <c r="H283" s="4" t="s">
        <v>25</v>
      </c>
      <c r="I283" s="5">
        <v>44621</v>
      </c>
      <c r="J283" s="6">
        <v>0</v>
      </c>
      <c r="K283" s="6">
        <v>0</v>
      </c>
      <c r="L283" s="6">
        <v>3.9830000000000001</v>
      </c>
      <c r="M283" s="6">
        <v>3.9830000000000001</v>
      </c>
      <c r="N283" s="6">
        <v>3.9830000000000001</v>
      </c>
      <c r="O283" s="6">
        <v>3.9830000000000001</v>
      </c>
      <c r="P283" s="6">
        <v>3</v>
      </c>
      <c r="Q283" s="4" t="s">
        <v>26</v>
      </c>
      <c r="R283" s="4">
        <v>0</v>
      </c>
      <c r="S283" s="4" t="s">
        <v>288</v>
      </c>
      <c r="T283" s="4" t="s">
        <v>493</v>
      </c>
      <c r="U283" s="4">
        <v>0</v>
      </c>
      <c r="V283" s="4">
        <v>44</v>
      </c>
      <c r="W283" s="4">
        <v>81</v>
      </c>
    </row>
    <row r="284" spans="1:23" ht="11.25" customHeight="1" x14ac:dyDescent="0.25">
      <c r="A284" s="4" t="s">
        <v>21</v>
      </c>
      <c r="B284" s="4" t="s">
        <v>32</v>
      </c>
      <c r="C284" s="4" t="s">
        <v>23</v>
      </c>
      <c r="D284" s="4" t="s">
        <v>49</v>
      </c>
      <c r="E284" s="4" t="s">
        <v>25</v>
      </c>
      <c r="F284" s="4" t="s">
        <v>25</v>
      </c>
      <c r="G284" s="4" t="s">
        <v>25</v>
      </c>
      <c r="H284" s="4" t="s">
        <v>25</v>
      </c>
      <c r="I284" s="5">
        <v>44652</v>
      </c>
      <c r="J284" s="6">
        <v>0</v>
      </c>
      <c r="K284" s="6">
        <v>0</v>
      </c>
      <c r="L284" s="6">
        <v>3.556</v>
      </c>
      <c r="M284" s="6">
        <v>3.556</v>
      </c>
      <c r="N284" s="6">
        <v>3.556</v>
      </c>
      <c r="O284" s="6">
        <v>3.556</v>
      </c>
      <c r="P284" s="6">
        <v>3</v>
      </c>
      <c r="Q284" s="4" t="s">
        <v>26</v>
      </c>
      <c r="R284" s="4">
        <v>0</v>
      </c>
      <c r="S284" s="4" t="s">
        <v>289</v>
      </c>
      <c r="T284" s="4" t="s">
        <v>494</v>
      </c>
      <c r="U284" s="4">
        <v>0</v>
      </c>
      <c r="V284" s="4">
        <v>44</v>
      </c>
      <c r="W284" s="4">
        <v>81</v>
      </c>
    </row>
    <row r="285" spans="1:23" ht="11.25" customHeight="1" x14ac:dyDescent="0.25">
      <c r="A285" s="4" t="s">
        <v>21</v>
      </c>
      <c r="B285" s="4" t="s">
        <v>32</v>
      </c>
      <c r="C285" s="4" t="s">
        <v>23</v>
      </c>
      <c r="D285" s="4" t="s">
        <v>33</v>
      </c>
      <c r="E285" s="4" t="s">
        <v>25</v>
      </c>
      <c r="F285" s="4" t="s">
        <v>25</v>
      </c>
      <c r="G285" s="4" t="s">
        <v>25</v>
      </c>
      <c r="H285" s="4" t="s">
        <v>25</v>
      </c>
      <c r="I285" s="5">
        <v>44317</v>
      </c>
      <c r="J285" s="6">
        <v>0</v>
      </c>
      <c r="K285" s="6">
        <v>0</v>
      </c>
      <c r="L285" s="6">
        <v>0.35</v>
      </c>
      <c r="M285" s="6">
        <v>0.35</v>
      </c>
      <c r="N285" s="6">
        <v>0.35</v>
      </c>
      <c r="O285" s="6">
        <v>0.35</v>
      </c>
      <c r="P285" s="6">
        <v>3</v>
      </c>
      <c r="Q285" s="4" t="s">
        <v>26</v>
      </c>
      <c r="R285" s="4">
        <v>0</v>
      </c>
      <c r="S285" s="4" t="s">
        <v>278</v>
      </c>
      <c r="T285" s="4" t="s">
        <v>483</v>
      </c>
      <c r="U285" s="4">
        <v>0</v>
      </c>
      <c r="V285" s="4">
        <v>44</v>
      </c>
      <c r="W285" s="4">
        <v>81</v>
      </c>
    </row>
    <row r="286" spans="1:23" ht="11.25" customHeight="1" x14ac:dyDescent="0.25">
      <c r="A286" s="4" t="s">
        <v>21</v>
      </c>
      <c r="B286" s="4" t="s">
        <v>32</v>
      </c>
      <c r="C286" s="4" t="s">
        <v>23</v>
      </c>
      <c r="D286" s="4" t="s">
        <v>33</v>
      </c>
      <c r="E286" s="4" t="s">
        <v>25</v>
      </c>
      <c r="F286" s="4" t="s">
        <v>25</v>
      </c>
      <c r="G286" s="4" t="s">
        <v>25</v>
      </c>
      <c r="H286" s="4" t="s">
        <v>25</v>
      </c>
      <c r="I286" s="5">
        <v>44348</v>
      </c>
      <c r="J286" s="6">
        <v>0</v>
      </c>
      <c r="K286" s="6">
        <v>0</v>
      </c>
      <c r="L286" s="6">
        <v>0.36299999999999999</v>
      </c>
      <c r="M286" s="6">
        <v>0.36299999999999999</v>
      </c>
      <c r="N286" s="6">
        <v>0.36299999999999999</v>
      </c>
      <c r="O286" s="6">
        <v>0.36299999999999999</v>
      </c>
      <c r="P286" s="6">
        <v>3</v>
      </c>
      <c r="Q286" s="4" t="s">
        <v>26</v>
      </c>
      <c r="R286" s="4">
        <v>0</v>
      </c>
      <c r="S286" s="4" t="s">
        <v>279</v>
      </c>
      <c r="T286" s="4" t="s">
        <v>484</v>
      </c>
      <c r="U286" s="4">
        <v>0</v>
      </c>
      <c r="V286" s="4">
        <v>44</v>
      </c>
      <c r="W286" s="4">
        <v>81</v>
      </c>
    </row>
    <row r="287" spans="1:23" ht="11.25" customHeight="1" x14ac:dyDescent="0.25">
      <c r="A287" s="4" t="s">
        <v>21</v>
      </c>
      <c r="B287" s="4" t="s">
        <v>32</v>
      </c>
      <c r="C287" s="4" t="s">
        <v>23</v>
      </c>
      <c r="D287" s="4" t="s">
        <v>33</v>
      </c>
      <c r="E287" s="4" t="s">
        <v>25</v>
      </c>
      <c r="F287" s="4" t="s">
        <v>25</v>
      </c>
      <c r="G287" s="4" t="s">
        <v>25</v>
      </c>
      <c r="H287" s="4" t="s">
        <v>25</v>
      </c>
      <c r="I287" s="5">
        <v>44378</v>
      </c>
      <c r="J287" s="6">
        <v>0</v>
      </c>
      <c r="K287" s="6">
        <v>0</v>
      </c>
      <c r="L287" s="6">
        <v>0.35699999999999998</v>
      </c>
      <c r="M287" s="6">
        <v>0.35699999999999998</v>
      </c>
      <c r="N287" s="6">
        <v>0.35699999999999998</v>
      </c>
      <c r="O287" s="6">
        <v>0.35699999999999998</v>
      </c>
      <c r="P287" s="6">
        <v>3</v>
      </c>
      <c r="Q287" s="4" t="s">
        <v>26</v>
      </c>
      <c r="R287" s="4">
        <v>0</v>
      </c>
      <c r="S287" s="4" t="s">
        <v>280</v>
      </c>
      <c r="T287" s="4" t="s">
        <v>485</v>
      </c>
      <c r="U287" s="4">
        <v>0</v>
      </c>
      <c r="V287" s="4">
        <v>44</v>
      </c>
      <c r="W287" s="4">
        <v>81</v>
      </c>
    </row>
    <row r="288" spans="1:23" ht="11.25" customHeight="1" x14ac:dyDescent="0.25">
      <c r="A288" s="4" t="s">
        <v>21</v>
      </c>
      <c r="B288" s="4" t="s">
        <v>32</v>
      </c>
      <c r="C288" s="4" t="s">
        <v>23</v>
      </c>
      <c r="D288" s="4" t="s">
        <v>33</v>
      </c>
      <c r="E288" s="4" t="s">
        <v>25</v>
      </c>
      <c r="F288" s="4" t="s">
        <v>25</v>
      </c>
      <c r="G288" s="4" t="s">
        <v>25</v>
      </c>
      <c r="H288" s="4" t="s">
        <v>25</v>
      </c>
      <c r="I288" s="5">
        <v>44409</v>
      </c>
      <c r="J288" s="6">
        <v>0</v>
      </c>
      <c r="K288" s="6">
        <v>0</v>
      </c>
      <c r="L288" s="6">
        <v>0.39</v>
      </c>
      <c r="M288" s="6">
        <v>0.39</v>
      </c>
      <c r="N288" s="6">
        <v>0.39</v>
      </c>
      <c r="O288" s="6">
        <v>0.39</v>
      </c>
      <c r="P288" s="6">
        <v>3</v>
      </c>
      <c r="Q288" s="4" t="s">
        <v>26</v>
      </c>
      <c r="R288" s="4">
        <v>0</v>
      </c>
      <c r="S288" s="4" t="s">
        <v>281</v>
      </c>
      <c r="T288" s="4" t="s">
        <v>486</v>
      </c>
      <c r="U288" s="4">
        <v>0</v>
      </c>
      <c r="V288" s="4">
        <v>44</v>
      </c>
      <c r="W288" s="4">
        <v>81</v>
      </c>
    </row>
    <row r="289" spans="1:23" ht="11.25" customHeight="1" x14ac:dyDescent="0.25">
      <c r="A289" s="4" t="s">
        <v>21</v>
      </c>
      <c r="B289" s="4" t="s">
        <v>32</v>
      </c>
      <c r="C289" s="4" t="s">
        <v>23</v>
      </c>
      <c r="D289" s="4" t="s">
        <v>33</v>
      </c>
      <c r="E289" s="4" t="s">
        <v>25</v>
      </c>
      <c r="F289" s="4" t="s">
        <v>25</v>
      </c>
      <c r="G289" s="4" t="s">
        <v>25</v>
      </c>
      <c r="H289" s="4" t="s">
        <v>25</v>
      </c>
      <c r="I289" s="5">
        <v>44440</v>
      </c>
      <c r="J289" s="6">
        <v>0</v>
      </c>
      <c r="K289" s="6">
        <v>0</v>
      </c>
      <c r="L289" s="6">
        <v>0.41199999999999998</v>
      </c>
      <c r="M289" s="6">
        <v>0.41199999999999998</v>
      </c>
      <c r="N289" s="6">
        <v>0.41199999999999998</v>
      </c>
      <c r="O289" s="6">
        <v>0.41199999999999998</v>
      </c>
      <c r="P289" s="6">
        <v>3</v>
      </c>
      <c r="Q289" s="4" t="s">
        <v>26</v>
      </c>
      <c r="R289" s="4">
        <v>0</v>
      </c>
      <c r="S289" s="4" t="s">
        <v>282</v>
      </c>
      <c r="T289" s="4" t="s">
        <v>487</v>
      </c>
      <c r="U289" s="4">
        <v>0</v>
      </c>
      <c r="V289" s="4">
        <v>44</v>
      </c>
      <c r="W289" s="4">
        <v>81</v>
      </c>
    </row>
    <row r="290" spans="1:23" ht="11.25" customHeight="1" x14ac:dyDescent="0.25">
      <c r="A290" s="4" t="s">
        <v>21</v>
      </c>
      <c r="B290" s="4" t="s">
        <v>32</v>
      </c>
      <c r="C290" s="4" t="s">
        <v>23</v>
      </c>
      <c r="D290" s="4" t="s">
        <v>33</v>
      </c>
      <c r="E290" s="4" t="s">
        <v>25</v>
      </c>
      <c r="F290" s="4" t="s">
        <v>25</v>
      </c>
      <c r="G290" s="4" t="s">
        <v>25</v>
      </c>
      <c r="H290" s="4" t="s">
        <v>25</v>
      </c>
      <c r="I290" s="5">
        <v>44470</v>
      </c>
      <c r="J290" s="6">
        <v>0</v>
      </c>
      <c r="K290" s="6">
        <v>0</v>
      </c>
      <c r="L290" s="6">
        <v>0.437</v>
      </c>
      <c r="M290" s="6">
        <v>0.437</v>
      </c>
      <c r="N290" s="6">
        <v>0.437</v>
      </c>
      <c r="O290" s="6">
        <v>0.437</v>
      </c>
      <c r="P290" s="6">
        <v>3</v>
      </c>
      <c r="Q290" s="4" t="s">
        <v>26</v>
      </c>
      <c r="R290" s="4">
        <v>0</v>
      </c>
      <c r="S290" s="4" t="s">
        <v>283</v>
      </c>
      <c r="T290" s="4" t="s">
        <v>488</v>
      </c>
      <c r="U290" s="4">
        <v>0</v>
      </c>
      <c r="V290" s="4">
        <v>44</v>
      </c>
      <c r="W290" s="4">
        <v>81</v>
      </c>
    </row>
    <row r="291" spans="1:23" ht="11.25" customHeight="1" x14ac:dyDescent="0.25">
      <c r="A291" s="4" t="s">
        <v>21</v>
      </c>
      <c r="B291" s="4" t="s">
        <v>32</v>
      </c>
      <c r="C291" s="4" t="s">
        <v>23</v>
      </c>
      <c r="D291" s="4" t="s">
        <v>33</v>
      </c>
      <c r="E291" s="4" t="s">
        <v>25</v>
      </c>
      <c r="F291" s="4" t="s">
        <v>25</v>
      </c>
      <c r="G291" s="4" t="s">
        <v>25</v>
      </c>
      <c r="H291" s="4" t="s">
        <v>25</v>
      </c>
      <c r="I291" s="5">
        <v>44501</v>
      </c>
      <c r="J291" s="6">
        <v>0</v>
      </c>
      <c r="K291" s="6">
        <v>0</v>
      </c>
      <c r="L291" s="6">
        <v>0.44600000000000001</v>
      </c>
      <c r="M291" s="6">
        <v>0.44600000000000001</v>
      </c>
      <c r="N291" s="6">
        <v>0.44600000000000001</v>
      </c>
      <c r="O291" s="6">
        <v>0.44600000000000001</v>
      </c>
      <c r="P291" s="6">
        <v>3</v>
      </c>
      <c r="Q291" s="4" t="s">
        <v>26</v>
      </c>
      <c r="R291" s="4">
        <v>0</v>
      </c>
      <c r="S291" s="4" t="s">
        <v>284</v>
      </c>
      <c r="T291" s="4" t="s">
        <v>489</v>
      </c>
      <c r="U291" s="4">
        <v>0</v>
      </c>
      <c r="V291" s="4">
        <v>44</v>
      </c>
      <c r="W291" s="4">
        <v>81</v>
      </c>
    </row>
    <row r="292" spans="1:23" ht="11.25" customHeight="1" x14ac:dyDescent="0.25">
      <c r="A292" s="4" t="s">
        <v>21</v>
      </c>
      <c r="B292" s="4" t="s">
        <v>32</v>
      </c>
      <c r="C292" s="4" t="s">
        <v>23</v>
      </c>
      <c r="D292" s="4" t="s">
        <v>33</v>
      </c>
      <c r="E292" s="4" t="s">
        <v>25</v>
      </c>
      <c r="F292" s="4" t="s">
        <v>25</v>
      </c>
      <c r="G292" s="4" t="s">
        <v>25</v>
      </c>
      <c r="H292" s="4" t="s">
        <v>25</v>
      </c>
      <c r="I292" s="5">
        <v>44531</v>
      </c>
      <c r="J292" s="6">
        <v>0</v>
      </c>
      <c r="K292" s="6">
        <v>0</v>
      </c>
      <c r="L292" s="6">
        <v>0.44600000000000001</v>
      </c>
      <c r="M292" s="6">
        <v>0.44600000000000001</v>
      </c>
      <c r="N292" s="6">
        <v>0.44600000000000001</v>
      </c>
      <c r="O292" s="6">
        <v>0.44600000000000001</v>
      </c>
      <c r="P292" s="6">
        <v>3</v>
      </c>
      <c r="Q292" s="4" t="s">
        <v>26</v>
      </c>
      <c r="R292" s="4">
        <v>0</v>
      </c>
      <c r="S292" s="4" t="s">
        <v>285</v>
      </c>
      <c r="T292" s="4" t="s">
        <v>490</v>
      </c>
      <c r="U292" s="4">
        <v>0</v>
      </c>
      <c r="V292" s="4">
        <v>44</v>
      </c>
      <c r="W292" s="4">
        <v>81</v>
      </c>
    </row>
    <row r="293" spans="1:23" ht="11.25" customHeight="1" x14ac:dyDescent="0.25">
      <c r="A293" s="4" t="s">
        <v>21</v>
      </c>
      <c r="B293" s="4" t="s">
        <v>32</v>
      </c>
      <c r="C293" s="4" t="s">
        <v>23</v>
      </c>
      <c r="D293" s="4" t="s">
        <v>33</v>
      </c>
      <c r="E293" s="4" t="s">
        <v>25</v>
      </c>
      <c r="F293" s="4" t="s">
        <v>25</v>
      </c>
      <c r="G293" s="4" t="s">
        <v>25</v>
      </c>
      <c r="H293" s="4" t="s">
        <v>25</v>
      </c>
      <c r="I293" s="5">
        <v>44562</v>
      </c>
      <c r="J293" s="6">
        <v>0</v>
      </c>
      <c r="K293" s="6">
        <v>0</v>
      </c>
      <c r="L293" s="6">
        <v>0.435</v>
      </c>
      <c r="M293" s="6">
        <v>0.435</v>
      </c>
      <c r="N293" s="6">
        <v>0.435</v>
      </c>
      <c r="O293" s="6">
        <v>0.435</v>
      </c>
      <c r="P293" s="6">
        <v>3</v>
      </c>
      <c r="Q293" s="4" t="s">
        <v>26</v>
      </c>
      <c r="R293" s="4">
        <v>0</v>
      </c>
      <c r="S293" s="4" t="s">
        <v>286</v>
      </c>
      <c r="T293" s="4" t="s">
        <v>491</v>
      </c>
      <c r="U293" s="4">
        <v>0</v>
      </c>
      <c r="V293" s="4">
        <v>44</v>
      </c>
      <c r="W293" s="4">
        <v>81</v>
      </c>
    </row>
    <row r="294" spans="1:23" ht="11.25" customHeight="1" x14ac:dyDescent="0.25">
      <c r="A294" s="4" t="s">
        <v>21</v>
      </c>
      <c r="B294" s="4" t="s">
        <v>32</v>
      </c>
      <c r="C294" s="4" t="s">
        <v>23</v>
      </c>
      <c r="D294" s="4" t="s">
        <v>33</v>
      </c>
      <c r="E294" s="4" t="s">
        <v>25</v>
      </c>
      <c r="F294" s="4" t="s">
        <v>25</v>
      </c>
      <c r="G294" s="4" t="s">
        <v>25</v>
      </c>
      <c r="H294" s="4" t="s">
        <v>25</v>
      </c>
      <c r="I294" s="5">
        <v>44593</v>
      </c>
      <c r="J294" s="6">
        <v>0</v>
      </c>
      <c r="K294" s="6">
        <v>0</v>
      </c>
      <c r="L294" s="6">
        <v>0.39400000000000002</v>
      </c>
      <c r="M294" s="6">
        <v>0.39400000000000002</v>
      </c>
      <c r="N294" s="6">
        <v>0.39400000000000002</v>
      </c>
      <c r="O294" s="6">
        <v>0.39400000000000002</v>
      </c>
      <c r="P294" s="6">
        <v>3</v>
      </c>
      <c r="Q294" s="4" t="s">
        <v>26</v>
      </c>
      <c r="R294" s="4">
        <v>0</v>
      </c>
      <c r="S294" s="4" t="s">
        <v>287</v>
      </c>
      <c r="T294" s="4" t="s">
        <v>492</v>
      </c>
      <c r="U294" s="4">
        <v>0</v>
      </c>
      <c r="V294" s="4">
        <v>44</v>
      </c>
      <c r="W294" s="4">
        <v>81</v>
      </c>
    </row>
    <row r="295" spans="1:23" ht="11.25" customHeight="1" x14ac:dyDescent="0.25">
      <c r="A295" s="4" t="s">
        <v>21</v>
      </c>
      <c r="B295" s="4" t="s">
        <v>32</v>
      </c>
      <c r="C295" s="4" t="s">
        <v>23</v>
      </c>
      <c r="D295" s="4" t="s">
        <v>33</v>
      </c>
      <c r="E295" s="4" t="s">
        <v>25</v>
      </c>
      <c r="F295" s="4" t="s">
        <v>25</v>
      </c>
      <c r="G295" s="4" t="s">
        <v>25</v>
      </c>
      <c r="H295" s="4" t="s">
        <v>25</v>
      </c>
      <c r="I295" s="5">
        <v>44621</v>
      </c>
      <c r="J295" s="6">
        <v>0</v>
      </c>
      <c r="K295" s="6">
        <v>0</v>
      </c>
      <c r="L295" s="6">
        <v>1.3620000000000001</v>
      </c>
      <c r="M295" s="6">
        <v>1.3620000000000001</v>
      </c>
      <c r="N295" s="6">
        <v>1.3620000000000001</v>
      </c>
      <c r="O295" s="6">
        <v>1.3620000000000001</v>
      </c>
      <c r="P295" s="6">
        <v>4</v>
      </c>
      <c r="Q295" s="4" t="s">
        <v>26</v>
      </c>
      <c r="R295" s="4">
        <v>0</v>
      </c>
      <c r="S295" s="4" t="s">
        <v>288</v>
      </c>
      <c r="T295" s="4" t="s">
        <v>493</v>
      </c>
      <c r="U295" s="4">
        <v>0</v>
      </c>
      <c r="V295" s="4">
        <v>44</v>
      </c>
      <c r="W295" s="4">
        <v>81</v>
      </c>
    </row>
    <row r="296" spans="1:23" ht="11.25" customHeight="1" x14ac:dyDescent="0.25">
      <c r="A296" s="4" t="s">
        <v>21</v>
      </c>
      <c r="B296" s="4" t="s">
        <v>32</v>
      </c>
      <c r="C296" s="4" t="s">
        <v>23</v>
      </c>
      <c r="D296" s="4" t="s">
        <v>33</v>
      </c>
      <c r="E296" s="4" t="s">
        <v>25</v>
      </c>
      <c r="F296" s="4" t="s">
        <v>25</v>
      </c>
      <c r="G296" s="4" t="s">
        <v>25</v>
      </c>
      <c r="H296" s="4" t="s">
        <v>25</v>
      </c>
      <c r="I296" s="5">
        <v>44652</v>
      </c>
      <c r="J296" s="6">
        <v>0</v>
      </c>
      <c r="K296" s="6">
        <v>0</v>
      </c>
      <c r="L296" s="6">
        <v>1.321</v>
      </c>
      <c r="M296" s="6">
        <v>1.321</v>
      </c>
      <c r="N296" s="6">
        <v>1.321</v>
      </c>
      <c r="O296" s="6">
        <v>1.321</v>
      </c>
      <c r="P296" s="6">
        <v>4</v>
      </c>
      <c r="Q296" s="4" t="s">
        <v>26</v>
      </c>
      <c r="R296" s="4">
        <v>0</v>
      </c>
      <c r="S296" s="4" t="s">
        <v>289</v>
      </c>
      <c r="T296" s="4" t="s">
        <v>494</v>
      </c>
      <c r="U296" s="4">
        <v>0</v>
      </c>
      <c r="V296" s="4">
        <v>44</v>
      </c>
      <c r="W296" s="4">
        <v>81</v>
      </c>
    </row>
    <row r="297" spans="1:23" ht="11.25" customHeight="1" x14ac:dyDescent="0.25">
      <c r="A297" s="4" t="s">
        <v>21</v>
      </c>
      <c r="B297" s="4" t="s">
        <v>32</v>
      </c>
      <c r="C297" s="4" t="s">
        <v>23</v>
      </c>
      <c r="D297" s="4" t="s">
        <v>43</v>
      </c>
      <c r="E297" s="4" t="s">
        <v>25</v>
      </c>
      <c r="F297" s="4" t="s">
        <v>25</v>
      </c>
      <c r="G297" s="4" t="s">
        <v>25</v>
      </c>
      <c r="H297" s="4" t="s">
        <v>25</v>
      </c>
      <c r="I297" s="5">
        <v>44317</v>
      </c>
      <c r="J297" s="6">
        <v>0</v>
      </c>
      <c r="K297" s="6">
        <v>0</v>
      </c>
      <c r="L297" s="6">
        <v>15.272</v>
      </c>
      <c r="M297" s="6">
        <v>15.272</v>
      </c>
      <c r="N297" s="6">
        <v>15.272</v>
      </c>
      <c r="O297" s="6">
        <v>15.272</v>
      </c>
      <c r="P297" s="6">
        <v>30</v>
      </c>
      <c r="Q297" s="4" t="s">
        <v>26</v>
      </c>
      <c r="R297" s="4">
        <v>0</v>
      </c>
      <c r="S297" s="4" t="s">
        <v>278</v>
      </c>
      <c r="T297" s="4" t="s">
        <v>483</v>
      </c>
      <c r="U297" s="4">
        <v>0</v>
      </c>
      <c r="V297" s="4">
        <v>44</v>
      </c>
      <c r="W297" s="4">
        <v>81</v>
      </c>
    </row>
    <row r="298" spans="1:23" ht="11.25" customHeight="1" x14ac:dyDescent="0.25">
      <c r="A298" s="4" t="s">
        <v>21</v>
      </c>
      <c r="B298" s="4" t="s">
        <v>32</v>
      </c>
      <c r="C298" s="4" t="s">
        <v>23</v>
      </c>
      <c r="D298" s="4" t="s">
        <v>43</v>
      </c>
      <c r="E298" s="4" t="s">
        <v>25</v>
      </c>
      <c r="F298" s="4" t="s">
        <v>25</v>
      </c>
      <c r="G298" s="4" t="s">
        <v>25</v>
      </c>
      <c r="H298" s="4" t="s">
        <v>25</v>
      </c>
      <c r="I298" s="5">
        <v>44348</v>
      </c>
      <c r="J298" s="6">
        <v>0</v>
      </c>
      <c r="K298" s="6">
        <v>0</v>
      </c>
      <c r="L298" s="6">
        <v>13.058999999999999</v>
      </c>
      <c r="M298" s="6">
        <v>13.058999999999999</v>
      </c>
      <c r="N298" s="6">
        <v>13.058999999999999</v>
      </c>
      <c r="O298" s="6">
        <v>13.058999999999999</v>
      </c>
      <c r="P298" s="6">
        <v>30</v>
      </c>
      <c r="Q298" s="4" t="s">
        <v>26</v>
      </c>
      <c r="R298" s="4">
        <v>0</v>
      </c>
      <c r="S298" s="4" t="s">
        <v>279</v>
      </c>
      <c r="T298" s="4" t="s">
        <v>484</v>
      </c>
      <c r="U298" s="4">
        <v>0</v>
      </c>
      <c r="V298" s="4">
        <v>44</v>
      </c>
      <c r="W298" s="4">
        <v>81</v>
      </c>
    </row>
    <row r="299" spans="1:23" ht="11.25" customHeight="1" x14ac:dyDescent="0.25">
      <c r="A299" s="4" t="s">
        <v>21</v>
      </c>
      <c r="B299" s="4" t="s">
        <v>32</v>
      </c>
      <c r="C299" s="4" t="s">
        <v>23</v>
      </c>
      <c r="D299" s="4" t="s">
        <v>43</v>
      </c>
      <c r="E299" s="4" t="s">
        <v>25</v>
      </c>
      <c r="F299" s="4" t="s">
        <v>25</v>
      </c>
      <c r="G299" s="4" t="s">
        <v>25</v>
      </c>
      <c r="H299" s="4" t="s">
        <v>25</v>
      </c>
      <c r="I299" s="5">
        <v>44378</v>
      </c>
      <c r="J299" s="6">
        <v>0</v>
      </c>
      <c r="K299" s="6">
        <v>0</v>
      </c>
      <c r="L299" s="6">
        <v>13.198</v>
      </c>
      <c r="M299" s="6">
        <v>13.198</v>
      </c>
      <c r="N299" s="6">
        <v>13.198</v>
      </c>
      <c r="O299" s="6">
        <v>13.198</v>
      </c>
      <c r="P299" s="6">
        <v>30</v>
      </c>
      <c r="Q299" s="4" t="s">
        <v>26</v>
      </c>
      <c r="R299" s="4">
        <v>0</v>
      </c>
      <c r="S299" s="4" t="s">
        <v>280</v>
      </c>
      <c r="T299" s="4" t="s">
        <v>485</v>
      </c>
      <c r="U299" s="4">
        <v>0</v>
      </c>
      <c r="V299" s="4">
        <v>44</v>
      </c>
      <c r="W299" s="4">
        <v>81</v>
      </c>
    </row>
    <row r="300" spans="1:23" ht="11.25" customHeight="1" x14ac:dyDescent="0.25">
      <c r="A300" s="4" t="s">
        <v>21</v>
      </c>
      <c r="B300" s="4" t="s">
        <v>32</v>
      </c>
      <c r="C300" s="4" t="s">
        <v>23</v>
      </c>
      <c r="D300" s="4" t="s">
        <v>43</v>
      </c>
      <c r="E300" s="4" t="s">
        <v>25</v>
      </c>
      <c r="F300" s="4" t="s">
        <v>25</v>
      </c>
      <c r="G300" s="4" t="s">
        <v>25</v>
      </c>
      <c r="H300" s="4" t="s">
        <v>25</v>
      </c>
      <c r="I300" s="5">
        <v>44409</v>
      </c>
      <c r="J300" s="6">
        <v>0</v>
      </c>
      <c r="K300" s="6">
        <v>0</v>
      </c>
      <c r="L300" s="6">
        <v>17.021999999999998</v>
      </c>
      <c r="M300" s="6">
        <v>17.021999999999998</v>
      </c>
      <c r="N300" s="6">
        <v>17.021999999999998</v>
      </c>
      <c r="O300" s="6">
        <v>17.021999999999998</v>
      </c>
      <c r="P300" s="6">
        <v>31</v>
      </c>
      <c r="Q300" s="4" t="s">
        <v>26</v>
      </c>
      <c r="R300" s="4">
        <v>0</v>
      </c>
      <c r="S300" s="4" t="s">
        <v>281</v>
      </c>
      <c r="T300" s="4" t="s">
        <v>486</v>
      </c>
      <c r="U300" s="4">
        <v>0</v>
      </c>
      <c r="V300" s="4">
        <v>44</v>
      </c>
      <c r="W300" s="4">
        <v>81</v>
      </c>
    </row>
    <row r="301" spans="1:23" ht="11.25" customHeight="1" x14ac:dyDescent="0.25">
      <c r="A301" s="4" t="s">
        <v>21</v>
      </c>
      <c r="B301" s="4" t="s">
        <v>32</v>
      </c>
      <c r="C301" s="4" t="s">
        <v>23</v>
      </c>
      <c r="D301" s="4" t="s">
        <v>43</v>
      </c>
      <c r="E301" s="4" t="s">
        <v>25</v>
      </c>
      <c r="F301" s="4" t="s">
        <v>25</v>
      </c>
      <c r="G301" s="4" t="s">
        <v>25</v>
      </c>
      <c r="H301" s="4" t="s">
        <v>25</v>
      </c>
      <c r="I301" s="5">
        <v>44440</v>
      </c>
      <c r="J301" s="6">
        <v>0</v>
      </c>
      <c r="K301" s="6">
        <v>0</v>
      </c>
      <c r="L301" s="6">
        <v>16.433</v>
      </c>
      <c r="M301" s="6">
        <v>16.433</v>
      </c>
      <c r="N301" s="6">
        <v>16.433</v>
      </c>
      <c r="O301" s="6">
        <v>16.433</v>
      </c>
      <c r="P301" s="6">
        <v>31</v>
      </c>
      <c r="Q301" s="4" t="s">
        <v>26</v>
      </c>
      <c r="R301" s="4">
        <v>0</v>
      </c>
      <c r="S301" s="4" t="s">
        <v>282</v>
      </c>
      <c r="T301" s="4" t="s">
        <v>487</v>
      </c>
      <c r="U301" s="4">
        <v>0</v>
      </c>
      <c r="V301" s="4">
        <v>44</v>
      </c>
      <c r="W301" s="4">
        <v>81</v>
      </c>
    </row>
    <row r="302" spans="1:23" ht="11.25" customHeight="1" x14ac:dyDescent="0.25">
      <c r="A302" s="4" t="s">
        <v>21</v>
      </c>
      <c r="B302" s="4" t="s">
        <v>32</v>
      </c>
      <c r="C302" s="4" t="s">
        <v>23</v>
      </c>
      <c r="D302" s="4" t="s">
        <v>43</v>
      </c>
      <c r="E302" s="4" t="s">
        <v>25</v>
      </c>
      <c r="F302" s="4" t="s">
        <v>25</v>
      </c>
      <c r="G302" s="4" t="s">
        <v>25</v>
      </c>
      <c r="H302" s="4" t="s">
        <v>25</v>
      </c>
      <c r="I302" s="5">
        <v>44470</v>
      </c>
      <c r="J302" s="6">
        <v>0</v>
      </c>
      <c r="K302" s="6">
        <v>0</v>
      </c>
      <c r="L302" s="6">
        <v>13.925000000000001</v>
      </c>
      <c r="M302" s="6">
        <v>13.925000000000001</v>
      </c>
      <c r="N302" s="6">
        <v>13.925000000000001</v>
      </c>
      <c r="O302" s="6">
        <v>13.925000000000001</v>
      </c>
      <c r="P302" s="6">
        <v>30</v>
      </c>
      <c r="Q302" s="4" t="s">
        <v>26</v>
      </c>
      <c r="R302" s="4">
        <v>0</v>
      </c>
      <c r="S302" s="4" t="s">
        <v>283</v>
      </c>
      <c r="T302" s="4" t="s">
        <v>488</v>
      </c>
      <c r="U302" s="4">
        <v>0</v>
      </c>
      <c r="V302" s="4">
        <v>44</v>
      </c>
      <c r="W302" s="4">
        <v>81</v>
      </c>
    </row>
    <row r="303" spans="1:23" ht="11.25" customHeight="1" x14ac:dyDescent="0.25">
      <c r="A303" s="4" t="s">
        <v>21</v>
      </c>
      <c r="B303" s="4" t="s">
        <v>32</v>
      </c>
      <c r="C303" s="4" t="s">
        <v>23</v>
      </c>
      <c r="D303" s="4" t="s">
        <v>43</v>
      </c>
      <c r="E303" s="4" t="s">
        <v>25</v>
      </c>
      <c r="F303" s="4" t="s">
        <v>25</v>
      </c>
      <c r="G303" s="4" t="s">
        <v>25</v>
      </c>
      <c r="H303" s="4" t="s">
        <v>25</v>
      </c>
      <c r="I303" s="5">
        <v>44501</v>
      </c>
      <c r="J303" s="6">
        <v>0</v>
      </c>
      <c r="K303" s="6">
        <v>0</v>
      </c>
      <c r="L303" s="6">
        <v>18.533999999999999</v>
      </c>
      <c r="M303" s="6">
        <v>18.533999999999999</v>
      </c>
      <c r="N303" s="6">
        <v>18.533999999999999</v>
      </c>
      <c r="O303" s="6">
        <v>18.533999999999999</v>
      </c>
      <c r="P303" s="6">
        <v>30</v>
      </c>
      <c r="Q303" s="4" t="s">
        <v>26</v>
      </c>
      <c r="R303" s="4">
        <v>0</v>
      </c>
      <c r="S303" s="4" t="s">
        <v>284</v>
      </c>
      <c r="T303" s="4" t="s">
        <v>489</v>
      </c>
      <c r="U303" s="4">
        <v>0</v>
      </c>
      <c r="V303" s="4">
        <v>44</v>
      </c>
      <c r="W303" s="4">
        <v>81</v>
      </c>
    </row>
    <row r="304" spans="1:23" ht="11.25" customHeight="1" x14ac:dyDescent="0.25">
      <c r="A304" s="4" t="s">
        <v>21</v>
      </c>
      <c r="B304" s="4" t="s">
        <v>32</v>
      </c>
      <c r="C304" s="4" t="s">
        <v>23</v>
      </c>
      <c r="D304" s="4" t="s">
        <v>43</v>
      </c>
      <c r="E304" s="4" t="s">
        <v>25</v>
      </c>
      <c r="F304" s="4" t="s">
        <v>25</v>
      </c>
      <c r="G304" s="4" t="s">
        <v>25</v>
      </c>
      <c r="H304" s="4" t="s">
        <v>25</v>
      </c>
      <c r="I304" s="5">
        <v>44531</v>
      </c>
      <c r="J304" s="6">
        <v>0</v>
      </c>
      <c r="K304" s="6">
        <v>0</v>
      </c>
      <c r="L304" s="6">
        <v>19.696000000000002</v>
      </c>
      <c r="M304" s="6">
        <v>19.696000000000002</v>
      </c>
      <c r="N304" s="6">
        <v>19.696000000000002</v>
      </c>
      <c r="O304" s="6">
        <v>19.696000000000002</v>
      </c>
      <c r="P304" s="6">
        <v>30</v>
      </c>
      <c r="Q304" s="4" t="s">
        <v>26</v>
      </c>
      <c r="R304" s="4">
        <v>0</v>
      </c>
      <c r="S304" s="4" t="s">
        <v>285</v>
      </c>
      <c r="T304" s="4" t="s">
        <v>490</v>
      </c>
      <c r="U304" s="4">
        <v>0</v>
      </c>
      <c r="V304" s="4">
        <v>44</v>
      </c>
      <c r="W304" s="4">
        <v>81</v>
      </c>
    </row>
    <row r="305" spans="1:23" ht="11.25" customHeight="1" x14ac:dyDescent="0.25">
      <c r="A305" s="4" t="s">
        <v>21</v>
      </c>
      <c r="B305" s="4" t="s">
        <v>32</v>
      </c>
      <c r="C305" s="4" t="s">
        <v>23</v>
      </c>
      <c r="D305" s="4" t="s">
        <v>43</v>
      </c>
      <c r="E305" s="4" t="s">
        <v>25</v>
      </c>
      <c r="F305" s="4" t="s">
        <v>25</v>
      </c>
      <c r="G305" s="4" t="s">
        <v>25</v>
      </c>
      <c r="H305" s="4" t="s">
        <v>25</v>
      </c>
      <c r="I305" s="5">
        <v>44562</v>
      </c>
      <c r="J305" s="6">
        <v>0</v>
      </c>
      <c r="K305" s="6">
        <v>0</v>
      </c>
      <c r="L305" s="6">
        <v>16.475000000000001</v>
      </c>
      <c r="M305" s="6">
        <v>16.475000000000001</v>
      </c>
      <c r="N305" s="6">
        <v>16.475000000000001</v>
      </c>
      <c r="O305" s="6">
        <v>16.475000000000001</v>
      </c>
      <c r="P305" s="6">
        <v>30</v>
      </c>
      <c r="Q305" s="4" t="s">
        <v>26</v>
      </c>
      <c r="R305" s="4">
        <v>0</v>
      </c>
      <c r="S305" s="4" t="s">
        <v>286</v>
      </c>
      <c r="T305" s="4" t="s">
        <v>491</v>
      </c>
      <c r="U305" s="4">
        <v>0</v>
      </c>
      <c r="V305" s="4">
        <v>44</v>
      </c>
      <c r="W305" s="4">
        <v>81</v>
      </c>
    </row>
    <row r="306" spans="1:23" ht="11.25" customHeight="1" x14ac:dyDescent="0.25">
      <c r="A306" s="4" t="s">
        <v>21</v>
      </c>
      <c r="B306" s="4" t="s">
        <v>32</v>
      </c>
      <c r="C306" s="4" t="s">
        <v>23</v>
      </c>
      <c r="D306" s="4" t="s">
        <v>43</v>
      </c>
      <c r="E306" s="4" t="s">
        <v>25</v>
      </c>
      <c r="F306" s="4" t="s">
        <v>25</v>
      </c>
      <c r="G306" s="4" t="s">
        <v>25</v>
      </c>
      <c r="H306" s="4" t="s">
        <v>25</v>
      </c>
      <c r="I306" s="5">
        <v>44593</v>
      </c>
      <c r="J306" s="6">
        <v>0</v>
      </c>
      <c r="K306" s="6">
        <v>0</v>
      </c>
      <c r="L306" s="6">
        <v>16.347999999999999</v>
      </c>
      <c r="M306" s="6">
        <v>16.347999999999999</v>
      </c>
      <c r="N306" s="6">
        <v>16.347999999999999</v>
      </c>
      <c r="O306" s="6">
        <v>16.347999999999999</v>
      </c>
      <c r="P306" s="6">
        <v>30</v>
      </c>
      <c r="Q306" s="4" t="s">
        <v>26</v>
      </c>
      <c r="R306" s="4">
        <v>0</v>
      </c>
      <c r="S306" s="4" t="s">
        <v>287</v>
      </c>
      <c r="T306" s="4" t="s">
        <v>492</v>
      </c>
      <c r="U306" s="4">
        <v>0</v>
      </c>
      <c r="V306" s="4">
        <v>44</v>
      </c>
      <c r="W306" s="4">
        <v>81</v>
      </c>
    </row>
    <row r="307" spans="1:23" ht="11.25" customHeight="1" x14ac:dyDescent="0.25">
      <c r="A307" s="4" t="s">
        <v>21</v>
      </c>
      <c r="B307" s="4" t="s">
        <v>32</v>
      </c>
      <c r="C307" s="4" t="s">
        <v>23</v>
      </c>
      <c r="D307" s="4" t="s">
        <v>43</v>
      </c>
      <c r="E307" s="4" t="s">
        <v>25</v>
      </c>
      <c r="F307" s="4" t="s">
        <v>25</v>
      </c>
      <c r="G307" s="4" t="s">
        <v>25</v>
      </c>
      <c r="H307" s="4" t="s">
        <v>25</v>
      </c>
      <c r="I307" s="5">
        <v>44621</v>
      </c>
      <c r="J307" s="6">
        <v>0</v>
      </c>
      <c r="K307" s="6">
        <v>0</v>
      </c>
      <c r="L307" s="6">
        <v>20.091000000000001</v>
      </c>
      <c r="M307" s="6">
        <v>20.091000000000001</v>
      </c>
      <c r="N307" s="6">
        <v>20.091000000000001</v>
      </c>
      <c r="O307" s="6">
        <v>20.091000000000001</v>
      </c>
      <c r="P307" s="6">
        <v>30</v>
      </c>
      <c r="Q307" s="4" t="s">
        <v>26</v>
      </c>
      <c r="R307" s="4">
        <v>0</v>
      </c>
      <c r="S307" s="4" t="s">
        <v>288</v>
      </c>
      <c r="T307" s="4" t="s">
        <v>493</v>
      </c>
      <c r="U307" s="4">
        <v>0</v>
      </c>
      <c r="V307" s="4">
        <v>44</v>
      </c>
      <c r="W307" s="4">
        <v>81</v>
      </c>
    </row>
    <row r="308" spans="1:23" ht="11.25" customHeight="1" x14ac:dyDescent="0.25">
      <c r="A308" s="4" t="s">
        <v>21</v>
      </c>
      <c r="B308" s="4" t="s">
        <v>32</v>
      </c>
      <c r="C308" s="4" t="s">
        <v>23</v>
      </c>
      <c r="D308" s="4" t="s">
        <v>43</v>
      </c>
      <c r="E308" s="4" t="s">
        <v>25</v>
      </c>
      <c r="F308" s="4" t="s">
        <v>25</v>
      </c>
      <c r="G308" s="4" t="s">
        <v>25</v>
      </c>
      <c r="H308" s="4" t="s">
        <v>25</v>
      </c>
      <c r="I308" s="5">
        <v>44652</v>
      </c>
      <c r="J308" s="6">
        <v>0</v>
      </c>
      <c r="K308" s="6">
        <v>0</v>
      </c>
      <c r="L308" s="6">
        <v>20.172999999999998</v>
      </c>
      <c r="M308" s="6">
        <v>20.172999999999998</v>
      </c>
      <c r="N308" s="6">
        <v>20.172999999999998</v>
      </c>
      <c r="O308" s="6">
        <v>20.172999999999998</v>
      </c>
      <c r="P308" s="6">
        <v>30</v>
      </c>
      <c r="Q308" s="4" t="s">
        <v>26</v>
      </c>
      <c r="R308" s="4">
        <v>0</v>
      </c>
      <c r="S308" s="4" t="s">
        <v>289</v>
      </c>
      <c r="T308" s="4" t="s">
        <v>494</v>
      </c>
      <c r="U308" s="4">
        <v>0</v>
      </c>
      <c r="V308" s="4">
        <v>44</v>
      </c>
      <c r="W308" s="4">
        <v>81</v>
      </c>
    </row>
    <row r="309" spans="1:23" ht="11.25" customHeight="1" x14ac:dyDescent="0.25">
      <c r="A309" s="4" t="s">
        <v>21</v>
      </c>
      <c r="B309" s="4" t="s">
        <v>32</v>
      </c>
      <c r="C309" s="4" t="s">
        <v>23</v>
      </c>
      <c r="D309" s="4" t="s">
        <v>47</v>
      </c>
      <c r="E309" s="4" t="s">
        <v>48</v>
      </c>
      <c r="F309" s="4" t="s">
        <v>25</v>
      </c>
      <c r="G309" s="4" t="s">
        <v>25</v>
      </c>
      <c r="H309" s="4" t="s">
        <v>25</v>
      </c>
      <c r="I309" s="5">
        <v>44317</v>
      </c>
      <c r="J309" s="6">
        <v>0</v>
      </c>
      <c r="K309" s="6">
        <v>0</v>
      </c>
      <c r="L309" s="6">
        <v>60.37</v>
      </c>
      <c r="M309" s="6">
        <v>56.747799999999991</v>
      </c>
      <c r="N309" s="6">
        <v>60.37</v>
      </c>
      <c r="O309" s="6">
        <v>56.747799999999991</v>
      </c>
      <c r="P309" s="6">
        <v>9</v>
      </c>
      <c r="Q309" s="4" t="s">
        <v>26</v>
      </c>
      <c r="R309" s="4">
        <v>0</v>
      </c>
      <c r="S309" s="4" t="s">
        <v>278</v>
      </c>
      <c r="T309" s="4" t="s">
        <v>483</v>
      </c>
      <c r="U309" s="4">
        <v>0</v>
      </c>
      <c r="V309" s="4">
        <v>44</v>
      </c>
      <c r="W309" s="4">
        <v>81</v>
      </c>
    </row>
    <row r="310" spans="1:23" ht="11.25" customHeight="1" x14ac:dyDescent="0.25">
      <c r="A310" s="4" t="s">
        <v>21</v>
      </c>
      <c r="B310" s="4" t="s">
        <v>32</v>
      </c>
      <c r="C310" s="4" t="s">
        <v>23</v>
      </c>
      <c r="D310" s="4" t="s">
        <v>47</v>
      </c>
      <c r="E310" s="4" t="s">
        <v>48</v>
      </c>
      <c r="F310" s="4" t="s">
        <v>25</v>
      </c>
      <c r="G310" s="4" t="s">
        <v>25</v>
      </c>
      <c r="H310" s="4" t="s">
        <v>25</v>
      </c>
      <c r="I310" s="5">
        <v>44348</v>
      </c>
      <c r="J310" s="6">
        <v>0</v>
      </c>
      <c r="K310" s="6">
        <v>0</v>
      </c>
      <c r="L310" s="6">
        <v>66.103999999999999</v>
      </c>
      <c r="M310" s="6">
        <v>62.137759999999993</v>
      </c>
      <c r="N310" s="6">
        <v>66.103999999999999</v>
      </c>
      <c r="O310" s="6">
        <v>62.137759999999993</v>
      </c>
      <c r="P310" s="6">
        <v>9</v>
      </c>
      <c r="Q310" s="4" t="s">
        <v>26</v>
      </c>
      <c r="R310" s="4">
        <v>0</v>
      </c>
      <c r="S310" s="4" t="s">
        <v>279</v>
      </c>
      <c r="T310" s="4" t="s">
        <v>484</v>
      </c>
      <c r="U310" s="4">
        <v>0</v>
      </c>
      <c r="V310" s="4">
        <v>44</v>
      </c>
      <c r="W310" s="4">
        <v>81</v>
      </c>
    </row>
    <row r="311" spans="1:23" ht="11.25" customHeight="1" x14ac:dyDescent="0.25">
      <c r="A311" s="4" t="s">
        <v>21</v>
      </c>
      <c r="B311" s="4" t="s">
        <v>32</v>
      </c>
      <c r="C311" s="4" t="s">
        <v>23</v>
      </c>
      <c r="D311" s="4" t="s">
        <v>47</v>
      </c>
      <c r="E311" s="4" t="s">
        <v>48</v>
      </c>
      <c r="F311" s="4" t="s">
        <v>25</v>
      </c>
      <c r="G311" s="4" t="s">
        <v>25</v>
      </c>
      <c r="H311" s="4" t="s">
        <v>25</v>
      </c>
      <c r="I311" s="5">
        <v>44378</v>
      </c>
      <c r="J311" s="6">
        <v>0</v>
      </c>
      <c r="K311" s="6">
        <v>0</v>
      </c>
      <c r="L311" s="6">
        <v>64.19</v>
      </c>
      <c r="M311" s="6">
        <v>60.3386</v>
      </c>
      <c r="N311" s="6">
        <v>64.19</v>
      </c>
      <c r="O311" s="6">
        <v>60.3386</v>
      </c>
      <c r="P311" s="6">
        <v>9</v>
      </c>
      <c r="Q311" s="4" t="s">
        <v>26</v>
      </c>
      <c r="R311" s="4">
        <v>0</v>
      </c>
      <c r="S311" s="4" t="s">
        <v>280</v>
      </c>
      <c r="T311" s="4" t="s">
        <v>485</v>
      </c>
      <c r="U311" s="4">
        <v>0</v>
      </c>
      <c r="V311" s="4">
        <v>44</v>
      </c>
      <c r="W311" s="4">
        <v>81</v>
      </c>
    </row>
    <row r="312" spans="1:23" ht="11.25" customHeight="1" x14ac:dyDescent="0.25">
      <c r="A312" s="4" t="s">
        <v>21</v>
      </c>
      <c r="B312" s="4" t="s">
        <v>32</v>
      </c>
      <c r="C312" s="4" t="s">
        <v>23</v>
      </c>
      <c r="D312" s="4" t="s">
        <v>47</v>
      </c>
      <c r="E312" s="4" t="s">
        <v>48</v>
      </c>
      <c r="F312" s="4" t="s">
        <v>25</v>
      </c>
      <c r="G312" s="4" t="s">
        <v>25</v>
      </c>
      <c r="H312" s="4" t="s">
        <v>25</v>
      </c>
      <c r="I312" s="5">
        <v>44409</v>
      </c>
      <c r="J312" s="6">
        <v>0</v>
      </c>
      <c r="K312" s="6">
        <v>0</v>
      </c>
      <c r="L312" s="6">
        <v>55.654000000000003</v>
      </c>
      <c r="M312" s="6">
        <v>52.31476</v>
      </c>
      <c r="N312" s="6">
        <v>55.654000000000003</v>
      </c>
      <c r="O312" s="6">
        <v>52.31476</v>
      </c>
      <c r="P312" s="6">
        <v>9</v>
      </c>
      <c r="Q312" s="4" t="s">
        <v>26</v>
      </c>
      <c r="R312" s="4">
        <v>0</v>
      </c>
      <c r="S312" s="4" t="s">
        <v>281</v>
      </c>
      <c r="T312" s="4" t="s">
        <v>486</v>
      </c>
      <c r="U312" s="4">
        <v>0</v>
      </c>
      <c r="V312" s="4">
        <v>44</v>
      </c>
      <c r="W312" s="4">
        <v>81</v>
      </c>
    </row>
    <row r="313" spans="1:23" ht="11.25" customHeight="1" x14ac:dyDescent="0.25">
      <c r="A313" s="4" t="s">
        <v>21</v>
      </c>
      <c r="B313" s="4" t="s">
        <v>32</v>
      </c>
      <c r="C313" s="4" t="s">
        <v>23</v>
      </c>
      <c r="D313" s="4" t="s">
        <v>47</v>
      </c>
      <c r="E313" s="4" t="s">
        <v>48</v>
      </c>
      <c r="F313" s="4" t="s">
        <v>25</v>
      </c>
      <c r="G313" s="4" t="s">
        <v>25</v>
      </c>
      <c r="H313" s="4" t="s">
        <v>25</v>
      </c>
      <c r="I313" s="5">
        <v>44440</v>
      </c>
      <c r="J313" s="6">
        <v>0</v>
      </c>
      <c r="K313" s="6">
        <v>0</v>
      </c>
      <c r="L313" s="6">
        <v>65.501999999999995</v>
      </c>
      <c r="M313" s="6">
        <v>61.57188</v>
      </c>
      <c r="N313" s="6">
        <v>65.501999999999995</v>
      </c>
      <c r="O313" s="6">
        <v>61.57188</v>
      </c>
      <c r="P313" s="6">
        <v>9</v>
      </c>
      <c r="Q313" s="4" t="s">
        <v>26</v>
      </c>
      <c r="R313" s="4">
        <v>0</v>
      </c>
      <c r="S313" s="4" t="s">
        <v>282</v>
      </c>
      <c r="T313" s="4" t="s">
        <v>487</v>
      </c>
      <c r="U313" s="4">
        <v>0</v>
      </c>
      <c r="V313" s="4">
        <v>44</v>
      </c>
      <c r="W313" s="4">
        <v>81</v>
      </c>
    </row>
    <row r="314" spans="1:23" ht="11.25" customHeight="1" x14ac:dyDescent="0.25">
      <c r="A314" s="4" t="s">
        <v>21</v>
      </c>
      <c r="B314" s="4" t="s">
        <v>32</v>
      </c>
      <c r="C314" s="4" t="s">
        <v>23</v>
      </c>
      <c r="D314" s="4" t="s">
        <v>47</v>
      </c>
      <c r="E314" s="4" t="s">
        <v>48</v>
      </c>
      <c r="F314" s="4" t="s">
        <v>25</v>
      </c>
      <c r="G314" s="4" t="s">
        <v>25</v>
      </c>
      <c r="H314" s="4" t="s">
        <v>25</v>
      </c>
      <c r="I314" s="5">
        <v>44470</v>
      </c>
      <c r="J314" s="6">
        <v>0</v>
      </c>
      <c r="K314" s="6">
        <v>0</v>
      </c>
      <c r="L314" s="6">
        <v>57.7</v>
      </c>
      <c r="M314" s="6">
        <v>54.238</v>
      </c>
      <c r="N314" s="6">
        <v>57.7</v>
      </c>
      <c r="O314" s="6">
        <v>54.238</v>
      </c>
      <c r="P314" s="6">
        <v>9</v>
      </c>
      <c r="Q314" s="4" t="s">
        <v>26</v>
      </c>
      <c r="R314" s="4">
        <v>0</v>
      </c>
      <c r="S314" s="4" t="s">
        <v>283</v>
      </c>
      <c r="T314" s="4" t="s">
        <v>488</v>
      </c>
      <c r="U314" s="4">
        <v>0</v>
      </c>
      <c r="V314" s="4">
        <v>44</v>
      </c>
      <c r="W314" s="4">
        <v>81</v>
      </c>
    </row>
    <row r="315" spans="1:23" ht="11.25" customHeight="1" x14ac:dyDescent="0.25">
      <c r="A315" s="4" t="s">
        <v>21</v>
      </c>
      <c r="B315" s="4" t="s">
        <v>32</v>
      </c>
      <c r="C315" s="4" t="s">
        <v>23</v>
      </c>
      <c r="D315" s="4" t="s">
        <v>47</v>
      </c>
      <c r="E315" s="4" t="s">
        <v>48</v>
      </c>
      <c r="F315" s="4" t="s">
        <v>25</v>
      </c>
      <c r="G315" s="4" t="s">
        <v>25</v>
      </c>
      <c r="H315" s="4" t="s">
        <v>25</v>
      </c>
      <c r="I315" s="5">
        <v>44501</v>
      </c>
      <c r="J315" s="6">
        <v>0</v>
      </c>
      <c r="K315" s="6">
        <v>0</v>
      </c>
      <c r="L315" s="6">
        <v>66.826999999999998</v>
      </c>
      <c r="M315" s="6">
        <v>62.81738</v>
      </c>
      <c r="N315" s="6">
        <v>66.826999999999998</v>
      </c>
      <c r="O315" s="6">
        <v>62.81738</v>
      </c>
      <c r="P315" s="6">
        <v>9</v>
      </c>
      <c r="Q315" s="4" t="s">
        <v>26</v>
      </c>
      <c r="R315" s="4">
        <v>0</v>
      </c>
      <c r="S315" s="4" t="s">
        <v>284</v>
      </c>
      <c r="T315" s="4" t="s">
        <v>489</v>
      </c>
      <c r="U315" s="4">
        <v>0</v>
      </c>
      <c r="V315" s="4">
        <v>44</v>
      </c>
      <c r="W315" s="4">
        <v>81</v>
      </c>
    </row>
    <row r="316" spans="1:23" ht="11.25" customHeight="1" x14ac:dyDescent="0.25">
      <c r="A316" s="4" t="s">
        <v>21</v>
      </c>
      <c r="B316" s="4" t="s">
        <v>32</v>
      </c>
      <c r="C316" s="4" t="s">
        <v>23</v>
      </c>
      <c r="D316" s="4" t="s">
        <v>47</v>
      </c>
      <c r="E316" s="4" t="s">
        <v>48</v>
      </c>
      <c r="F316" s="4" t="s">
        <v>25</v>
      </c>
      <c r="G316" s="4" t="s">
        <v>25</v>
      </c>
      <c r="H316" s="4" t="s">
        <v>25</v>
      </c>
      <c r="I316" s="5">
        <v>44531</v>
      </c>
      <c r="J316" s="6">
        <v>0</v>
      </c>
      <c r="K316" s="6">
        <v>0</v>
      </c>
      <c r="L316" s="6">
        <v>65.108999999999995</v>
      </c>
      <c r="M316" s="6">
        <v>61.202460000000002</v>
      </c>
      <c r="N316" s="6">
        <v>65.108999999999995</v>
      </c>
      <c r="O316" s="6">
        <v>61.202460000000002</v>
      </c>
      <c r="P316" s="6">
        <v>9</v>
      </c>
      <c r="Q316" s="4" t="s">
        <v>26</v>
      </c>
      <c r="R316" s="4">
        <v>0</v>
      </c>
      <c r="S316" s="4" t="s">
        <v>285</v>
      </c>
      <c r="T316" s="4" t="s">
        <v>490</v>
      </c>
      <c r="U316" s="4">
        <v>0</v>
      </c>
      <c r="V316" s="4">
        <v>44</v>
      </c>
      <c r="W316" s="4">
        <v>81</v>
      </c>
    </row>
    <row r="317" spans="1:23" ht="11.25" customHeight="1" x14ac:dyDescent="0.25">
      <c r="A317" s="4" t="s">
        <v>21</v>
      </c>
      <c r="B317" s="4" t="s">
        <v>32</v>
      </c>
      <c r="C317" s="4" t="s">
        <v>23</v>
      </c>
      <c r="D317" s="4" t="s">
        <v>47</v>
      </c>
      <c r="E317" s="4" t="s">
        <v>48</v>
      </c>
      <c r="F317" s="4" t="s">
        <v>25</v>
      </c>
      <c r="G317" s="4" t="s">
        <v>25</v>
      </c>
      <c r="H317" s="4" t="s">
        <v>25</v>
      </c>
      <c r="I317" s="5">
        <v>44562</v>
      </c>
      <c r="J317" s="6">
        <v>0</v>
      </c>
      <c r="K317" s="6">
        <v>0</v>
      </c>
      <c r="L317" s="6">
        <v>55.542000000000002</v>
      </c>
      <c r="M317" s="6">
        <v>52.209479999999999</v>
      </c>
      <c r="N317" s="6">
        <v>55.542000000000002</v>
      </c>
      <c r="O317" s="6">
        <v>52.209479999999999</v>
      </c>
      <c r="P317" s="6">
        <v>9</v>
      </c>
      <c r="Q317" s="4" t="s">
        <v>26</v>
      </c>
      <c r="R317" s="4">
        <v>0</v>
      </c>
      <c r="S317" s="4" t="s">
        <v>286</v>
      </c>
      <c r="T317" s="4" t="s">
        <v>491</v>
      </c>
      <c r="U317" s="4">
        <v>0</v>
      </c>
      <c r="V317" s="4">
        <v>44</v>
      </c>
      <c r="W317" s="4">
        <v>81</v>
      </c>
    </row>
    <row r="318" spans="1:23" ht="11.25" customHeight="1" x14ac:dyDescent="0.25">
      <c r="A318" s="4" t="s">
        <v>21</v>
      </c>
      <c r="B318" s="4" t="s">
        <v>32</v>
      </c>
      <c r="C318" s="4" t="s">
        <v>23</v>
      </c>
      <c r="D318" s="4" t="s">
        <v>47</v>
      </c>
      <c r="E318" s="4" t="s">
        <v>48</v>
      </c>
      <c r="F318" s="4" t="s">
        <v>25</v>
      </c>
      <c r="G318" s="4" t="s">
        <v>25</v>
      </c>
      <c r="H318" s="4" t="s">
        <v>25</v>
      </c>
      <c r="I318" s="5">
        <v>44593</v>
      </c>
      <c r="J318" s="6">
        <v>0</v>
      </c>
      <c r="K318" s="6">
        <v>0</v>
      </c>
      <c r="L318" s="6">
        <v>56.944000000000003</v>
      </c>
      <c r="M318" s="6">
        <v>53.527360000000002</v>
      </c>
      <c r="N318" s="6">
        <v>56.944000000000003</v>
      </c>
      <c r="O318" s="6">
        <v>53.527360000000002</v>
      </c>
      <c r="P318" s="6">
        <v>9</v>
      </c>
      <c r="Q318" s="4" t="s">
        <v>26</v>
      </c>
      <c r="R318" s="4">
        <v>0</v>
      </c>
      <c r="S318" s="4" t="s">
        <v>287</v>
      </c>
      <c r="T318" s="4" t="s">
        <v>492</v>
      </c>
      <c r="U318" s="4">
        <v>0</v>
      </c>
      <c r="V318" s="4">
        <v>44</v>
      </c>
      <c r="W318" s="4">
        <v>81</v>
      </c>
    </row>
    <row r="319" spans="1:23" ht="11.25" customHeight="1" x14ac:dyDescent="0.25">
      <c r="A319" s="4" t="s">
        <v>21</v>
      </c>
      <c r="B319" s="4" t="s">
        <v>32</v>
      </c>
      <c r="C319" s="4" t="s">
        <v>23</v>
      </c>
      <c r="D319" s="4" t="s">
        <v>47</v>
      </c>
      <c r="E319" s="4" t="s">
        <v>48</v>
      </c>
      <c r="F319" s="4" t="s">
        <v>25</v>
      </c>
      <c r="G319" s="4" t="s">
        <v>25</v>
      </c>
      <c r="H319" s="4" t="s">
        <v>25</v>
      </c>
      <c r="I319" s="5">
        <v>44621</v>
      </c>
      <c r="J319" s="6">
        <v>0</v>
      </c>
      <c r="K319" s="6">
        <v>0</v>
      </c>
      <c r="L319" s="6">
        <v>61.503999999999998</v>
      </c>
      <c r="M319" s="6">
        <v>57.813760000000002</v>
      </c>
      <c r="N319" s="6">
        <v>61.503999999999998</v>
      </c>
      <c r="O319" s="6">
        <v>57.813760000000002</v>
      </c>
      <c r="P319" s="6">
        <v>9</v>
      </c>
      <c r="Q319" s="4" t="s">
        <v>26</v>
      </c>
      <c r="R319" s="4">
        <v>0</v>
      </c>
      <c r="S319" s="4" t="s">
        <v>288</v>
      </c>
      <c r="T319" s="4" t="s">
        <v>493</v>
      </c>
      <c r="U319" s="4">
        <v>0</v>
      </c>
      <c r="V319" s="4">
        <v>44</v>
      </c>
      <c r="W319" s="4">
        <v>81</v>
      </c>
    </row>
    <row r="320" spans="1:23" ht="11.25" customHeight="1" x14ac:dyDescent="0.25">
      <c r="A320" s="4" t="s">
        <v>21</v>
      </c>
      <c r="B320" s="4" t="s">
        <v>32</v>
      </c>
      <c r="C320" s="4" t="s">
        <v>23</v>
      </c>
      <c r="D320" s="4" t="s">
        <v>47</v>
      </c>
      <c r="E320" s="4" t="s">
        <v>48</v>
      </c>
      <c r="F320" s="4" t="s">
        <v>25</v>
      </c>
      <c r="G320" s="4" t="s">
        <v>25</v>
      </c>
      <c r="H320" s="4" t="s">
        <v>25</v>
      </c>
      <c r="I320" s="5">
        <v>44652</v>
      </c>
      <c r="J320" s="6">
        <v>0</v>
      </c>
      <c r="K320" s="6">
        <v>0</v>
      </c>
      <c r="L320" s="6">
        <v>74.944000000000003</v>
      </c>
      <c r="M320" s="6">
        <v>70.447360000000003</v>
      </c>
      <c r="N320" s="6">
        <v>74.944000000000003</v>
      </c>
      <c r="O320" s="6">
        <v>70.447360000000003</v>
      </c>
      <c r="P320" s="6">
        <v>9</v>
      </c>
      <c r="Q320" s="4" t="s">
        <v>26</v>
      </c>
      <c r="R320" s="4">
        <v>0</v>
      </c>
      <c r="S320" s="4" t="s">
        <v>289</v>
      </c>
      <c r="T320" s="4" t="s">
        <v>494</v>
      </c>
      <c r="U320" s="4">
        <v>0</v>
      </c>
      <c r="V320" s="4">
        <v>44</v>
      </c>
      <c r="W320" s="4">
        <v>81</v>
      </c>
    </row>
    <row r="321" spans="1:23" ht="11.25" customHeight="1" x14ac:dyDescent="0.25">
      <c r="A321" s="4" t="s">
        <v>21</v>
      </c>
      <c r="B321" s="4" t="s">
        <v>44</v>
      </c>
      <c r="C321" s="4" t="s">
        <v>23</v>
      </c>
      <c r="D321" s="4" t="s">
        <v>45</v>
      </c>
      <c r="E321" s="4" t="s">
        <v>46</v>
      </c>
      <c r="F321" s="4" t="s">
        <v>25</v>
      </c>
      <c r="G321" s="4" t="s">
        <v>25</v>
      </c>
      <c r="H321" s="4" t="s">
        <v>25</v>
      </c>
      <c r="I321" s="5">
        <v>44317</v>
      </c>
      <c r="J321" s="6">
        <v>0</v>
      </c>
      <c r="K321" s="6">
        <v>0</v>
      </c>
      <c r="L321" s="6">
        <v>132.27799999999999</v>
      </c>
      <c r="M321" s="6">
        <v>132.27799999999999</v>
      </c>
      <c r="N321" s="6">
        <v>132.27799999999999</v>
      </c>
      <c r="O321" s="6">
        <v>132.27799999999999</v>
      </c>
      <c r="P321" s="6">
        <v>5</v>
      </c>
      <c r="Q321" s="4" t="s">
        <v>26</v>
      </c>
      <c r="R321" s="4">
        <v>0</v>
      </c>
      <c r="S321" s="4" t="s">
        <v>290</v>
      </c>
      <c r="T321" s="4" t="s">
        <v>495</v>
      </c>
      <c r="U321" s="4">
        <v>0</v>
      </c>
      <c r="V321" s="4">
        <v>46</v>
      </c>
      <c r="W321" s="4">
        <v>83</v>
      </c>
    </row>
    <row r="322" spans="1:23" ht="11.25" customHeight="1" x14ac:dyDescent="0.25">
      <c r="A322" s="4" t="s">
        <v>21</v>
      </c>
      <c r="B322" s="4" t="s">
        <v>44</v>
      </c>
      <c r="C322" s="4" t="s">
        <v>23</v>
      </c>
      <c r="D322" s="4" t="s">
        <v>45</v>
      </c>
      <c r="E322" s="4" t="s">
        <v>46</v>
      </c>
      <c r="F322" s="4" t="s">
        <v>25</v>
      </c>
      <c r="G322" s="4" t="s">
        <v>25</v>
      </c>
      <c r="H322" s="4" t="s">
        <v>25</v>
      </c>
      <c r="I322" s="5">
        <v>44348</v>
      </c>
      <c r="J322" s="6">
        <v>0</v>
      </c>
      <c r="K322" s="6">
        <v>0</v>
      </c>
      <c r="L322" s="6">
        <v>124.815</v>
      </c>
      <c r="M322" s="6">
        <v>124.815</v>
      </c>
      <c r="N322" s="6">
        <v>124.815</v>
      </c>
      <c r="O322" s="6">
        <v>124.815</v>
      </c>
      <c r="P322" s="6">
        <v>5</v>
      </c>
      <c r="Q322" s="4" t="s">
        <v>26</v>
      </c>
      <c r="R322" s="4">
        <v>0</v>
      </c>
      <c r="S322" s="4" t="s">
        <v>291</v>
      </c>
      <c r="T322" s="4" t="s">
        <v>496</v>
      </c>
      <c r="U322" s="4">
        <v>0</v>
      </c>
      <c r="V322" s="4">
        <v>46</v>
      </c>
      <c r="W322" s="4">
        <v>83</v>
      </c>
    </row>
    <row r="323" spans="1:23" ht="11.25" customHeight="1" x14ac:dyDescent="0.25">
      <c r="A323" s="4" t="s">
        <v>21</v>
      </c>
      <c r="B323" s="4" t="s">
        <v>44</v>
      </c>
      <c r="C323" s="4" t="s">
        <v>23</v>
      </c>
      <c r="D323" s="4" t="s">
        <v>45</v>
      </c>
      <c r="E323" s="4" t="s">
        <v>46</v>
      </c>
      <c r="F323" s="4" t="s">
        <v>25</v>
      </c>
      <c r="G323" s="4" t="s">
        <v>25</v>
      </c>
      <c r="H323" s="4" t="s">
        <v>25</v>
      </c>
      <c r="I323" s="5">
        <v>44378</v>
      </c>
      <c r="J323" s="6">
        <v>0</v>
      </c>
      <c r="K323" s="6">
        <v>0</v>
      </c>
      <c r="L323" s="6">
        <v>135.209</v>
      </c>
      <c r="M323" s="6">
        <v>135.209</v>
      </c>
      <c r="N323" s="6">
        <v>135.209</v>
      </c>
      <c r="O323" s="6">
        <v>135.209</v>
      </c>
      <c r="P323" s="6">
        <v>5</v>
      </c>
      <c r="Q323" s="4" t="s">
        <v>26</v>
      </c>
      <c r="R323" s="4">
        <v>0</v>
      </c>
      <c r="S323" s="4" t="s">
        <v>292</v>
      </c>
      <c r="T323" s="4" t="s">
        <v>497</v>
      </c>
      <c r="U323" s="4">
        <v>0</v>
      </c>
      <c r="V323" s="4">
        <v>46</v>
      </c>
      <c r="W323" s="4">
        <v>83</v>
      </c>
    </row>
    <row r="324" spans="1:23" ht="11.25" customHeight="1" x14ac:dyDescent="0.25">
      <c r="A324" s="4" t="s">
        <v>21</v>
      </c>
      <c r="B324" s="4" t="s">
        <v>44</v>
      </c>
      <c r="C324" s="4" t="s">
        <v>23</v>
      </c>
      <c r="D324" s="4" t="s">
        <v>45</v>
      </c>
      <c r="E324" s="4" t="s">
        <v>46</v>
      </c>
      <c r="F324" s="4" t="s">
        <v>25</v>
      </c>
      <c r="G324" s="4" t="s">
        <v>25</v>
      </c>
      <c r="H324" s="4" t="s">
        <v>25</v>
      </c>
      <c r="I324" s="5">
        <v>44409</v>
      </c>
      <c r="J324" s="6">
        <v>0</v>
      </c>
      <c r="K324" s="6">
        <v>0</v>
      </c>
      <c r="L324" s="6">
        <v>127.328</v>
      </c>
      <c r="M324" s="6">
        <v>127.328</v>
      </c>
      <c r="N324" s="6">
        <v>127.328</v>
      </c>
      <c r="O324" s="6">
        <v>127.328</v>
      </c>
      <c r="P324" s="6">
        <v>5</v>
      </c>
      <c r="Q324" s="4" t="s">
        <v>26</v>
      </c>
      <c r="R324" s="4">
        <v>0</v>
      </c>
      <c r="S324" s="4" t="s">
        <v>293</v>
      </c>
      <c r="T324" s="4" t="s">
        <v>498</v>
      </c>
      <c r="U324" s="4">
        <v>0</v>
      </c>
      <c r="V324" s="4">
        <v>46</v>
      </c>
      <c r="W324" s="4">
        <v>83</v>
      </c>
    </row>
    <row r="325" spans="1:23" ht="11.25" customHeight="1" x14ac:dyDescent="0.25">
      <c r="A325" s="4" t="s">
        <v>21</v>
      </c>
      <c r="B325" s="4" t="s">
        <v>44</v>
      </c>
      <c r="C325" s="4" t="s">
        <v>23</v>
      </c>
      <c r="D325" s="4" t="s">
        <v>45</v>
      </c>
      <c r="E325" s="4" t="s">
        <v>46</v>
      </c>
      <c r="F325" s="4" t="s">
        <v>25</v>
      </c>
      <c r="G325" s="4" t="s">
        <v>25</v>
      </c>
      <c r="H325" s="4" t="s">
        <v>25</v>
      </c>
      <c r="I325" s="5">
        <v>44440</v>
      </c>
      <c r="J325" s="6">
        <v>0</v>
      </c>
      <c r="K325" s="6">
        <v>0</v>
      </c>
      <c r="L325" s="6">
        <v>127.422</v>
      </c>
      <c r="M325" s="6">
        <v>127.422</v>
      </c>
      <c r="N325" s="6">
        <v>127.422</v>
      </c>
      <c r="O325" s="6">
        <v>127.422</v>
      </c>
      <c r="P325" s="6">
        <v>5</v>
      </c>
      <c r="Q325" s="4" t="s">
        <v>26</v>
      </c>
      <c r="R325" s="4">
        <v>0</v>
      </c>
      <c r="S325" s="4" t="s">
        <v>294</v>
      </c>
      <c r="T325" s="4" t="s">
        <v>499</v>
      </c>
      <c r="U325" s="4">
        <v>0</v>
      </c>
      <c r="V325" s="4">
        <v>46</v>
      </c>
      <c r="W325" s="4">
        <v>83</v>
      </c>
    </row>
    <row r="326" spans="1:23" ht="11.25" customHeight="1" x14ac:dyDescent="0.25">
      <c r="A326" s="4" t="s">
        <v>21</v>
      </c>
      <c r="B326" s="4" t="s">
        <v>44</v>
      </c>
      <c r="C326" s="4" t="s">
        <v>23</v>
      </c>
      <c r="D326" s="4" t="s">
        <v>45</v>
      </c>
      <c r="E326" s="4" t="s">
        <v>46</v>
      </c>
      <c r="F326" s="4" t="s">
        <v>25</v>
      </c>
      <c r="G326" s="4" t="s">
        <v>25</v>
      </c>
      <c r="H326" s="4" t="s">
        <v>25</v>
      </c>
      <c r="I326" s="5">
        <v>44470</v>
      </c>
      <c r="J326" s="6">
        <v>0</v>
      </c>
      <c r="K326" s="6">
        <v>0</v>
      </c>
      <c r="L326" s="6">
        <v>129.19499999999999</v>
      </c>
      <c r="M326" s="6">
        <v>129.19499999999999</v>
      </c>
      <c r="N326" s="6">
        <v>129.19499999999999</v>
      </c>
      <c r="O326" s="6">
        <v>129.19499999999999</v>
      </c>
      <c r="P326" s="6">
        <v>5</v>
      </c>
      <c r="Q326" s="4" t="s">
        <v>26</v>
      </c>
      <c r="R326" s="4">
        <v>0</v>
      </c>
      <c r="S326" s="4" t="s">
        <v>295</v>
      </c>
      <c r="T326" s="4" t="s">
        <v>500</v>
      </c>
      <c r="U326" s="4">
        <v>0</v>
      </c>
      <c r="V326" s="4">
        <v>46</v>
      </c>
      <c r="W326" s="4">
        <v>83</v>
      </c>
    </row>
    <row r="327" spans="1:23" ht="11.25" customHeight="1" x14ac:dyDescent="0.25">
      <c r="A327" s="4" t="s">
        <v>21</v>
      </c>
      <c r="B327" s="4" t="s">
        <v>44</v>
      </c>
      <c r="C327" s="4" t="s">
        <v>23</v>
      </c>
      <c r="D327" s="4" t="s">
        <v>45</v>
      </c>
      <c r="E327" s="4" t="s">
        <v>46</v>
      </c>
      <c r="F327" s="4" t="s">
        <v>25</v>
      </c>
      <c r="G327" s="4" t="s">
        <v>25</v>
      </c>
      <c r="H327" s="4" t="s">
        <v>25</v>
      </c>
      <c r="I327" s="5">
        <v>44501</v>
      </c>
      <c r="J327" s="6">
        <v>0</v>
      </c>
      <c r="K327" s="6">
        <v>0</v>
      </c>
      <c r="L327" s="6">
        <v>122.45399999999999</v>
      </c>
      <c r="M327" s="6">
        <v>122.45399999999999</v>
      </c>
      <c r="N327" s="6">
        <v>122.45399999999999</v>
      </c>
      <c r="O327" s="6">
        <v>122.45399999999999</v>
      </c>
      <c r="P327" s="6">
        <v>5</v>
      </c>
      <c r="Q327" s="4" t="s">
        <v>26</v>
      </c>
      <c r="R327" s="4">
        <v>0</v>
      </c>
      <c r="S327" s="4" t="s">
        <v>296</v>
      </c>
      <c r="T327" s="4" t="s">
        <v>501</v>
      </c>
      <c r="U327" s="4">
        <v>0</v>
      </c>
      <c r="V327" s="4">
        <v>46</v>
      </c>
      <c r="W327" s="4">
        <v>83</v>
      </c>
    </row>
    <row r="328" spans="1:23" ht="11.25" customHeight="1" x14ac:dyDescent="0.25">
      <c r="A328" s="4" t="s">
        <v>21</v>
      </c>
      <c r="B328" s="4" t="s">
        <v>44</v>
      </c>
      <c r="C328" s="4" t="s">
        <v>23</v>
      </c>
      <c r="D328" s="4" t="s">
        <v>45</v>
      </c>
      <c r="E328" s="4" t="s">
        <v>46</v>
      </c>
      <c r="F328" s="4" t="s">
        <v>25</v>
      </c>
      <c r="G328" s="4" t="s">
        <v>25</v>
      </c>
      <c r="H328" s="4" t="s">
        <v>25</v>
      </c>
      <c r="I328" s="5">
        <v>44531</v>
      </c>
      <c r="J328" s="6">
        <v>0</v>
      </c>
      <c r="K328" s="6">
        <v>0</v>
      </c>
      <c r="L328" s="6">
        <v>128.922</v>
      </c>
      <c r="M328" s="6">
        <v>128.922</v>
      </c>
      <c r="N328" s="6">
        <v>128.922</v>
      </c>
      <c r="O328" s="6">
        <v>128.922</v>
      </c>
      <c r="P328" s="6">
        <v>5</v>
      </c>
      <c r="Q328" s="4" t="s">
        <v>26</v>
      </c>
      <c r="R328" s="4">
        <v>0</v>
      </c>
      <c r="S328" s="4" t="s">
        <v>297</v>
      </c>
      <c r="T328" s="4" t="s">
        <v>502</v>
      </c>
      <c r="U328" s="4">
        <v>0</v>
      </c>
      <c r="V328" s="4">
        <v>46</v>
      </c>
      <c r="W328" s="4">
        <v>83</v>
      </c>
    </row>
    <row r="329" spans="1:23" ht="11.25" customHeight="1" x14ac:dyDescent="0.25">
      <c r="A329" s="4" t="s">
        <v>21</v>
      </c>
      <c r="B329" s="4" t="s">
        <v>44</v>
      </c>
      <c r="C329" s="4" t="s">
        <v>23</v>
      </c>
      <c r="D329" s="4" t="s">
        <v>45</v>
      </c>
      <c r="E329" s="4" t="s">
        <v>46</v>
      </c>
      <c r="F329" s="4" t="s">
        <v>25</v>
      </c>
      <c r="G329" s="4" t="s">
        <v>25</v>
      </c>
      <c r="H329" s="4" t="s">
        <v>25</v>
      </c>
      <c r="I329" s="5">
        <v>44562</v>
      </c>
      <c r="J329" s="6">
        <v>0</v>
      </c>
      <c r="K329" s="6">
        <v>0</v>
      </c>
      <c r="L329" s="6">
        <v>132.09399999999999</v>
      </c>
      <c r="M329" s="6">
        <v>132.09399999999999</v>
      </c>
      <c r="N329" s="6">
        <v>132.09399999999999</v>
      </c>
      <c r="O329" s="6">
        <v>132.09399999999999</v>
      </c>
      <c r="P329" s="6">
        <v>5</v>
      </c>
      <c r="Q329" s="4" t="s">
        <v>26</v>
      </c>
      <c r="R329" s="4">
        <v>0</v>
      </c>
      <c r="S329" s="4" t="s">
        <v>298</v>
      </c>
      <c r="T329" s="4" t="s">
        <v>503</v>
      </c>
      <c r="U329" s="4">
        <v>0</v>
      </c>
      <c r="V329" s="4">
        <v>46</v>
      </c>
      <c r="W329" s="4">
        <v>83</v>
      </c>
    </row>
    <row r="330" spans="1:23" ht="11.25" customHeight="1" x14ac:dyDescent="0.25">
      <c r="A330" s="4" t="s">
        <v>21</v>
      </c>
      <c r="B330" s="4" t="s">
        <v>44</v>
      </c>
      <c r="C330" s="4" t="s">
        <v>23</v>
      </c>
      <c r="D330" s="4" t="s">
        <v>45</v>
      </c>
      <c r="E330" s="4" t="s">
        <v>46</v>
      </c>
      <c r="F330" s="4" t="s">
        <v>25</v>
      </c>
      <c r="G330" s="4" t="s">
        <v>25</v>
      </c>
      <c r="H330" s="4" t="s">
        <v>25</v>
      </c>
      <c r="I330" s="5">
        <v>44593</v>
      </c>
      <c r="J330" s="6">
        <v>0</v>
      </c>
      <c r="K330" s="6">
        <v>0</v>
      </c>
      <c r="L330" s="6">
        <v>114.63</v>
      </c>
      <c r="M330" s="6">
        <v>114.63</v>
      </c>
      <c r="N330" s="6">
        <v>114.63</v>
      </c>
      <c r="O330" s="6">
        <v>114.63</v>
      </c>
      <c r="P330" s="6">
        <v>5</v>
      </c>
      <c r="Q330" s="4" t="s">
        <v>26</v>
      </c>
      <c r="R330" s="4">
        <v>0</v>
      </c>
      <c r="S330" s="4" t="s">
        <v>299</v>
      </c>
      <c r="T330" s="4" t="s">
        <v>504</v>
      </c>
      <c r="U330" s="4">
        <v>0</v>
      </c>
      <c r="V330" s="4">
        <v>46</v>
      </c>
      <c r="W330" s="4">
        <v>83</v>
      </c>
    </row>
    <row r="331" spans="1:23" ht="11.25" customHeight="1" x14ac:dyDescent="0.25">
      <c r="A331" s="4" t="s">
        <v>21</v>
      </c>
      <c r="B331" s="4" t="s">
        <v>44</v>
      </c>
      <c r="C331" s="4" t="s">
        <v>23</v>
      </c>
      <c r="D331" s="4" t="s">
        <v>45</v>
      </c>
      <c r="E331" s="4" t="s">
        <v>46</v>
      </c>
      <c r="F331" s="4" t="s">
        <v>25</v>
      </c>
      <c r="G331" s="4" t="s">
        <v>25</v>
      </c>
      <c r="H331" s="4" t="s">
        <v>25</v>
      </c>
      <c r="I331" s="5">
        <v>44621</v>
      </c>
      <c r="J331" s="6">
        <v>0</v>
      </c>
      <c r="K331" s="6">
        <v>0</v>
      </c>
      <c r="L331" s="6">
        <v>127.53400000000001</v>
      </c>
      <c r="M331" s="6">
        <v>127.53400000000001</v>
      </c>
      <c r="N331" s="6">
        <v>127.53400000000001</v>
      </c>
      <c r="O331" s="6">
        <v>127.53400000000001</v>
      </c>
      <c r="P331" s="6">
        <v>5</v>
      </c>
      <c r="Q331" s="4" t="s">
        <v>26</v>
      </c>
      <c r="R331" s="4">
        <v>0</v>
      </c>
      <c r="S331" s="4" t="s">
        <v>300</v>
      </c>
      <c r="T331" s="4" t="s">
        <v>505</v>
      </c>
      <c r="U331" s="4">
        <v>0</v>
      </c>
      <c r="V331" s="4">
        <v>46</v>
      </c>
      <c r="W331" s="4">
        <v>83</v>
      </c>
    </row>
    <row r="332" spans="1:23" ht="11.25" customHeight="1" x14ac:dyDescent="0.25">
      <c r="A332" s="4" t="s">
        <v>21</v>
      </c>
      <c r="B332" s="4" t="s">
        <v>44</v>
      </c>
      <c r="C332" s="4" t="s">
        <v>23</v>
      </c>
      <c r="D332" s="4" t="s">
        <v>45</v>
      </c>
      <c r="E332" s="4" t="s">
        <v>46</v>
      </c>
      <c r="F332" s="4" t="s">
        <v>25</v>
      </c>
      <c r="G332" s="4" t="s">
        <v>25</v>
      </c>
      <c r="H332" s="4" t="s">
        <v>25</v>
      </c>
      <c r="I332" s="5">
        <v>44652</v>
      </c>
      <c r="J332" s="6">
        <v>0</v>
      </c>
      <c r="K332" s="6">
        <v>0</v>
      </c>
      <c r="L332" s="6">
        <v>116.187</v>
      </c>
      <c r="M332" s="6">
        <v>116.187</v>
      </c>
      <c r="N332" s="6">
        <v>116.187</v>
      </c>
      <c r="O332" s="6">
        <v>116.187</v>
      </c>
      <c r="P332" s="6">
        <v>5</v>
      </c>
      <c r="Q332" s="4" t="s">
        <v>26</v>
      </c>
      <c r="R332" s="4">
        <v>0</v>
      </c>
      <c r="S332" s="4" t="s">
        <v>301</v>
      </c>
      <c r="T332" s="4" t="s">
        <v>506</v>
      </c>
      <c r="U332" s="4">
        <v>0</v>
      </c>
      <c r="V332" s="4">
        <v>46</v>
      </c>
      <c r="W332" s="4">
        <v>83</v>
      </c>
    </row>
  </sheetData>
  <sortState xmlns:xlrd2="http://schemas.microsoft.com/office/spreadsheetml/2017/richdata2" ref="A2:W332">
    <sortCondition ref="B2:B332"/>
    <sortCondition ref="C2:C332"/>
    <sortCondition ref="D2:D332"/>
    <sortCondition ref="E2:E332"/>
    <sortCondition ref="F2:F332"/>
    <sortCondition ref="H2:H332"/>
  </sortState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D0D7-0DA5-40DB-8718-2055F5ABD889}">
  <dimension ref="A1:H15"/>
  <sheetViews>
    <sheetView showGridLines="0" workbookViewId="0">
      <selection activeCell="H1" sqref="H1"/>
    </sheetView>
  </sheetViews>
  <sheetFormatPr defaultRowHeight="11.25" customHeight="1" x14ac:dyDescent="0.25"/>
  <cols>
    <col min="1" max="1" width="12.140625" style="8" bestFit="1" customWidth="1"/>
    <col min="2" max="2" width="15.85546875" style="8" bestFit="1" customWidth="1"/>
    <col min="3" max="3" width="4.7109375" style="8" bestFit="1" customWidth="1"/>
    <col min="4" max="4" width="6.42578125" style="8" bestFit="1" customWidth="1"/>
    <col min="5" max="5" width="8.42578125" style="8" bestFit="1" customWidth="1"/>
    <col min="6" max="6" width="9.140625" style="8"/>
    <col min="7" max="7" width="18.5703125" style="8" bestFit="1" customWidth="1"/>
    <col min="8" max="8" width="2" style="8" bestFit="1" customWidth="1"/>
    <col min="9" max="16384" width="9.140625" style="8"/>
  </cols>
  <sheetData>
    <row r="1" spans="1:8" s="7" customFormat="1" ht="11.25" customHeight="1" x14ac:dyDescent="0.25">
      <c r="A1" s="7" t="s">
        <v>53</v>
      </c>
      <c r="B1" s="7" t="s">
        <v>54</v>
      </c>
      <c r="C1" s="7" t="s">
        <v>55</v>
      </c>
      <c r="D1" s="7" t="s">
        <v>56</v>
      </c>
      <c r="E1" s="7" t="s">
        <v>57</v>
      </c>
      <c r="G1" s="7" t="s">
        <v>58</v>
      </c>
      <c r="H1" s="7">
        <f>COUNTA(A:A)</f>
        <v>15</v>
      </c>
    </row>
    <row r="2" spans="1:8" ht="11.25" customHeight="1" x14ac:dyDescent="0.25">
      <c r="A2" s="8" t="s">
        <v>315</v>
      </c>
      <c r="B2" s="8" t="s">
        <v>316</v>
      </c>
      <c r="C2" s="8" t="s">
        <v>317</v>
      </c>
      <c r="D2" s="8">
        <v>14</v>
      </c>
      <c r="E2" s="8" t="s">
        <v>318</v>
      </c>
    </row>
    <row r="3" spans="1:8" ht="11.25" customHeight="1" x14ac:dyDescent="0.25">
      <c r="A3" s="8" t="s">
        <v>315</v>
      </c>
      <c r="B3" s="8" t="s">
        <v>316</v>
      </c>
      <c r="C3" s="8" t="s">
        <v>317</v>
      </c>
      <c r="D3" s="8">
        <v>15</v>
      </c>
      <c r="E3" s="8" t="s">
        <v>318</v>
      </c>
    </row>
    <row r="4" spans="1:8" ht="11.25" customHeight="1" x14ac:dyDescent="0.25">
      <c r="A4" s="8" t="s">
        <v>315</v>
      </c>
      <c r="B4" s="8" t="s">
        <v>316</v>
      </c>
      <c r="C4" s="8" t="s">
        <v>317</v>
      </c>
      <c r="D4" s="8">
        <v>16</v>
      </c>
      <c r="E4" s="8" t="s">
        <v>318</v>
      </c>
    </row>
    <row r="5" spans="1:8" ht="11.25" customHeight="1" x14ac:dyDescent="0.25">
      <c r="A5" s="8" t="s">
        <v>315</v>
      </c>
      <c r="B5" s="8" t="s">
        <v>316</v>
      </c>
      <c r="C5" s="8" t="s">
        <v>317</v>
      </c>
      <c r="D5" s="8">
        <v>17</v>
      </c>
      <c r="E5" s="8" t="s">
        <v>318</v>
      </c>
    </row>
    <row r="6" spans="1:8" ht="11.25" customHeight="1" x14ac:dyDescent="0.25">
      <c r="A6" s="8" t="s">
        <v>315</v>
      </c>
      <c r="B6" s="8" t="s">
        <v>316</v>
      </c>
      <c r="C6" s="8" t="s">
        <v>317</v>
      </c>
      <c r="D6" s="8">
        <v>18</v>
      </c>
      <c r="E6" s="8" t="s">
        <v>318</v>
      </c>
    </row>
    <row r="7" spans="1:8" ht="11.25" customHeight="1" x14ac:dyDescent="0.25">
      <c r="A7" s="8" t="s">
        <v>315</v>
      </c>
      <c r="B7" s="8" t="s">
        <v>316</v>
      </c>
      <c r="C7" s="8" t="s">
        <v>317</v>
      </c>
      <c r="D7" s="8">
        <v>19</v>
      </c>
      <c r="E7" s="8" t="s">
        <v>318</v>
      </c>
    </row>
    <row r="8" spans="1:8" ht="11.25" customHeight="1" x14ac:dyDescent="0.25">
      <c r="A8" s="8" t="s">
        <v>315</v>
      </c>
      <c r="B8" s="8" t="s">
        <v>316</v>
      </c>
      <c r="C8" s="8" t="s">
        <v>317</v>
      </c>
      <c r="D8" s="8">
        <v>20</v>
      </c>
      <c r="E8" s="8" t="s">
        <v>318</v>
      </c>
    </row>
    <row r="9" spans="1:8" ht="11.25" customHeight="1" x14ac:dyDescent="0.25">
      <c r="A9" s="8" t="s">
        <v>315</v>
      </c>
      <c r="B9" s="8" t="s">
        <v>316</v>
      </c>
      <c r="C9" s="8" t="s">
        <v>317</v>
      </c>
      <c r="D9" s="8">
        <v>21</v>
      </c>
      <c r="E9" s="8" t="s">
        <v>318</v>
      </c>
    </row>
    <row r="10" spans="1:8" ht="11.25" customHeight="1" x14ac:dyDescent="0.25">
      <c r="A10" s="8" t="s">
        <v>315</v>
      </c>
      <c r="B10" s="8" t="s">
        <v>316</v>
      </c>
      <c r="C10" s="8" t="s">
        <v>317</v>
      </c>
      <c r="D10" s="8">
        <v>22</v>
      </c>
      <c r="E10" s="8" t="s">
        <v>318</v>
      </c>
    </row>
    <row r="11" spans="1:8" ht="11.25" customHeight="1" x14ac:dyDescent="0.25">
      <c r="A11" s="8" t="s">
        <v>315</v>
      </c>
      <c r="B11" s="8" t="s">
        <v>316</v>
      </c>
      <c r="C11" s="8" t="s">
        <v>317</v>
      </c>
      <c r="D11" s="8">
        <v>23</v>
      </c>
      <c r="E11" s="8" t="s">
        <v>318</v>
      </c>
    </row>
    <row r="12" spans="1:8" ht="11.25" customHeight="1" x14ac:dyDescent="0.25">
      <c r="A12" s="8" t="s">
        <v>315</v>
      </c>
      <c r="B12" s="8" t="s">
        <v>316</v>
      </c>
      <c r="C12" s="8" t="s">
        <v>317</v>
      </c>
      <c r="D12" s="8">
        <v>24</v>
      </c>
      <c r="E12" s="8" t="s">
        <v>318</v>
      </c>
    </row>
    <row r="13" spans="1:8" ht="11.25" customHeight="1" x14ac:dyDescent="0.25">
      <c r="A13" s="8" t="s">
        <v>315</v>
      </c>
      <c r="B13" s="8" t="s">
        <v>316</v>
      </c>
      <c r="C13" s="8" t="s">
        <v>317</v>
      </c>
      <c r="D13" s="8">
        <v>25</v>
      </c>
      <c r="E13" s="8" t="s">
        <v>318</v>
      </c>
    </row>
    <row r="14" spans="1:8" ht="11.25" customHeight="1" x14ac:dyDescent="0.25">
      <c r="A14" s="8" t="s">
        <v>315</v>
      </c>
      <c r="C14" s="8" t="s">
        <v>595</v>
      </c>
      <c r="D14" s="8">
        <v>39</v>
      </c>
      <c r="E14" s="8" t="s">
        <v>9</v>
      </c>
    </row>
    <row r="15" spans="1:8" ht="11.25" customHeight="1" x14ac:dyDescent="0.25">
      <c r="A15" s="8" t="s">
        <v>315</v>
      </c>
      <c r="C15" s="8" t="s">
        <v>595</v>
      </c>
      <c r="D15" s="8">
        <v>39</v>
      </c>
      <c r="E15" s="8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FDDA-9518-4A74-8EED-631C3F93EF0D}">
  <dimension ref="A1:AX85"/>
  <sheetViews>
    <sheetView showGridLines="0" workbookViewId="0"/>
  </sheetViews>
  <sheetFormatPr defaultRowHeight="11.25" x14ac:dyDescent="0.25"/>
  <cols>
    <col min="1" max="1" width="4.7109375" style="47" bestFit="1" customWidth="1"/>
    <col min="2" max="2" width="8.85546875" style="47" bestFit="1" customWidth="1"/>
    <col min="3" max="3" width="8.7109375" style="47" bestFit="1" customWidth="1"/>
    <col min="4" max="4" width="27.140625" style="47" bestFit="1" customWidth="1"/>
    <col min="5" max="5" width="13.5703125" style="47" bestFit="1" customWidth="1"/>
    <col min="6" max="6" width="25.140625" style="47" bestFit="1" customWidth="1"/>
    <col min="7" max="9" width="10.28515625" style="47" bestFit="1" customWidth="1"/>
    <col min="10" max="10" width="6.85546875" style="47" bestFit="1" customWidth="1"/>
    <col min="11" max="11" width="4.5703125" style="47" bestFit="1" customWidth="1"/>
    <col min="12" max="12" width="4.42578125" style="47" bestFit="1" customWidth="1"/>
    <col min="13" max="13" width="6.7109375" style="47" bestFit="1" customWidth="1"/>
    <col min="14" max="14" width="6.28515625" style="47" bestFit="1" customWidth="1"/>
    <col min="15" max="15" width="11.140625" style="47" bestFit="1" customWidth="1"/>
    <col min="16" max="16" width="10.42578125" style="47" bestFit="1" customWidth="1"/>
    <col min="17" max="16384" width="9.140625" style="47"/>
  </cols>
  <sheetData>
    <row r="1" spans="1:50" ht="11.25" customHeight="1" x14ac:dyDescent="0.25">
      <c r="A1" s="48" t="s">
        <v>655</v>
      </c>
      <c r="B1" s="48" t="s">
        <v>646</v>
      </c>
      <c r="C1" s="48" t="s">
        <v>1</v>
      </c>
      <c r="D1" s="48" t="s">
        <v>2</v>
      </c>
      <c r="E1" s="48" t="s">
        <v>3</v>
      </c>
      <c r="F1" s="48" t="s">
        <v>4</v>
      </c>
      <c r="G1" s="48" t="s">
        <v>5</v>
      </c>
      <c r="H1" s="48" t="s">
        <v>6</v>
      </c>
      <c r="I1" s="48" t="s">
        <v>7</v>
      </c>
      <c r="J1" s="48" t="s">
        <v>647</v>
      </c>
      <c r="K1" s="48" t="s">
        <v>648</v>
      </c>
      <c r="L1" s="48" t="s">
        <v>649</v>
      </c>
      <c r="M1" s="48" t="s">
        <v>650</v>
      </c>
      <c r="N1" s="48" t="s">
        <v>651</v>
      </c>
      <c r="O1" s="48" t="s">
        <v>528</v>
      </c>
      <c r="P1" s="48" t="s">
        <v>514</v>
      </c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</row>
    <row r="2" spans="1:50" ht="11.25" customHeight="1" x14ac:dyDescent="0.25">
      <c r="A2" s="49">
        <v>1</v>
      </c>
      <c r="B2" s="49" t="s">
        <v>508</v>
      </c>
      <c r="C2" s="49" t="s">
        <v>34</v>
      </c>
      <c r="D2" s="49" t="s">
        <v>74</v>
      </c>
      <c r="E2" s="49" t="s">
        <v>25</v>
      </c>
      <c r="F2" s="49" t="s">
        <v>25</v>
      </c>
      <c r="G2" s="49" t="s">
        <v>25</v>
      </c>
      <c r="H2" s="49" t="s">
        <v>25</v>
      </c>
      <c r="I2" s="49" t="s">
        <v>36</v>
      </c>
      <c r="J2" s="49" t="s">
        <v>652</v>
      </c>
      <c r="K2" s="49" t="s">
        <v>653</v>
      </c>
      <c r="L2" s="49" t="s">
        <v>75</v>
      </c>
      <c r="M2" s="49">
        <v>2021</v>
      </c>
      <c r="N2" s="49">
        <v>0</v>
      </c>
      <c r="O2" s="49">
        <v>143.32</v>
      </c>
      <c r="P2" s="49">
        <v>0</v>
      </c>
    </row>
    <row r="3" spans="1:50" ht="11.25" customHeight="1" x14ac:dyDescent="0.25">
      <c r="A3" s="49">
        <v>2</v>
      </c>
      <c r="B3" s="49" t="s">
        <v>508</v>
      </c>
      <c r="C3" s="49" t="s">
        <v>34</v>
      </c>
      <c r="D3" s="49" t="s">
        <v>74</v>
      </c>
      <c r="E3" s="49" t="s">
        <v>25</v>
      </c>
      <c r="F3" s="49" t="s">
        <v>25</v>
      </c>
      <c r="G3" s="49" t="s">
        <v>25</v>
      </c>
      <c r="H3" s="49" t="s">
        <v>25</v>
      </c>
      <c r="I3" s="49" t="s">
        <v>37</v>
      </c>
      <c r="J3" s="49" t="s">
        <v>652</v>
      </c>
      <c r="K3" s="49" t="s">
        <v>653</v>
      </c>
      <c r="L3" s="49" t="s">
        <v>75</v>
      </c>
      <c r="M3" s="49">
        <v>2021</v>
      </c>
      <c r="N3" s="49">
        <v>0</v>
      </c>
      <c r="O3" s="49">
        <v>45.2</v>
      </c>
      <c r="P3" s="49">
        <v>0</v>
      </c>
    </row>
    <row r="4" spans="1:50" ht="11.25" customHeight="1" x14ac:dyDescent="0.25">
      <c r="A4" s="49">
        <v>3</v>
      </c>
      <c r="B4" s="49" t="s">
        <v>508</v>
      </c>
      <c r="C4" s="49" t="s">
        <v>34</v>
      </c>
      <c r="D4" s="49" t="s">
        <v>74</v>
      </c>
      <c r="E4" s="49" t="s">
        <v>25</v>
      </c>
      <c r="F4" s="49" t="s">
        <v>25</v>
      </c>
      <c r="G4" s="49" t="s">
        <v>25</v>
      </c>
      <c r="H4" s="49" t="s">
        <v>25</v>
      </c>
      <c r="I4" s="49" t="s">
        <v>25</v>
      </c>
      <c r="J4" s="49" t="s">
        <v>654</v>
      </c>
      <c r="K4" s="49" t="s">
        <v>653</v>
      </c>
      <c r="L4" s="49" t="s">
        <v>69</v>
      </c>
      <c r="M4" s="49">
        <v>2021</v>
      </c>
      <c r="N4" s="49">
        <v>0</v>
      </c>
      <c r="O4" s="49">
        <v>48.17</v>
      </c>
      <c r="P4" s="49">
        <v>21.490744551924301</v>
      </c>
    </row>
    <row r="5" spans="1:50" ht="11.25" customHeight="1" x14ac:dyDescent="0.25">
      <c r="A5" s="49">
        <v>4</v>
      </c>
      <c r="B5" s="49" t="s">
        <v>508</v>
      </c>
      <c r="C5" s="49" t="s">
        <v>34</v>
      </c>
      <c r="D5" s="49" t="s">
        <v>74</v>
      </c>
      <c r="E5" s="49" t="s">
        <v>25</v>
      </c>
      <c r="F5" s="49" t="s">
        <v>25</v>
      </c>
      <c r="G5" s="49" t="s">
        <v>78</v>
      </c>
      <c r="H5" s="49" t="s">
        <v>25</v>
      </c>
      <c r="I5" s="49" t="s">
        <v>25</v>
      </c>
      <c r="J5" s="49" t="s">
        <v>654</v>
      </c>
      <c r="K5" s="49" t="s">
        <v>653</v>
      </c>
      <c r="L5" s="49" t="s">
        <v>69</v>
      </c>
      <c r="M5" s="49">
        <v>2021</v>
      </c>
      <c r="N5" s="49">
        <v>0</v>
      </c>
      <c r="O5" s="49">
        <v>16.53</v>
      </c>
      <c r="P5" s="49">
        <v>0</v>
      </c>
    </row>
    <row r="6" spans="1:50" ht="11.25" customHeight="1" x14ac:dyDescent="0.25">
      <c r="A6" s="49">
        <v>5</v>
      </c>
      <c r="B6" s="49" t="s">
        <v>508</v>
      </c>
      <c r="C6" s="49" t="s">
        <v>34</v>
      </c>
      <c r="D6" s="49" t="s">
        <v>79</v>
      </c>
      <c r="E6" s="49" t="s">
        <v>25</v>
      </c>
      <c r="F6" s="49" t="s">
        <v>25</v>
      </c>
      <c r="G6" s="49" t="s">
        <v>25</v>
      </c>
      <c r="H6" s="49" t="s">
        <v>25</v>
      </c>
      <c r="I6" s="49" t="s">
        <v>25</v>
      </c>
      <c r="J6" s="49" t="s">
        <v>652</v>
      </c>
      <c r="K6" s="49" t="s">
        <v>653</v>
      </c>
      <c r="L6" s="49" t="s">
        <v>75</v>
      </c>
      <c r="M6" s="49">
        <v>2021</v>
      </c>
      <c r="N6" s="49">
        <v>0</v>
      </c>
      <c r="O6" s="49">
        <v>7.85</v>
      </c>
      <c r="P6" s="49">
        <v>0</v>
      </c>
    </row>
    <row r="7" spans="1:50" ht="11.25" customHeight="1" x14ac:dyDescent="0.25">
      <c r="A7" s="49">
        <v>6</v>
      </c>
      <c r="B7" s="49" t="s">
        <v>508</v>
      </c>
      <c r="C7" s="49" t="s">
        <v>34</v>
      </c>
      <c r="D7" s="49" t="s">
        <v>35</v>
      </c>
      <c r="E7" s="49" t="s">
        <v>25</v>
      </c>
      <c r="F7" s="49" t="s">
        <v>25</v>
      </c>
      <c r="G7" s="49" t="s">
        <v>25</v>
      </c>
      <c r="H7" s="49" t="s">
        <v>25</v>
      </c>
      <c r="I7" s="49" t="s">
        <v>25</v>
      </c>
      <c r="J7" s="49" t="s">
        <v>652</v>
      </c>
      <c r="K7" s="49" t="s">
        <v>653</v>
      </c>
      <c r="L7" s="49" t="s">
        <v>75</v>
      </c>
      <c r="M7" s="49">
        <v>2021</v>
      </c>
      <c r="N7" s="49">
        <v>0</v>
      </c>
      <c r="O7" s="49">
        <v>45.2</v>
      </c>
      <c r="P7" s="49">
        <v>0</v>
      </c>
    </row>
    <row r="8" spans="1:50" ht="11.25" customHeight="1" x14ac:dyDescent="0.25">
      <c r="A8" s="49">
        <v>7</v>
      </c>
      <c r="B8" s="49" t="s">
        <v>508</v>
      </c>
      <c r="C8" s="49" t="s">
        <v>34</v>
      </c>
      <c r="D8" s="49" t="s">
        <v>35</v>
      </c>
      <c r="E8" s="49" t="s">
        <v>25</v>
      </c>
      <c r="F8" s="49" t="s">
        <v>25</v>
      </c>
      <c r="G8" s="49" t="s">
        <v>25</v>
      </c>
      <c r="H8" s="49" t="s">
        <v>25</v>
      </c>
      <c r="I8" s="49" t="s">
        <v>36</v>
      </c>
      <c r="J8" s="49" t="s">
        <v>654</v>
      </c>
      <c r="K8" s="49" t="s">
        <v>653</v>
      </c>
      <c r="L8" s="49" t="s">
        <v>69</v>
      </c>
      <c r="M8" s="49">
        <v>2021</v>
      </c>
      <c r="N8" s="49">
        <v>0</v>
      </c>
      <c r="O8" s="49">
        <v>2345.52</v>
      </c>
      <c r="P8" s="49">
        <v>21.490744551924301</v>
      </c>
    </row>
    <row r="9" spans="1:50" ht="11.25" customHeight="1" x14ac:dyDescent="0.25">
      <c r="A9" s="49">
        <v>8</v>
      </c>
      <c r="B9" s="49" t="s">
        <v>508</v>
      </c>
      <c r="C9" s="49" t="s">
        <v>34</v>
      </c>
      <c r="D9" s="49" t="s">
        <v>35</v>
      </c>
      <c r="E9" s="49" t="s">
        <v>25</v>
      </c>
      <c r="F9" s="49" t="s">
        <v>25</v>
      </c>
      <c r="G9" s="49" t="s">
        <v>25</v>
      </c>
      <c r="H9" s="49" t="s">
        <v>25</v>
      </c>
      <c r="I9" s="49" t="s">
        <v>37</v>
      </c>
      <c r="J9" s="49" t="s">
        <v>654</v>
      </c>
      <c r="K9" s="49" t="s">
        <v>653</v>
      </c>
      <c r="L9" s="49" t="s">
        <v>69</v>
      </c>
      <c r="M9" s="49">
        <v>2021</v>
      </c>
      <c r="N9" s="49">
        <v>0</v>
      </c>
      <c r="O9" s="49">
        <v>48.17</v>
      </c>
      <c r="P9" s="49">
        <v>21.490744551924301</v>
      </c>
    </row>
    <row r="10" spans="1:50" ht="11.25" customHeight="1" x14ac:dyDescent="0.25">
      <c r="A10" s="49">
        <v>9</v>
      </c>
      <c r="B10" s="49" t="s">
        <v>508</v>
      </c>
      <c r="C10" s="49" t="s">
        <v>34</v>
      </c>
      <c r="D10" s="49" t="s">
        <v>35</v>
      </c>
      <c r="E10" s="49" t="s">
        <v>25</v>
      </c>
      <c r="F10" s="49" t="s">
        <v>25</v>
      </c>
      <c r="G10" s="49" t="s">
        <v>78</v>
      </c>
      <c r="H10" s="49" t="s">
        <v>25</v>
      </c>
      <c r="I10" s="49" t="s">
        <v>36</v>
      </c>
      <c r="J10" s="49" t="s">
        <v>654</v>
      </c>
      <c r="K10" s="49" t="s">
        <v>653</v>
      </c>
      <c r="L10" s="49" t="s">
        <v>69</v>
      </c>
      <c r="M10" s="49">
        <v>2021</v>
      </c>
      <c r="N10" s="49">
        <v>0</v>
      </c>
      <c r="O10" s="49">
        <v>2313.88</v>
      </c>
      <c r="P10" s="49">
        <v>0</v>
      </c>
    </row>
    <row r="11" spans="1:50" ht="11.25" customHeight="1" x14ac:dyDescent="0.25">
      <c r="A11" s="49">
        <v>10</v>
      </c>
      <c r="B11" s="49" t="s">
        <v>508</v>
      </c>
      <c r="C11" s="49" t="s">
        <v>34</v>
      </c>
      <c r="D11" s="49" t="s">
        <v>35</v>
      </c>
      <c r="E11" s="49" t="s">
        <v>25</v>
      </c>
      <c r="F11" s="49" t="s">
        <v>25</v>
      </c>
      <c r="G11" s="49" t="s">
        <v>78</v>
      </c>
      <c r="H11" s="49" t="s">
        <v>25</v>
      </c>
      <c r="I11" s="49" t="s">
        <v>37</v>
      </c>
      <c r="J11" s="49" t="s">
        <v>654</v>
      </c>
      <c r="K11" s="49" t="s">
        <v>653</v>
      </c>
      <c r="L11" s="49" t="s">
        <v>69</v>
      </c>
      <c r="M11" s="49">
        <v>2021</v>
      </c>
      <c r="N11" s="49">
        <v>0</v>
      </c>
      <c r="O11" s="49">
        <v>16.53</v>
      </c>
      <c r="P11" s="49">
        <v>0</v>
      </c>
    </row>
    <row r="12" spans="1:50" ht="11.25" customHeight="1" x14ac:dyDescent="0.25">
      <c r="A12" s="49">
        <v>11</v>
      </c>
      <c r="B12" s="49" t="s">
        <v>508</v>
      </c>
      <c r="C12" s="49" t="s">
        <v>80</v>
      </c>
      <c r="D12" s="49" t="s">
        <v>79</v>
      </c>
      <c r="E12" s="49" t="s">
        <v>25</v>
      </c>
      <c r="F12" s="49" t="s">
        <v>25</v>
      </c>
      <c r="G12" s="49" t="s">
        <v>81</v>
      </c>
      <c r="H12" s="49" t="s">
        <v>25</v>
      </c>
      <c r="I12" s="49" t="s">
        <v>25</v>
      </c>
      <c r="J12" s="49" t="s">
        <v>652</v>
      </c>
      <c r="K12" s="49" t="s">
        <v>653</v>
      </c>
      <c r="L12" s="49" t="s">
        <v>75</v>
      </c>
      <c r="M12" s="49">
        <v>2021</v>
      </c>
      <c r="N12" s="49">
        <v>0</v>
      </c>
      <c r="O12" s="49">
        <v>3.84</v>
      </c>
      <c r="P12" s="49">
        <v>0</v>
      </c>
    </row>
    <row r="13" spans="1:50" ht="11.25" customHeight="1" x14ac:dyDescent="0.25">
      <c r="A13" s="49">
        <v>12</v>
      </c>
      <c r="B13" s="49" t="s">
        <v>508</v>
      </c>
      <c r="C13" s="49" t="s">
        <v>80</v>
      </c>
      <c r="D13" s="49" t="s">
        <v>79</v>
      </c>
      <c r="E13" s="49" t="s">
        <v>25</v>
      </c>
      <c r="F13" s="49" t="s">
        <v>25</v>
      </c>
      <c r="G13" s="49" t="s">
        <v>82</v>
      </c>
      <c r="H13" s="49" t="s">
        <v>25</v>
      </c>
      <c r="I13" s="49" t="s">
        <v>25</v>
      </c>
      <c r="J13" s="49" t="s">
        <v>652</v>
      </c>
      <c r="K13" s="49" t="s">
        <v>653</v>
      </c>
      <c r="L13" s="49" t="s">
        <v>75</v>
      </c>
      <c r="M13" s="49">
        <v>2021</v>
      </c>
      <c r="N13" s="49">
        <v>0</v>
      </c>
      <c r="O13" s="49">
        <v>11.57</v>
      </c>
      <c r="P13" s="49">
        <v>0</v>
      </c>
    </row>
    <row r="14" spans="1:50" ht="11.25" customHeight="1" x14ac:dyDescent="0.25">
      <c r="A14" s="49">
        <v>13</v>
      </c>
      <c r="B14" s="49" t="s">
        <v>508</v>
      </c>
      <c r="C14" s="49" t="s">
        <v>22</v>
      </c>
      <c r="D14" s="49" t="s">
        <v>39</v>
      </c>
      <c r="E14" s="49" t="s">
        <v>24</v>
      </c>
      <c r="F14" s="49" t="s">
        <v>24</v>
      </c>
      <c r="G14" s="49" t="s">
        <v>25</v>
      </c>
      <c r="H14" s="49" t="s">
        <v>25</v>
      </c>
      <c r="I14" s="49" t="s">
        <v>36</v>
      </c>
      <c r="J14" s="49" t="s">
        <v>654</v>
      </c>
      <c r="K14" s="49" t="s">
        <v>653</v>
      </c>
      <c r="L14" s="49" t="s">
        <v>69</v>
      </c>
      <c r="M14" s="49">
        <v>2021</v>
      </c>
      <c r="N14" s="49">
        <v>0</v>
      </c>
      <c r="O14" s="49">
        <v>1386.18</v>
      </c>
      <c r="P14" s="49">
        <v>24.702005232096901</v>
      </c>
    </row>
    <row r="15" spans="1:50" ht="11.25" customHeight="1" x14ac:dyDescent="0.25">
      <c r="A15" s="49">
        <v>14</v>
      </c>
      <c r="B15" s="49" t="s">
        <v>508</v>
      </c>
      <c r="C15" s="49" t="s">
        <v>22</v>
      </c>
      <c r="D15" s="49" t="s">
        <v>39</v>
      </c>
      <c r="E15" s="49" t="s">
        <v>24</v>
      </c>
      <c r="F15" s="49" t="s">
        <v>24</v>
      </c>
      <c r="G15" s="49" t="s">
        <v>25</v>
      </c>
      <c r="H15" s="49" t="s">
        <v>25</v>
      </c>
      <c r="I15" s="49" t="s">
        <v>40</v>
      </c>
      <c r="J15" s="49" t="s">
        <v>654</v>
      </c>
      <c r="K15" s="49" t="s">
        <v>653</v>
      </c>
      <c r="L15" s="49" t="s">
        <v>69</v>
      </c>
      <c r="M15" s="49">
        <v>2021</v>
      </c>
      <c r="N15" s="49">
        <v>0</v>
      </c>
      <c r="O15" s="49">
        <v>860.12</v>
      </c>
      <c r="P15" s="49">
        <v>24.702005232096901</v>
      </c>
    </row>
    <row r="16" spans="1:50" ht="11.25" customHeight="1" x14ac:dyDescent="0.25">
      <c r="A16" s="49">
        <v>15</v>
      </c>
      <c r="B16" s="49" t="s">
        <v>508</v>
      </c>
      <c r="C16" s="49" t="s">
        <v>22</v>
      </c>
      <c r="D16" s="49" t="s">
        <v>39</v>
      </c>
      <c r="E16" s="49" t="s">
        <v>24</v>
      </c>
      <c r="F16" s="49" t="s">
        <v>24</v>
      </c>
      <c r="G16" s="49" t="s">
        <v>25</v>
      </c>
      <c r="H16" s="49" t="s">
        <v>25</v>
      </c>
      <c r="I16" s="49" t="s">
        <v>37</v>
      </c>
      <c r="J16" s="49" t="s">
        <v>654</v>
      </c>
      <c r="K16" s="49" t="s">
        <v>653</v>
      </c>
      <c r="L16" s="49" t="s">
        <v>69</v>
      </c>
      <c r="M16" s="49">
        <v>2021</v>
      </c>
      <c r="N16" s="49">
        <v>0</v>
      </c>
      <c r="O16" s="49">
        <v>334.07</v>
      </c>
      <c r="P16" s="49">
        <v>24.702005232096901</v>
      </c>
    </row>
    <row r="17" spans="1:16" ht="11.25" customHeight="1" x14ac:dyDescent="0.25">
      <c r="A17" s="49">
        <v>16</v>
      </c>
      <c r="B17" s="49" t="s">
        <v>508</v>
      </c>
      <c r="C17" s="49" t="s">
        <v>22</v>
      </c>
      <c r="D17" s="49" t="s">
        <v>23</v>
      </c>
      <c r="E17" s="49" t="s">
        <v>24</v>
      </c>
      <c r="F17" s="49" t="s">
        <v>24</v>
      </c>
      <c r="G17" s="49" t="s">
        <v>25</v>
      </c>
      <c r="H17" s="49" t="s">
        <v>25</v>
      </c>
      <c r="I17" s="49" t="s">
        <v>25</v>
      </c>
      <c r="J17" s="49" t="s">
        <v>654</v>
      </c>
      <c r="K17" s="49" t="s">
        <v>653</v>
      </c>
      <c r="L17" s="49" t="s">
        <v>69</v>
      </c>
      <c r="M17" s="49">
        <v>2021</v>
      </c>
      <c r="N17" s="49">
        <v>0</v>
      </c>
      <c r="O17" s="49">
        <v>509.43</v>
      </c>
      <c r="P17" s="49">
        <v>24.702005232096901</v>
      </c>
    </row>
    <row r="18" spans="1:16" ht="11.25" customHeight="1" x14ac:dyDescent="0.25">
      <c r="A18" s="49">
        <v>17</v>
      </c>
      <c r="B18" s="49" t="s">
        <v>508</v>
      </c>
      <c r="C18" s="49" t="s">
        <v>22</v>
      </c>
      <c r="D18" s="49" t="s">
        <v>23</v>
      </c>
      <c r="E18" s="49" t="s">
        <v>24</v>
      </c>
      <c r="F18" s="49" t="s">
        <v>28</v>
      </c>
      <c r="G18" s="49" t="s">
        <v>25</v>
      </c>
      <c r="H18" s="49" t="s">
        <v>25</v>
      </c>
      <c r="I18" s="49" t="s">
        <v>25</v>
      </c>
      <c r="J18" s="49" t="s">
        <v>654</v>
      </c>
      <c r="K18" s="49" t="s">
        <v>653</v>
      </c>
      <c r="L18" s="49" t="s">
        <v>69</v>
      </c>
      <c r="M18" s="49">
        <v>2021</v>
      </c>
      <c r="N18" s="49">
        <v>0</v>
      </c>
      <c r="O18" s="49">
        <v>166.1</v>
      </c>
      <c r="P18" s="49">
        <v>0</v>
      </c>
    </row>
    <row r="19" spans="1:16" ht="11.25" customHeight="1" x14ac:dyDescent="0.25">
      <c r="A19" s="49">
        <v>18</v>
      </c>
      <c r="B19" s="49" t="s">
        <v>508</v>
      </c>
      <c r="C19" s="49" t="s">
        <v>22</v>
      </c>
      <c r="D19" s="49" t="s">
        <v>23</v>
      </c>
      <c r="E19" s="49" t="s">
        <v>24</v>
      </c>
      <c r="F19" s="49" t="s">
        <v>29</v>
      </c>
      <c r="G19" s="49" t="s">
        <v>25</v>
      </c>
      <c r="H19" s="49" t="s">
        <v>25</v>
      </c>
      <c r="I19" s="49" t="s">
        <v>25</v>
      </c>
      <c r="J19" s="49" t="s">
        <v>654</v>
      </c>
      <c r="K19" s="49" t="s">
        <v>653</v>
      </c>
      <c r="L19" s="49" t="s">
        <v>69</v>
      </c>
      <c r="M19" s="49">
        <v>2021</v>
      </c>
      <c r="N19" s="49">
        <v>0</v>
      </c>
      <c r="O19" s="49">
        <v>284.74</v>
      </c>
      <c r="P19" s="49">
        <v>0</v>
      </c>
    </row>
    <row r="20" spans="1:16" ht="11.25" customHeight="1" x14ac:dyDescent="0.25">
      <c r="A20" s="49">
        <v>19</v>
      </c>
      <c r="B20" s="49" t="s">
        <v>508</v>
      </c>
      <c r="C20" s="49" t="s">
        <v>22</v>
      </c>
      <c r="D20" s="49" t="s">
        <v>23</v>
      </c>
      <c r="E20" s="49" t="s">
        <v>24</v>
      </c>
      <c r="F20" s="49" t="s">
        <v>30</v>
      </c>
      <c r="G20" s="49" t="s">
        <v>25</v>
      </c>
      <c r="H20" s="49" t="s">
        <v>25</v>
      </c>
      <c r="I20" s="49" t="s">
        <v>25</v>
      </c>
      <c r="J20" s="49" t="s">
        <v>654</v>
      </c>
      <c r="K20" s="49" t="s">
        <v>653</v>
      </c>
      <c r="L20" s="49" t="s">
        <v>69</v>
      </c>
      <c r="M20" s="49">
        <v>2021</v>
      </c>
      <c r="N20" s="49">
        <v>0</v>
      </c>
      <c r="O20" s="49">
        <v>427.11</v>
      </c>
      <c r="P20" s="49">
        <v>0</v>
      </c>
    </row>
    <row r="21" spans="1:16" ht="11.25" customHeight="1" x14ac:dyDescent="0.25">
      <c r="A21" s="49">
        <v>20</v>
      </c>
      <c r="B21" s="49" t="s">
        <v>508</v>
      </c>
      <c r="C21" s="49" t="s">
        <v>22</v>
      </c>
      <c r="D21" s="49" t="s">
        <v>23</v>
      </c>
      <c r="E21" s="49" t="s">
        <v>24</v>
      </c>
      <c r="F21" s="49" t="s">
        <v>31</v>
      </c>
      <c r="G21" s="49" t="s">
        <v>25</v>
      </c>
      <c r="H21" s="49" t="s">
        <v>25</v>
      </c>
      <c r="I21" s="49" t="s">
        <v>25</v>
      </c>
      <c r="J21" s="49" t="s">
        <v>654</v>
      </c>
      <c r="K21" s="49" t="s">
        <v>653</v>
      </c>
      <c r="L21" s="49" t="s">
        <v>69</v>
      </c>
      <c r="M21" s="49">
        <v>2021</v>
      </c>
      <c r="N21" s="49">
        <v>0</v>
      </c>
      <c r="O21" s="49">
        <v>474.57</v>
      </c>
      <c r="P21" s="49">
        <v>0</v>
      </c>
    </row>
    <row r="22" spans="1:16" ht="11.25" customHeight="1" x14ac:dyDescent="0.25">
      <c r="A22" s="49">
        <v>21</v>
      </c>
      <c r="B22" s="49" t="s">
        <v>508</v>
      </c>
      <c r="C22" s="49" t="s">
        <v>22</v>
      </c>
      <c r="D22" s="49" t="s">
        <v>85</v>
      </c>
      <c r="E22" s="49" t="s">
        <v>24</v>
      </c>
      <c r="F22" s="49" t="s">
        <v>24</v>
      </c>
      <c r="G22" s="49" t="s">
        <v>25</v>
      </c>
      <c r="H22" s="49" t="s">
        <v>25</v>
      </c>
      <c r="I22" s="49" t="s">
        <v>25</v>
      </c>
      <c r="J22" s="49" t="s">
        <v>654</v>
      </c>
      <c r="K22" s="49" t="s">
        <v>653</v>
      </c>
      <c r="L22" s="49" t="s">
        <v>69</v>
      </c>
      <c r="M22" s="49">
        <v>2021</v>
      </c>
      <c r="N22" s="49">
        <v>0</v>
      </c>
      <c r="O22" s="49">
        <v>509.43</v>
      </c>
      <c r="P22" s="49">
        <v>24.702005232096901</v>
      </c>
    </row>
    <row r="23" spans="1:16" ht="11.25" customHeight="1" x14ac:dyDescent="0.25">
      <c r="A23" s="49">
        <v>22</v>
      </c>
      <c r="B23" s="49" t="s">
        <v>508</v>
      </c>
      <c r="C23" s="49" t="s">
        <v>22</v>
      </c>
      <c r="D23" s="49" t="s">
        <v>85</v>
      </c>
      <c r="E23" s="49" t="s">
        <v>24</v>
      </c>
      <c r="F23" s="49" t="s">
        <v>28</v>
      </c>
      <c r="G23" s="49" t="s">
        <v>25</v>
      </c>
      <c r="H23" s="49" t="s">
        <v>25</v>
      </c>
      <c r="I23" s="49" t="s">
        <v>25</v>
      </c>
      <c r="J23" s="49" t="s">
        <v>654</v>
      </c>
      <c r="K23" s="49" t="s">
        <v>653</v>
      </c>
      <c r="L23" s="49" t="s">
        <v>69</v>
      </c>
      <c r="M23" s="49">
        <v>2021</v>
      </c>
      <c r="N23" s="49">
        <v>0</v>
      </c>
      <c r="O23" s="49">
        <v>166.1</v>
      </c>
      <c r="P23" s="49">
        <v>0</v>
      </c>
    </row>
    <row r="24" spans="1:16" ht="11.25" customHeight="1" x14ac:dyDescent="0.25">
      <c r="A24" s="49">
        <v>23</v>
      </c>
      <c r="B24" s="49" t="s">
        <v>508</v>
      </c>
      <c r="C24" s="49" t="s">
        <v>22</v>
      </c>
      <c r="D24" s="49" t="s">
        <v>85</v>
      </c>
      <c r="E24" s="49" t="s">
        <v>24</v>
      </c>
      <c r="F24" s="49" t="s">
        <v>29</v>
      </c>
      <c r="G24" s="49" t="s">
        <v>25</v>
      </c>
      <c r="H24" s="49" t="s">
        <v>25</v>
      </c>
      <c r="I24" s="49" t="s">
        <v>25</v>
      </c>
      <c r="J24" s="49" t="s">
        <v>654</v>
      </c>
      <c r="K24" s="49" t="s">
        <v>653</v>
      </c>
      <c r="L24" s="49" t="s">
        <v>69</v>
      </c>
      <c r="M24" s="49">
        <v>2021</v>
      </c>
      <c r="N24" s="49">
        <v>0</v>
      </c>
      <c r="O24" s="49">
        <v>284.74</v>
      </c>
      <c r="P24" s="49">
        <v>0</v>
      </c>
    </row>
    <row r="25" spans="1:16" ht="11.25" customHeight="1" x14ac:dyDescent="0.25">
      <c r="A25" s="49">
        <v>24</v>
      </c>
      <c r="B25" s="49" t="s">
        <v>508</v>
      </c>
      <c r="C25" s="49" t="s">
        <v>22</v>
      </c>
      <c r="D25" s="49" t="s">
        <v>85</v>
      </c>
      <c r="E25" s="49" t="s">
        <v>24</v>
      </c>
      <c r="F25" s="49" t="s">
        <v>30</v>
      </c>
      <c r="G25" s="49" t="s">
        <v>25</v>
      </c>
      <c r="H25" s="49" t="s">
        <v>25</v>
      </c>
      <c r="I25" s="49" t="s">
        <v>25</v>
      </c>
      <c r="J25" s="49" t="s">
        <v>654</v>
      </c>
      <c r="K25" s="49" t="s">
        <v>653</v>
      </c>
      <c r="L25" s="49" t="s">
        <v>69</v>
      </c>
      <c r="M25" s="49">
        <v>2021</v>
      </c>
      <c r="N25" s="49">
        <v>0</v>
      </c>
      <c r="O25" s="49">
        <v>427.11</v>
      </c>
      <c r="P25" s="49">
        <v>0</v>
      </c>
    </row>
    <row r="26" spans="1:16" ht="11.25" customHeight="1" x14ac:dyDescent="0.25">
      <c r="A26" s="49">
        <v>25</v>
      </c>
      <c r="B26" s="49" t="s">
        <v>508</v>
      </c>
      <c r="C26" s="49" t="s">
        <v>22</v>
      </c>
      <c r="D26" s="49" t="s">
        <v>85</v>
      </c>
      <c r="E26" s="49" t="s">
        <v>24</v>
      </c>
      <c r="F26" s="49" t="s">
        <v>31</v>
      </c>
      <c r="G26" s="49" t="s">
        <v>25</v>
      </c>
      <c r="H26" s="49" t="s">
        <v>25</v>
      </c>
      <c r="I26" s="49" t="s">
        <v>25</v>
      </c>
      <c r="J26" s="49" t="s">
        <v>654</v>
      </c>
      <c r="K26" s="49" t="s">
        <v>653</v>
      </c>
      <c r="L26" s="49" t="s">
        <v>69</v>
      </c>
      <c r="M26" s="49">
        <v>2021</v>
      </c>
      <c r="N26" s="49">
        <v>0</v>
      </c>
      <c r="O26" s="49">
        <v>474.57</v>
      </c>
      <c r="P26" s="49">
        <v>0</v>
      </c>
    </row>
    <row r="27" spans="1:16" ht="11.25" customHeight="1" x14ac:dyDescent="0.25">
      <c r="A27" s="49">
        <v>26</v>
      </c>
      <c r="B27" s="49" t="s">
        <v>508</v>
      </c>
      <c r="C27" s="49" t="s">
        <v>41</v>
      </c>
      <c r="D27" s="49" t="s">
        <v>39</v>
      </c>
      <c r="E27" s="49" t="s">
        <v>42</v>
      </c>
      <c r="F27" s="49" t="s">
        <v>25</v>
      </c>
      <c r="G27" s="49" t="s">
        <v>25</v>
      </c>
      <c r="H27" s="49" t="s">
        <v>25</v>
      </c>
      <c r="I27" s="49" t="s">
        <v>36</v>
      </c>
      <c r="J27" s="49" t="s">
        <v>654</v>
      </c>
      <c r="K27" s="49" t="s">
        <v>653</v>
      </c>
      <c r="L27" s="49" t="s">
        <v>69</v>
      </c>
      <c r="M27" s="49">
        <v>2021</v>
      </c>
      <c r="N27" s="49">
        <v>0</v>
      </c>
      <c r="O27" s="49">
        <v>1091.18</v>
      </c>
      <c r="P27" s="49">
        <v>21.737764604245299</v>
      </c>
    </row>
    <row r="28" spans="1:16" ht="11.25" customHeight="1" x14ac:dyDescent="0.25">
      <c r="A28" s="49">
        <v>27</v>
      </c>
      <c r="B28" s="49" t="s">
        <v>508</v>
      </c>
      <c r="C28" s="49" t="s">
        <v>41</v>
      </c>
      <c r="D28" s="49" t="s">
        <v>39</v>
      </c>
      <c r="E28" s="49" t="s">
        <v>42</v>
      </c>
      <c r="F28" s="49" t="s">
        <v>25</v>
      </c>
      <c r="G28" s="49" t="s">
        <v>25</v>
      </c>
      <c r="H28" s="49" t="s">
        <v>25</v>
      </c>
      <c r="I28" s="49" t="s">
        <v>40</v>
      </c>
      <c r="J28" s="49" t="s">
        <v>654</v>
      </c>
      <c r="K28" s="49" t="s">
        <v>653</v>
      </c>
      <c r="L28" s="49" t="s">
        <v>69</v>
      </c>
      <c r="M28" s="49">
        <v>2021</v>
      </c>
      <c r="N28" s="49">
        <v>0</v>
      </c>
      <c r="O28" s="49">
        <v>679.72</v>
      </c>
      <c r="P28" s="49">
        <v>21.737764604245299</v>
      </c>
    </row>
    <row r="29" spans="1:16" ht="11.25" customHeight="1" x14ac:dyDescent="0.25">
      <c r="A29" s="49">
        <v>28</v>
      </c>
      <c r="B29" s="49" t="s">
        <v>508</v>
      </c>
      <c r="C29" s="49" t="s">
        <v>41</v>
      </c>
      <c r="D29" s="49" t="s">
        <v>39</v>
      </c>
      <c r="E29" s="49" t="s">
        <v>42</v>
      </c>
      <c r="F29" s="49" t="s">
        <v>25</v>
      </c>
      <c r="G29" s="49" t="s">
        <v>25</v>
      </c>
      <c r="H29" s="49" t="s">
        <v>25</v>
      </c>
      <c r="I29" s="49" t="s">
        <v>37</v>
      </c>
      <c r="J29" s="49" t="s">
        <v>654</v>
      </c>
      <c r="K29" s="49" t="s">
        <v>653</v>
      </c>
      <c r="L29" s="49" t="s">
        <v>69</v>
      </c>
      <c r="M29" s="49">
        <v>2021</v>
      </c>
      <c r="N29" s="49">
        <v>0</v>
      </c>
      <c r="O29" s="49">
        <v>268.26</v>
      </c>
      <c r="P29" s="49">
        <v>21.737764604245299</v>
      </c>
    </row>
    <row r="30" spans="1:16" ht="11.25" customHeight="1" x14ac:dyDescent="0.25">
      <c r="A30" s="49">
        <v>29</v>
      </c>
      <c r="B30" s="49" t="s">
        <v>508</v>
      </c>
      <c r="C30" s="49" t="s">
        <v>41</v>
      </c>
      <c r="D30" s="49" t="s">
        <v>23</v>
      </c>
      <c r="E30" s="49" t="s">
        <v>42</v>
      </c>
      <c r="F30" s="49" t="s">
        <v>25</v>
      </c>
      <c r="G30" s="49" t="s">
        <v>25</v>
      </c>
      <c r="H30" s="49" t="s">
        <v>25</v>
      </c>
      <c r="I30" s="49" t="s">
        <v>25</v>
      </c>
      <c r="J30" s="49" t="s">
        <v>654</v>
      </c>
      <c r="K30" s="49" t="s">
        <v>653</v>
      </c>
      <c r="L30" s="49" t="s">
        <v>69</v>
      </c>
      <c r="M30" s="49">
        <v>2021</v>
      </c>
      <c r="N30" s="49">
        <v>0</v>
      </c>
      <c r="O30" s="49">
        <v>448.29</v>
      </c>
      <c r="P30" s="49">
        <v>21.737764604245299</v>
      </c>
    </row>
    <row r="31" spans="1:16" ht="11.25" customHeight="1" x14ac:dyDescent="0.25">
      <c r="A31" s="49">
        <v>30</v>
      </c>
      <c r="B31" s="49" t="s">
        <v>508</v>
      </c>
      <c r="C31" s="49" t="s">
        <v>41</v>
      </c>
      <c r="D31" s="49" t="s">
        <v>39</v>
      </c>
      <c r="E31" s="49" t="s">
        <v>42</v>
      </c>
      <c r="F31" s="49" t="s">
        <v>86</v>
      </c>
      <c r="G31" s="49" t="s">
        <v>25</v>
      </c>
      <c r="H31" s="49" t="s">
        <v>25</v>
      </c>
      <c r="I31" s="49" t="s">
        <v>36</v>
      </c>
      <c r="J31" s="49" t="s">
        <v>654</v>
      </c>
      <c r="K31" s="49" t="s">
        <v>653</v>
      </c>
      <c r="L31" s="49" t="s">
        <v>69</v>
      </c>
      <c r="M31" s="49">
        <v>2021</v>
      </c>
      <c r="N31" s="49">
        <v>0</v>
      </c>
      <c r="O31" s="49">
        <v>1091.18</v>
      </c>
      <c r="P31" s="49">
        <v>21.737764604245299</v>
      </c>
    </row>
    <row r="32" spans="1:16" ht="11.25" customHeight="1" x14ac:dyDescent="0.25">
      <c r="A32" s="49">
        <v>31</v>
      </c>
      <c r="B32" s="49" t="s">
        <v>508</v>
      </c>
      <c r="C32" s="49" t="s">
        <v>41</v>
      </c>
      <c r="D32" s="49" t="s">
        <v>39</v>
      </c>
      <c r="E32" s="49" t="s">
        <v>42</v>
      </c>
      <c r="F32" s="49" t="s">
        <v>86</v>
      </c>
      <c r="G32" s="49" t="s">
        <v>25</v>
      </c>
      <c r="H32" s="49" t="s">
        <v>25</v>
      </c>
      <c r="I32" s="49" t="s">
        <v>40</v>
      </c>
      <c r="J32" s="49" t="s">
        <v>654</v>
      </c>
      <c r="K32" s="49" t="s">
        <v>653</v>
      </c>
      <c r="L32" s="49" t="s">
        <v>69</v>
      </c>
      <c r="M32" s="49">
        <v>2021</v>
      </c>
      <c r="N32" s="49">
        <v>0</v>
      </c>
      <c r="O32" s="49">
        <v>679.72</v>
      </c>
      <c r="P32" s="49">
        <v>21.737764604245299</v>
      </c>
    </row>
    <row r="33" spans="1:16" ht="11.25" customHeight="1" x14ac:dyDescent="0.25">
      <c r="A33" s="49">
        <v>32</v>
      </c>
      <c r="B33" s="49" t="s">
        <v>508</v>
      </c>
      <c r="C33" s="49" t="s">
        <v>41</v>
      </c>
      <c r="D33" s="49" t="s">
        <v>39</v>
      </c>
      <c r="E33" s="49" t="s">
        <v>42</v>
      </c>
      <c r="F33" s="49" t="s">
        <v>86</v>
      </c>
      <c r="G33" s="49" t="s">
        <v>25</v>
      </c>
      <c r="H33" s="49" t="s">
        <v>25</v>
      </c>
      <c r="I33" s="49" t="s">
        <v>37</v>
      </c>
      <c r="J33" s="49" t="s">
        <v>654</v>
      </c>
      <c r="K33" s="49" t="s">
        <v>653</v>
      </c>
      <c r="L33" s="49" t="s">
        <v>69</v>
      </c>
      <c r="M33" s="49">
        <v>2021</v>
      </c>
      <c r="N33" s="49">
        <v>0</v>
      </c>
      <c r="O33" s="49">
        <v>268.26</v>
      </c>
      <c r="P33" s="49">
        <v>21.737764604245299</v>
      </c>
    </row>
    <row r="34" spans="1:16" ht="11.25" customHeight="1" x14ac:dyDescent="0.25">
      <c r="A34" s="49">
        <v>33</v>
      </c>
      <c r="B34" s="49" t="s">
        <v>508</v>
      </c>
      <c r="C34" s="49" t="s">
        <v>41</v>
      </c>
      <c r="D34" s="49" t="s">
        <v>23</v>
      </c>
      <c r="E34" s="49" t="s">
        <v>42</v>
      </c>
      <c r="F34" s="49" t="s">
        <v>86</v>
      </c>
      <c r="G34" s="49" t="s">
        <v>25</v>
      </c>
      <c r="H34" s="49" t="s">
        <v>25</v>
      </c>
      <c r="I34" s="49" t="s">
        <v>25</v>
      </c>
      <c r="J34" s="49" t="s">
        <v>654</v>
      </c>
      <c r="K34" s="49" t="s">
        <v>653</v>
      </c>
      <c r="L34" s="49" t="s">
        <v>69</v>
      </c>
      <c r="M34" s="49">
        <v>2021</v>
      </c>
      <c r="N34" s="49">
        <v>0</v>
      </c>
      <c r="O34" s="49">
        <v>448.29</v>
      </c>
      <c r="P34" s="49">
        <v>21.737764604245299</v>
      </c>
    </row>
    <row r="35" spans="1:16" ht="11.25" customHeight="1" x14ac:dyDescent="0.25">
      <c r="A35" s="49">
        <v>34</v>
      </c>
      <c r="B35" s="49" t="s">
        <v>508</v>
      </c>
      <c r="C35" s="49" t="s">
        <v>41</v>
      </c>
      <c r="D35" s="49" t="s">
        <v>39</v>
      </c>
      <c r="E35" s="49" t="s">
        <v>42</v>
      </c>
      <c r="F35" s="49" t="s">
        <v>87</v>
      </c>
      <c r="G35" s="49" t="s">
        <v>25</v>
      </c>
      <c r="H35" s="49" t="s">
        <v>25</v>
      </c>
      <c r="I35" s="49" t="s">
        <v>36</v>
      </c>
      <c r="J35" s="49" t="s">
        <v>654</v>
      </c>
      <c r="K35" s="49" t="s">
        <v>653</v>
      </c>
      <c r="L35" s="49" t="s">
        <v>69</v>
      </c>
      <c r="M35" s="49">
        <v>2021</v>
      </c>
      <c r="N35" s="49">
        <v>0</v>
      </c>
      <c r="O35" s="49">
        <v>1041.58</v>
      </c>
      <c r="P35" s="49">
        <v>20.749684394961399</v>
      </c>
    </row>
    <row r="36" spans="1:16" ht="11.25" customHeight="1" x14ac:dyDescent="0.25">
      <c r="A36" s="49">
        <v>35</v>
      </c>
      <c r="B36" s="49" t="s">
        <v>508</v>
      </c>
      <c r="C36" s="49" t="s">
        <v>41</v>
      </c>
      <c r="D36" s="49" t="s">
        <v>39</v>
      </c>
      <c r="E36" s="49" t="s">
        <v>42</v>
      </c>
      <c r="F36" s="49" t="s">
        <v>87</v>
      </c>
      <c r="G36" s="49" t="s">
        <v>25</v>
      </c>
      <c r="H36" s="49" t="s">
        <v>25</v>
      </c>
      <c r="I36" s="49" t="s">
        <v>40</v>
      </c>
      <c r="J36" s="49" t="s">
        <v>654</v>
      </c>
      <c r="K36" s="49" t="s">
        <v>653</v>
      </c>
      <c r="L36" s="49" t="s">
        <v>69</v>
      </c>
      <c r="M36" s="49">
        <v>2021</v>
      </c>
      <c r="N36" s="49">
        <v>0</v>
      </c>
      <c r="O36" s="49">
        <v>648.82000000000005</v>
      </c>
      <c r="P36" s="49">
        <v>20.749684394961399</v>
      </c>
    </row>
    <row r="37" spans="1:16" ht="11.25" customHeight="1" x14ac:dyDescent="0.25">
      <c r="A37" s="49">
        <v>36</v>
      </c>
      <c r="B37" s="49" t="s">
        <v>508</v>
      </c>
      <c r="C37" s="49" t="s">
        <v>41</v>
      </c>
      <c r="D37" s="49" t="s">
        <v>39</v>
      </c>
      <c r="E37" s="49" t="s">
        <v>42</v>
      </c>
      <c r="F37" s="49" t="s">
        <v>87</v>
      </c>
      <c r="G37" s="49" t="s">
        <v>25</v>
      </c>
      <c r="H37" s="49" t="s">
        <v>25</v>
      </c>
      <c r="I37" s="49" t="s">
        <v>37</v>
      </c>
      <c r="J37" s="49" t="s">
        <v>654</v>
      </c>
      <c r="K37" s="49" t="s">
        <v>653</v>
      </c>
      <c r="L37" s="49" t="s">
        <v>69</v>
      </c>
      <c r="M37" s="49">
        <v>2021</v>
      </c>
      <c r="N37" s="49">
        <v>0</v>
      </c>
      <c r="O37" s="49">
        <v>256.06</v>
      </c>
      <c r="P37" s="49">
        <v>20.749684394961399</v>
      </c>
    </row>
    <row r="38" spans="1:16" ht="11.25" customHeight="1" x14ac:dyDescent="0.25">
      <c r="A38" s="49">
        <v>37</v>
      </c>
      <c r="B38" s="49" t="s">
        <v>508</v>
      </c>
      <c r="C38" s="49" t="s">
        <v>41</v>
      </c>
      <c r="D38" s="49" t="s">
        <v>23</v>
      </c>
      <c r="E38" s="49" t="s">
        <v>42</v>
      </c>
      <c r="F38" s="49" t="s">
        <v>87</v>
      </c>
      <c r="G38" s="49" t="s">
        <v>25</v>
      </c>
      <c r="H38" s="49" t="s">
        <v>25</v>
      </c>
      <c r="I38" s="49" t="s">
        <v>25</v>
      </c>
      <c r="J38" s="49" t="s">
        <v>654</v>
      </c>
      <c r="K38" s="49" t="s">
        <v>653</v>
      </c>
      <c r="L38" s="49" t="s">
        <v>69</v>
      </c>
      <c r="M38" s="49">
        <v>2021</v>
      </c>
      <c r="N38" s="49">
        <v>0</v>
      </c>
      <c r="O38" s="49">
        <v>427.92</v>
      </c>
      <c r="P38" s="49">
        <v>20.749684394961399</v>
      </c>
    </row>
    <row r="39" spans="1:16" ht="11.25" customHeight="1" x14ac:dyDescent="0.25">
      <c r="A39" s="49">
        <v>38</v>
      </c>
      <c r="B39" s="49" t="s">
        <v>508</v>
      </c>
      <c r="C39" s="49" t="s">
        <v>41</v>
      </c>
      <c r="D39" s="49" t="s">
        <v>85</v>
      </c>
      <c r="E39" s="49" t="s">
        <v>42</v>
      </c>
      <c r="F39" s="49" t="s">
        <v>25</v>
      </c>
      <c r="G39" s="49" t="s">
        <v>25</v>
      </c>
      <c r="H39" s="49" t="s">
        <v>25</v>
      </c>
      <c r="I39" s="49" t="s">
        <v>25</v>
      </c>
      <c r="J39" s="49" t="s">
        <v>654</v>
      </c>
      <c r="K39" s="49" t="s">
        <v>653</v>
      </c>
      <c r="L39" s="49" t="s">
        <v>69</v>
      </c>
      <c r="M39" s="49">
        <v>2021</v>
      </c>
      <c r="N39" s="49">
        <v>0</v>
      </c>
      <c r="O39" s="49">
        <v>448.29</v>
      </c>
      <c r="P39" s="49">
        <v>21.737764604245299</v>
      </c>
    </row>
    <row r="40" spans="1:16" ht="11.25" customHeight="1" x14ac:dyDescent="0.25">
      <c r="A40" s="49">
        <v>39</v>
      </c>
      <c r="B40" s="49" t="s">
        <v>508</v>
      </c>
      <c r="C40" s="49" t="s">
        <v>41</v>
      </c>
      <c r="D40" s="49" t="s">
        <v>85</v>
      </c>
      <c r="E40" s="49" t="s">
        <v>42</v>
      </c>
      <c r="F40" s="49" t="s">
        <v>86</v>
      </c>
      <c r="G40" s="49" t="s">
        <v>25</v>
      </c>
      <c r="H40" s="49" t="s">
        <v>25</v>
      </c>
      <c r="I40" s="49" t="s">
        <v>25</v>
      </c>
      <c r="J40" s="49" t="s">
        <v>654</v>
      </c>
      <c r="K40" s="49" t="s">
        <v>653</v>
      </c>
      <c r="L40" s="49" t="s">
        <v>69</v>
      </c>
      <c r="M40" s="49">
        <v>2021</v>
      </c>
      <c r="N40" s="49">
        <v>0</v>
      </c>
      <c r="O40" s="49">
        <v>448.29</v>
      </c>
      <c r="P40" s="49">
        <v>21.737764604245299</v>
      </c>
    </row>
    <row r="41" spans="1:16" ht="11.25" customHeight="1" x14ac:dyDescent="0.25">
      <c r="A41" s="49">
        <v>40</v>
      </c>
      <c r="B41" s="49" t="s">
        <v>508</v>
      </c>
      <c r="C41" s="49" t="s">
        <v>41</v>
      </c>
      <c r="D41" s="49" t="s">
        <v>85</v>
      </c>
      <c r="E41" s="49" t="s">
        <v>42</v>
      </c>
      <c r="F41" s="49" t="s">
        <v>87</v>
      </c>
      <c r="G41" s="49" t="s">
        <v>25</v>
      </c>
      <c r="H41" s="49" t="s">
        <v>25</v>
      </c>
      <c r="I41" s="49" t="s">
        <v>25</v>
      </c>
      <c r="J41" s="49" t="s">
        <v>654</v>
      </c>
      <c r="K41" s="49" t="s">
        <v>653</v>
      </c>
      <c r="L41" s="49" t="s">
        <v>69</v>
      </c>
      <c r="M41" s="49">
        <v>2021</v>
      </c>
      <c r="N41" s="49">
        <v>0</v>
      </c>
      <c r="O41" s="49">
        <v>427.92</v>
      </c>
      <c r="P41" s="49">
        <v>20.749684394961399</v>
      </c>
    </row>
    <row r="42" spans="1:16" ht="11.25" customHeight="1" x14ac:dyDescent="0.25">
      <c r="A42" s="49">
        <v>41</v>
      </c>
      <c r="B42" s="49" t="s">
        <v>508</v>
      </c>
      <c r="C42" s="49" t="s">
        <v>32</v>
      </c>
      <c r="D42" s="49" t="s">
        <v>39</v>
      </c>
      <c r="E42" s="49" t="s">
        <v>25</v>
      </c>
      <c r="F42" s="49" t="s">
        <v>25</v>
      </c>
      <c r="G42" s="49" t="s">
        <v>25</v>
      </c>
      <c r="H42" s="49" t="s">
        <v>25</v>
      </c>
      <c r="I42" s="49" t="s">
        <v>36</v>
      </c>
      <c r="J42" s="49" t="s">
        <v>654</v>
      </c>
      <c r="K42" s="49" t="s">
        <v>653</v>
      </c>
      <c r="L42" s="49" t="s">
        <v>69</v>
      </c>
      <c r="M42" s="49">
        <v>2021</v>
      </c>
      <c r="N42" s="49">
        <v>0</v>
      </c>
      <c r="O42" s="49">
        <v>1495.77</v>
      </c>
      <c r="P42" s="49">
        <v>24.702005232096901</v>
      </c>
    </row>
    <row r="43" spans="1:16" ht="11.25" customHeight="1" x14ac:dyDescent="0.25">
      <c r="A43" s="49">
        <v>42</v>
      </c>
      <c r="B43" s="49" t="s">
        <v>508</v>
      </c>
      <c r="C43" s="49" t="s">
        <v>32</v>
      </c>
      <c r="D43" s="49" t="s">
        <v>39</v>
      </c>
      <c r="E43" s="49" t="s">
        <v>25</v>
      </c>
      <c r="F43" s="49" t="s">
        <v>25</v>
      </c>
      <c r="G43" s="49" t="s">
        <v>25</v>
      </c>
      <c r="H43" s="49" t="s">
        <v>25</v>
      </c>
      <c r="I43" s="49" t="s">
        <v>40</v>
      </c>
      <c r="J43" s="49" t="s">
        <v>654</v>
      </c>
      <c r="K43" s="49" t="s">
        <v>653</v>
      </c>
      <c r="L43" s="49" t="s">
        <v>69</v>
      </c>
      <c r="M43" s="49">
        <v>2021</v>
      </c>
      <c r="N43" s="49">
        <v>0</v>
      </c>
      <c r="O43" s="49">
        <v>925.88</v>
      </c>
      <c r="P43" s="49">
        <v>24.702005232096901</v>
      </c>
    </row>
    <row r="44" spans="1:16" ht="11.25" customHeight="1" x14ac:dyDescent="0.25">
      <c r="A44" s="49">
        <v>43</v>
      </c>
      <c r="B44" s="49" t="s">
        <v>508</v>
      </c>
      <c r="C44" s="49" t="s">
        <v>32</v>
      </c>
      <c r="D44" s="49" t="s">
        <v>39</v>
      </c>
      <c r="E44" s="49" t="s">
        <v>25</v>
      </c>
      <c r="F44" s="49" t="s">
        <v>25</v>
      </c>
      <c r="G44" s="49" t="s">
        <v>25</v>
      </c>
      <c r="H44" s="49" t="s">
        <v>25</v>
      </c>
      <c r="I44" s="49" t="s">
        <v>37</v>
      </c>
      <c r="J44" s="49" t="s">
        <v>654</v>
      </c>
      <c r="K44" s="49" t="s">
        <v>653</v>
      </c>
      <c r="L44" s="49" t="s">
        <v>69</v>
      </c>
      <c r="M44" s="49">
        <v>2021</v>
      </c>
      <c r="N44" s="49">
        <v>0</v>
      </c>
      <c r="O44" s="49">
        <v>356</v>
      </c>
      <c r="P44" s="49">
        <v>24.702005232096901</v>
      </c>
    </row>
    <row r="45" spans="1:16" ht="11.25" customHeight="1" x14ac:dyDescent="0.25">
      <c r="A45" s="49">
        <v>44</v>
      </c>
      <c r="B45" s="49" t="s">
        <v>508</v>
      </c>
      <c r="C45" s="49" t="s">
        <v>32</v>
      </c>
      <c r="D45" s="49" t="s">
        <v>23</v>
      </c>
      <c r="E45" s="49" t="s">
        <v>25</v>
      </c>
      <c r="F45" s="49" t="s">
        <v>25</v>
      </c>
      <c r="G45" s="49" t="s">
        <v>25</v>
      </c>
      <c r="H45" s="49" t="s">
        <v>25</v>
      </c>
      <c r="I45" s="49" t="s">
        <v>25</v>
      </c>
      <c r="J45" s="49" t="s">
        <v>654</v>
      </c>
      <c r="K45" s="49" t="s">
        <v>653</v>
      </c>
      <c r="L45" s="49" t="s">
        <v>69</v>
      </c>
      <c r="M45" s="49">
        <v>2021</v>
      </c>
      <c r="N45" s="49">
        <v>0</v>
      </c>
      <c r="O45" s="49">
        <v>509.43</v>
      </c>
      <c r="P45" s="49">
        <v>24.702005232096901</v>
      </c>
    </row>
    <row r="46" spans="1:16" ht="11.25" customHeight="1" x14ac:dyDescent="0.25">
      <c r="A46" s="49">
        <v>45</v>
      </c>
      <c r="B46" s="49" t="s">
        <v>508</v>
      </c>
      <c r="C46" s="49" t="s">
        <v>32</v>
      </c>
      <c r="D46" s="49" t="s">
        <v>85</v>
      </c>
      <c r="E46" s="49" t="s">
        <v>25</v>
      </c>
      <c r="F46" s="49" t="s">
        <v>25</v>
      </c>
      <c r="G46" s="49" t="s">
        <v>25</v>
      </c>
      <c r="H46" s="49" t="s">
        <v>25</v>
      </c>
      <c r="I46" s="49" t="s">
        <v>25</v>
      </c>
      <c r="J46" s="49" t="s">
        <v>654</v>
      </c>
      <c r="K46" s="49" t="s">
        <v>653</v>
      </c>
      <c r="L46" s="49" t="s">
        <v>69</v>
      </c>
      <c r="M46" s="49">
        <v>2021</v>
      </c>
      <c r="N46" s="49">
        <v>0</v>
      </c>
      <c r="O46" s="49">
        <v>509.43</v>
      </c>
      <c r="P46" s="49">
        <v>24.702005232096901</v>
      </c>
    </row>
    <row r="47" spans="1:16" ht="11.25" customHeight="1" x14ac:dyDescent="0.25">
      <c r="A47" s="49">
        <v>46</v>
      </c>
      <c r="B47" s="49" t="s">
        <v>508</v>
      </c>
      <c r="C47" s="49" t="s">
        <v>44</v>
      </c>
      <c r="D47" s="49" t="s">
        <v>23</v>
      </c>
      <c r="E47" s="49" t="s">
        <v>45</v>
      </c>
      <c r="F47" s="49" t="s">
        <v>46</v>
      </c>
      <c r="G47" s="49" t="s">
        <v>25</v>
      </c>
      <c r="H47" s="49" t="s">
        <v>25</v>
      </c>
      <c r="I47" s="49" t="s">
        <v>25</v>
      </c>
      <c r="J47" s="49" t="s">
        <v>654</v>
      </c>
      <c r="K47" s="49" t="s">
        <v>653</v>
      </c>
      <c r="L47" s="49" t="s">
        <v>69</v>
      </c>
      <c r="M47" s="49">
        <v>2021</v>
      </c>
      <c r="N47" s="49">
        <v>0</v>
      </c>
      <c r="O47" s="49">
        <v>280.18</v>
      </c>
      <c r="P47" s="49">
        <v>13.5861028776533</v>
      </c>
    </row>
    <row r="48" spans="1:16" ht="11.25" customHeight="1" x14ac:dyDescent="0.25">
      <c r="A48" s="49">
        <v>47</v>
      </c>
      <c r="B48" s="49" t="s">
        <v>508</v>
      </c>
      <c r="C48" s="49" t="s">
        <v>44</v>
      </c>
      <c r="D48" s="49" t="s">
        <v>23</v>
      </c>
      <c r="E48" s="49" t="s">
        <v>45</v>
      </c>
      <c r="F48" s="49" t="s">
        <v>88</v>
      </c>
      <c r="G48" s="49" t="s">
        <v>25</v>
      </c>
      <c r="H48" s="49" t="s">
        <v>25</v>
      </c>
      <c r="I48" s="49" t="s">
        <v>25</v>
      </c>
      <c r="J48" s="49" t="s">
        <v>654</v>
      </c>
      <c r="K48" s="49" t="s">
        <v>653</v>
      </c>
      <c r="L48" s="49" t="s">
        <v>69</v>
      </c>
      <c r="M48" s="49">
        <v>2021</v>
      </c>
      <c r="N48" s="49">
        <v>0</v>
      </c>
      <c r="O48" s="49">
        <v>305.66000000000003</v>
      </c>
      <c r="P48" s="49">
        <v>14.821203139258101</v>
      </c>
    </row>
    <row r="49" spans="1:16" ht="11.25" customHeight="1" x14ac:dyDescent="0.25">
      <c r="A49" s="49">
        <v>48</v>
      </c>
      <c r="B49" s="49" t="s">
        <v>536</v>
      </c>
      <c r="C49" s="49" t="s">
        <v>34</v>
      </c>
      <c r="D49" s="49" t="s">
        <v>68</v>
      </c>
      <c r="E49" s="49" t="s">
        <v>25</v>
      </c>
      <c r="F49" s="49" t="s">
        <v>25</v>
      </c>
      <c r="G49" s="49" t="s">
        <v>25</v>
      </c>
      <c r="H49" s="49" t="s">
        <v>25</v>
      </c>
      <c r="I49" s="49" t="s">
        <v>36</v>
      </c>
      <c r="J49" s="49" t="s">
        <v>654</v>
      </c>
      <c r="K49" s="49" t="s">
        <v>653</v>
      </c>
      <c r="L49" s="49" t="s">
        <v>69</v>
      </c>
      <c r="M49" s="49">
        <v>2021</v>
      </c>
      <c r="N49" s="49">
        <v>0</v>
      </c>
      <c r="O49" s="49">
        <v>251.85</v>
      </c>
      <c r="P49" s="49"/>
    </row>
    <row r="50" spans="1:16" ht="11.25" customHeight="1" x14ac:dyDescent="0.25">
      <c r="A50" s="49">
        <v>49</v>
      </c>
      <c r="B50" s="49" t="s">
        <v>536</v>
      </c>
      <c r="C50" s="49" t="s">
        <v>34</v>
      </c>
      <c r="D50" s="49" t="s">
        <v>68</v>
      </c>
      <c r="E50" s="49" t="s">
        <v>25</v>
      </c>
      <c r="F50" s="49" t="s">
        <v>25</v>
      </c>
      <c r="G50" s="49" t="s">
        <v>25</v>
      </c>
      <c r="H50" s="49" t="s">
        <v>25</v>
      </c>
      <c r="I50" s="49" t="s">
        <v>37</v>
      </c>
      <c r="J50" s="49" t="s">
        <v>654</v>
      </c>
      <c r="K50" s="49" t="s">
        <v>653</v>
      </c>
      <c r="L50" s="49" t="s">
        <v>69</v>
      </c>
      <c r="M50" s="49">
        <v>2021</v>
      </c>
      <c r="N50" s="49">
        <v>0</v>
      </c>
      <c r="O50" s="49">
        <v>251.85</v>
      </c>
      <c r="P50" s="49"/>
    </row>
    <row r="51" spans="1:16" ht="11.25" customHeight="1" x14ac:dyDescent="0.25">
      <c r="A51" s="49">
        <v>50</v>
      </c>
      <c r="B51" s="49" t="s">
        <v>536</v>
      </c>
      <c r="C51" s="49" t="s">
        <v>22</v>
      </c>
      <c r="D51" s="49" t="s">
        <v>68</v>
      </c>
      <c r="E51" s="49" t="s">
        <v>24</v>
      </c>
      <c r="F51" s="49" t="s">
        <v>24</v>
      </c>
      <c r="G51" s="49" t="s">
        <v>25</v>
      </c>
      <c r="H51" s="49" t="s">
        <v>25</v>
      </c>
      <c r="I51" s="49" t="s">
        <v>36</v>
      </c>
      <c r="J51" s="49" t="s">
        <v>654</v>
      </c>
      <c r="K51" s="49" t="s">
        <v>653</v>
      </c>
      <c r="L51" s="49" t="s">
        <v>69</v>
      </c>
      <c r="M51" s="49">
        <v>2021</v>
      </c>
      <c r="N51" s="49">
        <v>0</v>
      </c>
      <c r="O51" s="49">
        <v>251.85</v>
      </c>
      <c r="P51" s="49"/>
    </row>
    <row r="52" spans="1:16" ht="11.25" customHeight="1" x14ac:dyDescent="0.25">
      <c r="A52" s="49">
        <v>51</v>
      </c>
      <c r="B52" s="49" t="s">
        <v>536</v>
      </c>
      <c r="C52" s="49" t="s">
        <v>22</v>
      </c>
      <c r="D52" s="49" t="s">
        <v>68</v>
      </c>
      <c r="E52" s="49" t="s">
        <v>24</v>
      </c>
      <c r="F52" s="49" t="s">
        <v>24</v>
      </c>
      <c r="G52" s="49" t="s">
        <v>25</v>
      </c>
      <c r="H52" s="49" t="s">
        <v>25</v>
      </c>
      <c r="I52" s="49" t="s">
        <v>40</v>
      </c>
      <c r="J52" s="49" t="s">
        <v>654</v>
      </c>
      <c r="K52" s="49" t="s">
        <v>653</v>
      </c>
      <c r="L52" s="49" t="s">
        <v>69</v>
      </c>
      <c r="M52" s="49">
        <v>2021</v>
      </c>
      <c r="N52" s="49">
        <v>0</v>
      </c>
      <c r="O52" s="49">
        <v>251.85</v>
      </c>
      <c r="P52" s="49"/>
    </row>
    <row r="53" spans="1:16" ht="11.25" customHeight="1" x14ac:dyDescent="0.25">
      <c r="A53" s="49">
        <v>52</v>
      </c>
      <c r="B53" s="49" t="s">
        <v>536</v>
      </c>
      <c r="C53" s="49" t="s">
        <v>22</v>
      </c>
      <c r="D53" s="49" t="s">
        <v>68</v>
      </c>
      <c r="E53" s="49" t="s">
        <v>24</v>
      </c>
      <c r="F53" s="49" t="s">
        <v>24</v>
      </c>
      <c r="G53" s="49" t="s">
        <v>25</v>
      </c>
      <c r="H53" s="49" t="s">
        <v>25</v>
      </c>
      <c r="I53" s="49" t="s">
        <v>37</v>
      </c>
      <c r="J53" s="49" t="s">
        <v>654</v>
      </c>
      <c r="K53" s="49" t="s">
        <v>653</v>
      </c>
      <c r="L53" s="49" t="s">
        <v>69</v>
      </c>
      <c r="M53" s="49">
        <v>2021</v>
      </c>
      <c r="N53" s="49">
        <v>0</v>
      </c>
      <c r="O53" s="49">
        <v>251.85</v>
      </c>
      <c r="P53" s="49"/>
    </row>
    <row r="54" spans="1:16" ht="11.25" customHeight="1" x14ac:dyDescent="0.25">
      <c r="A54" s="49">
        <v>53</v>
      </c>
      <c r="B54" s="49" t="s">
        <v>536</v>
      </c>
      <c r="C54" s="49" t="s">
        <v>22</v>
      </c>
      <c r="D54" s="49" t="s">
        <v>72</v>
      </c>
      <c r="E54" s="49" t="s">
        <v>24</v>
      </c>
      <c r="F54" s="49" t="s">
        <v>24</v>
      </c>
      <c r="G54" s="49" t="s">
        <v>25</v>
      </c>
      <c r="H54" s="49" t="s">
        <v>25</v>
      </c>
      <c r="I54" s="49" t="s">
        <v>25</v>
      </c>
      <c r="J54" s="49" t="s">
        <v>654</v>
      </c>
      <c r="K54" s="49" t="s">
        <v>653</v>
      </c>
      <c r="L54" s="49" t="s">
        <v>69</v>
      </c>
      <c r="M54" s="49">
        <v>2021</v>
      </c>
      <c r="N54" s="49">
        <v>0</v>
      </c>
      <c r="O54" s="49">
        <v>251.85</v>
      </c>
      <c r="P54" s="49"/>
    </row>
    <row r="55" spans="1:16" ht="11.25" customHeight="1" x14ac:dyDescent="0.25">
      <c r="A55" s="49">
        <v>54</v>
      </c>
      <c r="B55" s="49" t="s">
        <v>536</v>
      </c>
      <c r="C55" s="49" t="s">
        <v>22</v>
      </c>
      <c r="D55" s="49" t="s">
        <v>72</v>
      </c>
      <c r="E55" s="49" t="s">
        <v>24</v>
      </c>
      <c r="F55" s="49" t="s">
        <v>28</v>
      </c>
      <c r="G55" s="49" t="s">
        <v>25</v>
      </c>
      <c r="H55" s="49" t="s">
        <v>25</v>
      </c>
      <c r="I55" s="49" t="s">
        <v>25</v>
      </c>
      <c r="J55" s="49" t="s">
        <v>654</v>
      </c>
      <c r="K55" s="49" t="s">
        <v>653</v>
      </c>
      <c r="L55" s="49" t="s">
        <v>69</v>
      </c>
      <c r="M55" s="49">
        <v>2021</v>
      </c>
      <c r="N55" s="49">
        <v>0</v>
      </c>
      <c r="O55" s="49">
        <v>88.15</v>
      </c>
      <c r="P55" s="49"/>
    </row>
    <row r="56" spans="1:16" ht="11.25" customHeight="1" x14ac:dyDescent="0.25">
      <c r="A56" s="49">
        <v>55</v>
      </c>
      <c r="B56" s="49" t="s">
        <v>536</v>
      </c>
      <c r="C56" s="49" t="s">
        <v>22</v>
      </c>
      <c r="D56" s="49" t="s">
        <v>72</v>
      </c>
      <c r="E56" s="49" t="s">
        <v>24</v>
      </c>
      <c r="F56" s="49" t="s">
        <v>29</v>
      </c>
      <c r="G56" s="49" t="s">
        <v>25</v>
      </c>
      <c r="H56" s="49" t="s">
        <v>25</v>
      </c>
      <c r="I56" s="49" t="s">
        <v>25</v>
      </c>
      <c r="J56" s="49" t="s">
        <v>654</v>
      </c>
      <c r="K56" s="49" t="s">
        <v>653</v>
      </c>
      <c r="L56" s="49" t="s">
        <v>69</v>
      </c>
      <c r="M56" s="49">
        <v>2021</v>
      </c>
      <c r="N56" s="49">
        <v>0</v>
      </c>
      <c r="O56" s="49">
        <v>151.11000000000001</v>
      </c>
      <c r="P56" s="49"/>
    </row>
    <row r="57" spans="1:16" ht="11.25" customHeight="1" x14ac:dyDescent="0.25">
      <c r="A57" s="49">
        <v>56</v>
      </c>
      <c r="B57" s="49" t="s">
        <v>536</v>
      </c>
      <c r="C57" s="49" t="s">
        <v>22</v>
      </c>
      <c r="D57" s="49" t="s">
        <v>72</v>
      </c>
      <c r="E57" s="49" t="s">
        <v>24</v>
      </c>
      <c r="F57" s="49" t="s">
        <v>30</v>
      </c>
      <c r="G57" s="49" t="s">
        <v>25</v>
      </c>
      <c r="H57" s="49" t="s">
        <v>25</v>
      </c>
      <c r="I57" s="49" t="s">
        <v>25</v>
      </c>
      <c r="J57" s="49" t="s">
        <v>654</v>
      </c>
      <c r="K57" s="49" t="s">
        <v>653</v>
      </c>
      <c r="L57" s="49" t="s">
        <v>69</v>
      </c>
      <c r="M57" s="49">
        <v>2021</v>
      </c>
      <c r="N57" s="49">
        <v>0</v>
      </c>
      <c r="O57" s="49">
        <v>226.67</v>
      </c>
      <c r="P57" s="49"/>
    </row>
    <row r="58" spans="1:16" ht="11.25" customHeight="1" x14ac:dyDescent="0.25">
      <c r="A58" s="49">
        <v>57</v>
      </c>
      <c r="B58" s="49" t="s">
        <v>536</v>
      </c>
      <c r="C58" s="49" t="s">
        <v>22</v>
      </c>
      <c r="D58" s="49" t="s">
        <v>72</v>
      </c>
      <c r="E58" s="49" t="s">
        <v>24</v>
      </c>
      <c r="F58" s="49" t="s">
        <v>31</v>
      </c>
      <c r="G58" s="49" t="s">
        <v>25</v>
      </c>
      <c r="H58" s="49" t="s">
        <v>25</v>
      </c>
      <c r="I58" s="49" t="s">
        <v>25</v>
      </c>
      <c r="J58" s="49" t="s">
        <v>654</v>
      </c>
      <c r="K58" s="49" t="s">
        <v>653</v>
      </c>
      <c r="L58" s="49" t="s">
        <v>69</v>
      </c>
      <c r="M58" s="49">
        <v>2021</v>
      </c>
      <c r="N58" s="49">
        <v>0</v>
      </c>
      <c r="O58" s="49">
        <v>251.85</v>
      </c>
      <c r="P58" s="49"/>
    </row>
    <row r="59" spans="1:16" ht="11.25" customHeight="1" x14ac:dyDescent="0.25">
      <c r="A59" s="49">
        <v>58</v>
      </c>
      <c r="B59" s="49" t="s">
        <v>536</v>
      </c>
      <c r="C59" s="49" t="s">
        <v>22</v>
      </c>
      <c r="D59" s="49" t="s">
        <v>84</v>
      </c>
      <c r="E59" s="49" t="s">
        <v>24</v>
      </c>
      <c r="F59" s="49" t="s">
        <v>24</v>
      </c>
      <c r="G59" s="49" t="s">
        <v>25</v>
      </c>
      <c r="H59" s="49" t="s">
        <v>25</v>
      </c>
      <c r="I59" s="49" t="s">
        <v>25</v>
      </c>
      <c r="J59" s="49" t="s">
        <v>654</v>
      </c>
      <c r="K59" s="49" t="s">
        <v>653</v>
      </c>
      <c r="L59" s="49" t="s">
        <v>69</v>
      </c>
      <c r="M59" s="49">
        <v>2021</v>
      </c>
      <c r="N59" s="49">
        <v>0</v>
      </c>
      <c r="O59" s="49">
        <v>251.85</v>
      </c>
      <c r="P59" s="49"/>
    </row>
    <row r="60" spans="1:16" ht="11.25" customHeight="1" x14ac:dyDescent="0.25">
      <c r="A60" s="49">
        <v>59</v>
      </c>
      <c r="B60" s="49" t="s">
        <v>536</v>
      </c>
      <c r="C60" s="49" t="s">
        <v>22</v>
      </c>
      <c r="D60" s="49" t="s">
        <v>84</v>
      </c>
      <c r="E60" s="49" t="s">
        <v>24</v>
      </c>
      <c r="F60" s="49" t="s">
        <v>28</v>
      </c>
      <c r="G60" s="49" t="s">
        <v>25</v>
      </c>
      <c r="H60" s="49" t="s">
        <v>25</v>
      </c>
      <c r="I60" s="49" t="s">
        <v>25</v>
      </c>
      <c r="J60" s="49" t="s">
        <v>654</v>
      </c>
      <c r="K60" s="49" t="s">
        <v>653</v>
      </c>
      <c r="L60" s="49" t="s">
        <v>69</v>
      </c>
      <c r="M60" s="49">
        <v>2021</v>
      </c>
      <c r="N60" s="49">
        <v>0</v>
      </c>
      <c r="O60" s="49">
        <v>88.15</v>
      </c>
      <c r="P60" s="49"/>
    </row>
    <row r="61" spans="1:16" ht="11.25" customHeight="1" x14ac:dyDescent="0.25">
      <c r="A61" s="49">
        <v>60</v>
      </c>
      <c r="B61" s="49" t="s">
        <v>536</v>
      </c>
      <c r="C61" s="49" t="s">
        <v>22</v>
      </c>
      <c r="D61" s="49" t="s">
        <v>84</v>
      </c>
      <c r="E61" s="49" t="s">
        <v>24</v>
      </c>
      <c r="F61" s="49" t="s">
        <v>29</v>
      </c>
      <c r="G61" s="49" t="s">
        <v>25</v>
      </c>
      <c r="H61" s="49" t="s">
        <v>25</v>
      </c>
      <c r="I61" s="49" t="s">
        <v>25</v>
      </c>
      <c r="J61" s="49" t="s">
        <v>654</v>
      </c>
      <c r="K61" s="49" t="s">
        <v>653</v>
      </c>
      <c r="L61" s="49" t="s">
        <v>69</v>
      </c>
      <c r="M61" s="49">
        <v>2021</v>
      </c>
      <c r="N61" s="49">
        <v>0</v>
      </c>
      <c r="O61" s="49">
        <v>151.11000000000001</v>
      </c>
      <c r="P61" s="49"/>
    </row>
    <row r="62" spans="1:16" ht="11.25" customHeight="1" x14ac:dyDescent="0.25">
      <c r="A62" s="49">
        <v>61</v>
      </c>
      <c r="B62" s="49" t="s">
        <v>536</v>
      </c>
      <c r="C62" s="49" t="s">
        <v>22</v>
      </c>
      <c r="D62" s="49" t="s">
        <v>84</v>
      </c>
      <c r="E62" s="49" t="s">
        <v>24</v>
      </c>
      <c r="F62" s="49" t="s">
        <v>30</v>
      </c>
      <c r="G62" s="49" t="s">
        <v>25</v>
      </c>
      <c r="H62" s="49" t="s">
        <v>25</v>
      </c>
      <c r="I62" s="49" t="s">
        <v>25</v>
      </c>
      <c r="J62" s="49" t="s">
        <v>654</v>
      </c>
      <c r="K62" s="49" t="s">
        <v>653</v>
      </c>
      <c r="L62" s="49" t="s">
        <v>69</v>
      </c>
      <c r="M62" s="49">
        <v>2021</v>
      </c>
      <c r="N62" s="49">
        <v>0</v>
      </c>
      <c r="O62" s="49">
        <v>226.67</v>
      </c>
      <c r="P62" s="49"/>
    </row>
    <row r="63" spans="1:16" ht="11.25" customHeight="1" x14ac:dyDescent="0.25">
      <c r="A63" s="49">
        <v>62</v>
      </c>
      <c r="B63" s="49" t="s">
        <v>536</v>
      </c>
      <c r="C63" s="49" t="s">
        <v>22</v>
      </c>
      <c r="D63" s="49" t="s">
        <v>84</v>
      </c>
      <c r="E63" s="49" t="s">
        <v>24</v>
      </c>
      <c r="F63" s="49" t="s">
        <v>31</v>
      </c>
      <c r="G63" s="49" t="s">
        <v>25</v>
      </c>
      <c r="H63" s="49" t="s">
        <v>25</v>
      </c>
      <c r="I63" s="49" t="s">
        <v>25</v>
      </c>
      <c r="J63" s="49" t="s">
        <v>654</v>
      </c>
      <c r="K63" s="49" t="s">
        <v>653</v>
      </c>
      <c r="L63" s="49" t="s">
        <v>69</v>
      </c>
      <c r="M63" s="49">
        <v>2021</v>
      </c>
      <c r="N63" s="49">
        <v>0</v>
      </c>
      <c r="O63" s="49">
        <v>251.85</v>
      </c>
      <c r="P63" s="49"/>
    </row>
    <row r="64" spans="1:16" ht="11.25" customHeight="1" x14ac:dyDescent="0.25">
      <c r="A64" s="49">
        <v>63</v>
      </c>
      <c r="B64" s="49" t="s">
        <v>536</v>
      </c>
      <c r="C64" s="49" t="s">
        <v>41</v>
      </c>
      <c r="D64" s="49" t="s">
        <v>68</v>
      </c>
      <c r="E64" s="49" t="s">
        <v>42</v>
      </c>
      <c r="F64" s="49" t="s">
        <v>25</v>
      </c>
      <c r="G64" s="49" t="s">
        <v>25</v>
      </c>
      <c r="H64" s="49" t="s">
        <v>25</v>
      </c>
      <c r="I64" s="49" t="s">
        <v>36</v>
      </c>
      <c r="J64" s="49" t="s">
        <v>654</v>
      </c>
      <c r="K64" s="49" t="s">
        <v>653</v>
      </c>
      <c r="L64" s="49" t="s">
        <v>69</v>
      </c>
      <c r="M64" s="49">
        <v>2021</v>
      </c>
      <c r="N64" s="49">
        <v>0</v>
      </c>
      <c r="O64" s="49">
        <v>221.63</v>
      </c>
      <c r="P64" s="49"/>
    </row>
    <row r="65" spans="1:16" ht="11.25" customHeight="1" x14ac:dyDescent="0.25">
      <c r="A65" s="49">
        <v>64</v>
      </c>
      <c r="B65" s="49" t="s">
        <v>536</v>
      </c>
      <c r="C65" s="49" t="s">
        <v>41</v>
      </c>
      <c r="D65" s="49" t="s">
        <v>68</v>
      </c>
      <c r="E65" s="49" t="s">
        <v>42</v>
      </c>
      <c r="F65" s="49" t="s">
        <v>25</v>
      </c>
      <c r="G65" s="49" t="s">
        <v>25</v>
      </c>
      <c r="H65" s="49" t="s">
        <v>25</v>
      </c>
      <c r="I65" s="49" t="s">
        <v>40</v>
      </c>
      <c r="J65" s="49" t="s">
        <v>654</v>
      </c>
      <c r="K65" s="49" t="s">
        <v>653</v>
      </c>
      <c r="L65" s="49" t="s">
        <v>69</v>
      </c>
      <c r="M65" s="49">
        <v>2021</v>
      </c>
      <c r="N65" s="49">
        <v>0</v>
      </c>
      <c r="O65" s="49">
        <v>221.63</v>
      </c>
      <c r="P65" s="49"/>
    </row>
    <row r="66" spans="1:16" ht="11.25" customHeight="1" x14ac:dyDescent="0.25">
      <c r="A66" s="49">
        <v>65</v>
      </c>
      <c r="B66" s="49" t="s">
        <v>536</v>
      </c>
      <c r="C66" s="49" t="s">
        <v>41</v>
      </c>
      <c r="D66" s="49" t="s">
        <v>68</v>
      </c>
      <c r="E66" s="49" t="s">
        <v>42</v>
      </c>
      <c r="F66" s="49" t="s">
        <v>25</v>
      </c>
      <c r="G66" s="49" t="s">
        <v>25</v>
      </c>
      <c r="H66" s="49" t="s">
        <v>25</v>
      </c>
      <c r="I66" s="49" t="s">
        <v>37</v>
      </c>
      <c r="J66" s="49" t="s">
        <v>654</v>
      </c>
      <c r="K66" s="49" t="s">
        <v>653</v>
      </c>
      <c r="L66" s="49" t="s">
        <v>69</v>
      </c>
      <c r="M66" s="49">
        <v>2021</v>
      </c>
      <c r="N66" s="49">
        <v>0</v>
      </c>
      <c r="O66" s="49">
        <v>221.63</v>
      </c>
      <c r="P66" s="49"/>
    </row>
    <row r="67" spans="1:16" ht="11.25" customHeight="1" x14ac:dyDescent="0.25">
      <c r="A67" s="49">
        <v>66</v>
      </c>
      <c r="B67" s="49" t="s">
        <v>536</v>
      </c>
      <c r="C67" s="49" t="s">
        <v>41</v>
      </c>
      <c r="D67" s="49" t="s">
        <v>72</v>
      </c>
      <c r="E67" s="49" t="s">
        <v>42</v>
      </c>
      <c r="F67" s="49" t="s">
        <v>25</v>
      </c>
      <c r="G67" s="49" t="s">
        <v>25</v>
      </c>
      <c r="H67" s="49" t="s">
        <v>25</v>
      </c>
      <c r="I67" s="49" t="s">
        <v>25</v>
      </c>
      <c r="J67" s="49" t="s">
        <v>654</v>
      </c>
      <c r="K67" s="49" t="s">
        <v>653</v>
      </c>
      <c r="L67" s="49" t="s">
        <v>69</v>
      </c>
      <c r="M67" s="49">
        <v>2021</v>
      </c>
      <c r="N67" s="49">
        <v>0</v>
      </c>
      <c r="O67" s="49">
        <v>221.63</v>
      </c>
      <c r="P67" s="49"/>
    </row>
    <row r="68" spans="1:16" ht="11.25" customHeight="1" x14ac:dyDescent="0.25">
      <c r="A68" s="49">
        <v>67</v>
      </c>
      <c r="B68" s="49" t="s">
        <v>536</v>
      </c>
      <c r="C68" s="49" t="s">
        <v>41</v>
      </c>
      <c r="D68" s="49" t="s">
        <v>68</v>
      </c>
      <c r="E68" s="49" t="s">
        <v>42</v>
      </c>
      <c r="F68" s="49" t="s">
        <v>86</v>
      </c>
      <c r="G68" s="49" t="s">
        <v>25</v>
      </c>
      <c r="H68" s="49" t="s">
        <v>25</v>
      </c>
      <c r="I68" s="49" t="s">
        <v>36</v>
      </c>
      <c r="J68" s="49" t="s">
        <v>654</v>
      </c>
      <c r="K68" s="49" t="s">
        <v>653</v>
      </c>
      <c r="L68" s="49" t="s">
        <v>69</v>
      </c>
      <c r="M68" s="49">
        <v>2021</v>
      </c>
      <c r="N68" s="49">
        <v>0</v>
      </c>
      <c r="O68" s="49">
        <v>221.63</v>
      </c>
      <c r="P68" s="49"/>
    </row>
    <row r="69" spans="1:16" ht="11.25" customHeight="1" x14ac:dyDescent="0.25">
      <c r="A69" s="49">
        <v>68</v>
      </c>
      <c r="B69" s="49" t="s">
        <v>536</v>
      </c>
      <c r="C69" s="49" t="s">
        <v>41</v>
      </c>
      <c r="D69" s="49" t="s">
        <v>68</v>
      </c>
      <c r="E69" s="49" t="s">
        <v>42</v>
      </c>
      <c r="F69" s="49" t="s">
        <v>86</v>
      </c>
      <c r="G69" s="49" t="s">
        <v>25</v>
      </c>
      <c r="H69" s="49" t="s">
        <v>25</v>
      </c>
      <c r="I69" s="49" t="s">
        <v>40</v>
      </c>
      <c r="J69" s="49" t="s">
        <v>654</v>
      </c>
      <c r="K69" s="49" t="s">
        <v>653</v>
      </c>
      <c r="L69" s="49" t="s">
        <v>69</v>
      </c>
      <c r="M69" s="49">
        <v>2021</v>
      </c>
      <c r="N69" s="49">
        <v>0</v>
      </c>
      <c r="O69" s="49">
        <v>221.63</v>
      </c>
      <c r="P69" s="49"/>
    </row>
    <row r="70" spans="1:16" ht="11.25" customHeight="1" x14ac:dyDescent="0.25">
      <c r="A70" s="49">
        <v>69</v>
      </c>
      <c r="B70" s="49" t="s">
        <v>536</v>
      </c>
      <c r="C70" s="49" t="s">
        <v>41</v>
      </c>
      <c r="D70" s="49" t="s">
        <v>68</v>
      </c>
      <c r="E70" s="49" t="s">
        <v>42</v>
      </c>
      <c r="F70" s="49" t="s">
        <v>86</v>
      </c>
      <c r="G70" s="49" t="s">
        <v>25</v>
      </c>
      <c r="H70" s="49" t="s">
        <v>25</v>
      </c>
      <c r="I70" s="49" t="s">
        <v>37</v>
      </c>
      <c r="J70" s="49" t="s">
        <v>654</v>
      </c>
      <c r="K70" s="49" t="s">
        <v>653</v>
      </c>
      <c r="L70" s="49" t="s">
        <v>69</v>
      </c>
      <c r="M70" s="49">
        <v>2021</v>
      </c>
      <c r="N70" s="49">
        <v>0</v>
      </c>
      <c r="O70" s="49">
        <v>221.63</v>
      </c>
      <c r="P70" s="49"/>
    </row>
    <row r="71" spans="1:16" ht="11.25" customHeight="1" x14ac:dyDescent="0.25">
      <c r="A71" s="49">
        <v>70</v>
      </c>
      <c r="B71" s="49" t="s">
        <v>536</v>
      </c>
      <c r="C71" s="49" t="s">
        <v>41</v>
      </c>
      <c r="D71" s="49" t="s">
        <v>72</v>
      </c>
      <c r="E71" s="49" t="s">
        <v>42</v>
      </c>
      <c r="F71" s="49" t="s">
        <v>86</v>
      </c>
      <c r="G71" s="49" t="s">
        <v>25</v>
      </c>
      <c r="H71" s="49" t="s">
        <v>25</v>
      </c>
      <c r="I71" s="49" t="s">
        <v>25</v>
      </c>
      <c r="J71" s="49" t="s">
        <v>654</v>
      </c>
      <c r="K71" s="49" t="s">
        <v>653</v>
      </c>
      <c r="L71" s="49" t="s">
        <v>69</v>
      </c>
      <c r="M71" s="49">
        <v>2021</v>
      </c>
      <c r="N71" s="49">
        <v>0</v>
      </c>
      <c r="O71" s="49">
        <v>221.63</v>
      </c>
      <c r="P71" s="49"/>
    </row>
    <row r="72" spans="1:16" ht="11.25" customHeight="1" x14ac:dyDescent="0.25">
      <c r="A72" s="49">
        <v>71</v>
      </c>
      <c r="B72" s="49" t="s">
        <v>536</v>
      </c>
      <c r="C72" s="49" t="s">
        <v>41</v>
      </c>
      <c r="D72" s="49" t="s">
        <v>68</v>
      </c>
      <c r="E72" s="49" t="s">
        <v>42</v>
      </c>
      <c r="F72" s="49" t="s">
        <v>87</v>
      </c>
      <c r="G72" s="49" t="s">
        <v>25</v>
      </c>
      <c r="H72" s="49" t="s">
        <v>25</v>
      </c>
      <c r="I72" s="49" t="s">
        <v>36</v>
      </c>
      <c r="J72" s="49" t="s">
        <v>654</v>
      </c>
      <c r="K72" s="49" t="s">
        <v>653</v>
      </c>
      <c r="L72" s="49" t="s">
        <v>69</v>
      </c>
      <c r="M72" s="49">
        <v>2021</v>
      </c>
      <c r="N72" s="49">
        <v>0</v>
      </c>
      <c r="O72" s="49">
        <v>211.56</v>
      </c>
      <c r="P72" s="49"/>
    </row>
    <row r="73" spans="1:16" ht="11.25" customHeight="1" x14ac:dyDescent="0.25">
      <c r="A73" s="49">
        <v>72</v>
      </c>
      <c r="B73" s="49" t="s">
        <v>536</v>
      </c>
      <c r="C73" s="49" t="s">
        <v>41</v>
      </c>
      <c r="D73" s="49" t="s">
        <v>68</v>
      </c>
      <c r="E73" s="49" t="s">
        <v>42</v>
      </c>
      <c r="F73" s="49" t="s">
        <v>87</v>
      </c>
      <c r="G73" s="49" t="s">
        <v>25</v>
      </c>
      <c r="H73" s="49" t="s">
        <v>25</v>
      </c>
      <c r="I73" s="49" t="s">
        <v>40</v>
      </c>
      <c r="J73" s="49" t="s">
        <v>654</v>
      </c>
      <c r="K73" s="49" t="s">
        <v>653</v>
      </c>
      <c r="L73" s="49" t="s">
        <v>69</v>
      </c>
      <c r="M73" s="49">
        <v>2021</v>
      </c>
      <c r="N73" s="49">
        <v>0</v>
      </c>
      <c r="O73" s="49">
        <v>211.56</v>
      </c>
      <c r="P73" s="49"/>
    </row>
    <row r="74" spans="1:16" ht="11.25" customHeight="1" x14ac:dyDescent="0.25">
      <c r="A74" s="49">
        <v>73</v>
      </c>
      <c r="B74" s="49" t="s">
        <v>536</v>
      </c>
      <c r="C74" s="49" t="s">
        <v>41</v>
      </c>
      <c r="D74" s="49" t="s">
        <v>68</v>
      </c>
      <c r="E74" s="49" t="s">
        <v>42</v>
      </c>
      <c r="F74" s="49" t="s">
        <v>87</v>
      </c>
      <c r="G74" s="49" t="s">
        <v>25</v>
      </c>
      <c r="H74" s="49" t="s">
        <v>25</v>
      </c>
      <c r="I74" s="49" t="s">
        <v>37</v>
      </c>
      <c r="J74" s="49" t="s">
        <v>654</v>
      </c>
      <c r="K74" s="49" t="s">
        <v>653</v>
      </c>
      <c r="L74" s="49" t="s">
        <v>69</v>
      </c>
      <c r="M74" s="49">
        <v>2021</v>
      </c>
      <c r="N74" s="49">
        <v>0</v>
      </c>
      <c r="O74" s="49">
        <v>211.56</v>
      </c>
      <c r="P74" s="49"/>
    </row>
    <row r="75" spans="1:16" ht="11.25" customHeight="1" x14ac:dyDescent="0.25">
      <c r="A75" s="49">
        <v>74</v>
      </c>
      <c r="B75" s="49" t="s">
        <v>536</v>
      </c>
      <c r="C75" s="49" t="s">
        <v>41</v>
      </c>
      <c r="D75" s="49" t="s">
        <v>72</v>
      </c>
      <c r="E75" s="49" t="s">
        <v>42</v>
      </c>
      <c r="F75" s="49" t="s">
        <v>87</v>
      </c>
      <c r="G75" s="49" t="s">
        <v>25</v>
      </c>
      <c r="H75" s="49" t="s">
        <v>25</v>
      </c>
      <c r="I75" s="49" t="s">
        <v>25</v>
      </c>
      <c r="J75" s="49" t="s">
        <v>654</v>
      </c>
      <c r="K75" s="49" t="s">
        <v>653</v>
      </c>
      <c r="L75" s="49" t="s">
        <v>69</v>
      </c>
      <c r="M75" s="49">
        <v>2021</v>
      </c>
      <c r="N75" s="49">
        <v>0</v>
      </c>
      <c r="O75" s="49">
        <v>211.56</v>
      </c>
      <c r="P75" s="49"/>
    </row>
    <row r="76" spans="1:16" ht="11.25" customHeight="1" x14ac:dyDescent="0.25">
      <c r="A76" s="49">
        <v>75</v>
      </c>
      <c r="B76" s="49" t="s">
        <v>536</v>
      </c>
      <c r="C76" s="49" t="s">
        <v>41</v>
      </c>
      <c r="D76" s="49" t="s">
        <v>84</v>
      </c>
      <c r="E76" s="49" t="s">
        <v>42</v>
      </c>
      <c r="F76" s="49" t="s">
        <v>25</v>
      </c>
      <c r="G76" s="49" t="s">
        <v>25</v>
      </c>
      <c r="H76" s="49" t="s">
        <v>25</v>
      </c>
      <c r="I76" s="49" t="s">
        <v>25</v>
      </c>
      <c r="J76" s="49" t="s">
        <v>654</v>
      </c>
      <c r="K76" s="49" t="s">
        <v>653</v>
      </c>
      <c r="L76" s="49" t="s">
        <v>69</v>
      </c>
      <c r="M76" s="49">
        <v>2021</v>
      </c>
      <c r="N76" s="49">
        <v>0</v>
      </c>
      <c r="O76" s="49">
        <v>221.63</v>
      </c>
      <c r="P76" s="49"/>
    </row>
    <row r="77" spans="1:16" ht="11.25" customHeight="1" x14ac:dyDescent="0.25">
      <c r="A77" s="49">
        <v>76</v>
      </c>
      <c r="B77" s="49" t="s">
        <v>536</v>
      </c>
      <c r="C77" s="49" t="s">
        <v>41</v>
      </c>
      <c r="D77" s="49" t="s">
        <v>84</v>
      </c>
      <c r="E77" s="49" t="s">
        <v>42</v>
      </c>
      <c r="F77" s="49" t="s">
        <v>86</v>
      </c>
      <c r="G77" s="49" t="s">
        <v>25</v>
      </c>
      <c r="H77" s="49" t="s">
        <v>25</v>
      </c>
      <c r="I77" s="49" t="s">
        <v>25</v>
      </c>
      <c r="J77" s="49" t="s">
        <v>654</v>
      </c>
      <c r="K77" s="49" t="s">
        <v>653</v>
      </c>
      <c r="L77" s="49" t="s">
        <v>69</v>
      </c>
      <c r="M77" s="49">
        <v>2021</v>
      </c>
      <c r="N77" s="49">
        <v>0</v>
      </c>
      <c r="O77" s="49">
        <v>221.63</v>
      </c>
      <c r="P77" s="49"/>
    </row>
    <row r="78" spans="1:16" ht="11.25" customHeight="1" x14ac:dyDescent="0.25">
      <c r="A78" s="49">
        <v>77</v>
      </c>
      <c r="B78" s="49" t="s">
        <v>536</v>
      </c>
      <c r="C78" s="49" t="s">
        <v>41</v>
      </c>
      <c r="D78" s="49" t="s">
        <v>84</v>
      </c>
      <c r="E78" s="49" t="s">
        <v>42</v>
      </c>
      <c r="F78" s="49" t="s">
        <v>87</v>
      </c>
      <c r="G78" s="49" t="s">
        <v>25</v>
      </c>
      <c r="H78" s="49" t="s">
        <v>25</v>
      </c>
      <c r="I78" s="49" t="s">
        <v>25</v>
      </c>
      <c r="J78" s="49" t="s">
        <v>654</v>
      </c>
      <c r="K78" s="49" t="s">
        <v>653</v>
      </c>
      <c r="L78" s="49" t="s">
        <v>69</v>
      </c>
      <c r="M78" s="49">
        <v>2021</v>
      </c>
      <c r="N78" s="49">
        <v>0</v>
      </c>
      <c r="O78" s="49">
        <v>211.56</v>
      </c>
      <c r="P78" s="49"/>
    </row>
    <row r="79" spans="1:16" ht="11.25" customHeight="1" x14ac:dyDescent="0.25">
      <c r="A79" s="49">
        <v>78</v>
      </c>
      <c r="B79" s="49" t="s">
        <v>536</v>
      </c>
      <c r="C79" s="49" t="s">
        <v>32</v>
      </c>
      <c r="D79" s="49" t="s">
        <v>68</v>
      </c>
      <c r="E79" s="49" t="s">
        <v>25</v>
      </c>
      <c r="F79" s="49" t="s">
        <v>25</v>
      </c>
      <c r="G79" s="49" t="s">
        <v>25</v>
      </c>
      <c r="H79" s="49" t="s">
        <v>25</v>
      </c>
      <c r="I79" s="49" t="s">
        <v>36</v>
      </c>
      <c r="J79" s="49" t="s">
        <v>654</v>
      </c>
      <c r="K79" s="49" t="s">
        <v>653</v>
      </c>
      <c r="L79" s="49" t="s">
        <v>69</v>
      </c>
      <c r="M79" s="49">
        <v>2021</v>
      </c>
      <c r="N79" s="49">
        <v>0</v>
      </c>
      <c r="O79" s="49">
        <v>251.85</v>
      </c>
      <c r="P79" s="49"/>
    </row>
    <row r="80" spans="1:16" ht="11.25" customHeight="1" x14ac:dyDescent="0.25">
      <c r="A80" s="49">
        <v>79</v>
      </c>
      <c r="B80" s="49" t="s">
        <v>536</v>
      </c>
      <c r="C80" s="49" t="s">
        <v>32</v>
      </c>
      <c r="D80" s="49" t="s">
        <v>68</v>
      </c>
      <c r="E80" s="49" t="s">
        <v>25</v>
      </c>
      <c r="F80" s="49" t="s">
        <v>25</v>
      </c>
      <c r="G80" s="49" t="s">
        <v>25</v>
      </c>
      <c r="H80" s="49" t="s">
        <v>25</v>
      </c>
      <c r="I80" s="49" t="s">
        <v>40</v>
      </c>
      <c r="J80" s="49" t="s">
        <v>654</v>
      </c>
      <c r="K80" s="49" t="s">
        <v>653</v>
      </c>
      <c r="L80" s="49" t="s">
        <v>69</v>
      </c>
      <c r="M80" s="49">
        <v>2021</v>
      </c>
      <c r="N80" s="49">
        <v>0</v>
      </c>
      <c r="O80" s="49">
        <v>251.85</v>
      </c>
      <c r="P80" s="49"/>
    </row>
    <row r="81" spans="1:16" ht="11.25" customHeight="1" x14ac:dyDescent="0.25">
      <c r="A81" s="49">
        <v>80</v>
      </c>
      <c r="B81" s="49" t="s">
        <v>536</v>
      </c>
      <c r="C81" s="49" t="s">
        <v>32</v>
      </c>
      <c r="D81" s="49" t="s">
        <v>68</v>
      </c>
      <c r="E81" s="49" t="s">
        <v>25</v>
      </c>
      <c r="F81" s="49" t="s">
        <v>25</v>
      </c>
      <c r="G81" s="49" t="s">
        <v>25</v>
      </c>
      <c r="H81" s="49" t="s">
        <v>25</v>
      </c>
      <c r="I81" s="49" t="s">
        <v>37</v>
      </c>
      <c r="J81" s="49" t="s">
        <v>654</v>
      </c>
      <c r="K81" s="49" t="s">
        <v>653</v>
      </c>
      <c r="L81" s="49" t="s">
        <v>69</v>
      </c>
      <c r="M81" s="49">
        <v>2021</v>
      </c>
      <c r="N81" s="49">
        <v>0</v>
      </c>
      <c r="O81" s="49">
        <v>251.85</v>
      </c>
      <c r="P81" s="49"/>
    </row>
    <row r="82" spans="1:16" ht="11.25" customHeight="1" x14ac:dyDescent="0.25">
      <c r="A82" s="49">
        <v>81</v>
      </c>
      <c r="B82" s="49" t="s">
        <v>536</v>
      </c>
      <c r="C82" s="49" t="s">
        <v>32</v>
      </c>
      <c r="D82" s="49" t="s">
        <v>72</v>
      </c>
      <c r="E82" s="49" t="s">
        <v>25</v>
      </c>
      <c r="F82" s="49" t="s">
        <v>25</v>
      </c>
      <c r="G82" s="49" t="s">
        <v>25</v>
      </c>
      <c r="H82" s="49" t="s">
        <v>25</v>
      </c>
      <c r="I82" s="49" t="s">
        <v>25</v>
      </c>
      <c r="J82" s="49" t="s">
        <v>654</v>
      </c>
      <c r="K82" s="49" t="s">
        <v>653</v>
      </c>
      <c r="L82" s="49" t="s">
        <v>69</v>
      </c>
      <c r="M82" s="49">
        <v>2021</v>
      </c>
      <c r="N82" s="49">
        <v>0</v>
      </c>
      <c r="O82" s="49">
        <v>251.85</v>
      </c>
      <c r="P82" s="49"/>
    </row>
    <row r="83" spans="1:16" ht="11.25" customHeight="1" x14ac:dyDescent="0.25">
      <c r="A83" s="49">
        <v>82</v>
      </c>
      <c r="B83" s="49" t="s">
        <v>536</v>
      </c>
      <c r="C83" s="49" t="s">
        <v>32</v>
      </c>
      <c r="D83" s="49" t="s">
        <v>84</v>
      </c>
      <c r="E83" s="49" t="s">
        <v>25</v>
      </c>
      <c r="F83" s="49" t="s">
        <v>25</v>
      </c>
      <c r="G83" s="49" t="s">
        <v>25</v>
      </c>
      <c r="H83" s="49" t="s">
        <v>25</v>
      </c>
      <c r="I83" s="49" t="s">
        <v>25</v>
      </c>
      <c r="J83" s="49" t="s">
        <v>654</v>
      </c>
      <c r="K83" s="49" t="s">
        <v>653</v>
      </c>
      <c r="L83" s="49" t="s">
        <v>69</v>
      </c>
      <c r="M83" s="49">
        <v>2021</v>
      </c>
      <c r="N83" s="49">
        <v>0</v>
      </c>
      <c r="O83" s="49">
        <v>251.85</v>
      </c>
      <c r="P83" s="49"/>
    </row>
    <row r="84" spans="1:16" ht="11.25" customHeight="1" x14ac:dyDescent="0.25">
      <c r="A84" s="49">
        <v>83</v>
      </c>
      <c r="B84" s="49" t="s">
        <v>536</v>
      </c>
      <c r="C84" s="49" t="s">
        <v>44</v>
      </c>
      <c r="D84" s="49" t="s">
        <v>72</v>
      </c>
      <c r="E84" s="49" t="s">
        <v>45</v>
      </c>
      <c r="F84" s="49" t="s">
        <v>46</v>
      </c>
      <c r="G84" s="49" t="s">
        <v>25</v>
      </c>
      <c r="H84" s="49" t="s">
        <v>25</v>
      </c>
      <c r="I84" s="49" t="s">
        <v>25</v>
      </c>
      <c r="J84" s="49" t="s">
        <v>654</v>
      </c>
      <c r="K84" s="49" t="s">
        <v>653</v>
      </c>
      <c r="L84" s="49" t="s">
        <v>69</v>
      </c>
      <c r="M84" s="49">
        <v>2021</v>
      </c>
      <c r="N84" s="49">
        <v>0</v>
      </c>
      <c r="O84" s="49">
        <v>138.52000000000001</v>
      </c>
      <c r="P84" s="49"/>
    </row>
    <row r="85" spans="1:16" ht="11.25" customHeight="1" x14ac:dyDescent="0.25">
      <c r="A85" s="49">
        <v>84</v>
      </c>
      <c r="B85" s="49" t="s">
        <v>536</v>
      </c>
      <c r="C85" s="49" t="s">
        <v>44</v>
      </c>
      <c r="D85" s="49" t="s">
        <v>72</v>
      </c>
      <c r="E85" s="49" t="s">
        <v>45</v>
      </c>
      <c r="F85" s="49" t="s">
        <v>88</v>
      </c>
      <c r="G85" s="49" t="s">
        <v>25</v>
      </c>
      <c r="H85" s="49" t="s">
        <v>25</v>
      </c>
      <c r="I85" s="49" t="s">
        <v>25</v>
      </c>
      <c r="J85" s="49" t="s">
        <v>654</v>
      </c>
      <c r="K85" s="49" t="s">
        <v>653</v>
      </c>
      <c r="L85" s="49" t="s">
        <v>69</v>
      </c>
      <c r="M85" s="49">
        <v>2021</v>
      </c>
      <c r="N85" s="49">
        <v>0</v>
      </c>
      <c r="O85" s="49">
        <v>151.11000000000001</v>
      </c>
      <c r="P85" s="4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27D97-2CF4-428D-A093-A01B264073B8}">
  <dimension ref="A1:AD49"/>
  <sheetViews>
    <sheetView showGridLines="0" workbookViewId="0">
      <selection sqref="A1:W49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6.140625" style="9" bestFit="1" customWidth="1"/>
    <col min="10" max="11" width="5.7109375" style="9" bestFit="1" customWidth="1"/>
    <col min="12" max="12" width="6.140625" style="9" bestFit="1" customWidth="1"/>
    <col min="13" max="14" width="5.85546875" style="9" bestFit="1" customWidth="1"/>
    <col min="15" max="16" width="6.140625" style="9" bestFit="1" customWidth="1"/>
    <col min="17" max="18" width="5.7109375" style="9" bestFit="1" customWidth="1"/>
    <col min="19" max="19" width="6.42578125" style="9" bestFit="1" customWidth="1"/>
    <col min="20" max="20" width="5.85546875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59</v>
      </c>
      <c r="B1" s="10" t="s">
        <v>60</v>
      </c>
      <c r="C1" s="10" t="s">
        <v>61</v>
      </c>
      <c r="D1" s="10" t="s">
        <v>62</v>
      </c>
      <c r="E1" s="10" t="s">
        <v>63</v>
      </c>
      <c r="F1" s="10" t="s">
        <v>64</v>
      </c>
      <c r="G1" s="10" t="s">
        <v>65</v>
      </c>
      <c r="H1" s="10" t="s">
        <v>66</v>
      </c>
      <c r="I1" s="11">
        <v>44317</v>
      </c>
      <c r="J1" s="11">
        <v>44348</v>
      </c>
      <c r="K1" s="11">
        <v>44378</v>
      </c>
      <c r="L1" s="11">
        <v>44409</v>
      </c>
      <c r="M1" s="11">
        <v>44440</v>
      </c>
      <c r="N1" s="11">
        <v>44470</v>
      </c>
      <c r="O1" s="11">
        <v>44501</v>
      </c>
      <c r="P1" s="11">
        <v>44531</v>
      </c>
      <c r="Q1" s="11">
        <v>44562</v>
      </c>
      <c r="R1" s="11">
        <v>44593</v>
      </c>
      <c r="S1" s="11">
        <v>44621</v>
      </c>
      <c r="T1" s="11">
        <v>44652</v>
      </c>
      <c r="U1" s="10" t="s">
        <v>67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113" t="s">
        <v>34</v>
      </c>
      <c r="B2" s="113" t="s">
        <v>74</v>
      </c>
      <c r="C2" s="113" t="s">
        <v>25</v>
      </c>
      <c r="D2" s="113" t="s">
        <v>25</v>
      </c>
      <c r="E2" s="113" t="s">
        <v>25</v>
      </c>
      <c r="F2" s="113" t="s">
        <v>25</v>
      </c>
      <c r="G2" s="12" t="s">
        <v>76</v>
      </c>
      <c r="H2" s="12" t="s">
        <v>75</v>
      </c>
      <c r="I2" s="12">
        <f>SUMIF(Mercado_Receita!$S$2:$S$332,"44317A4AzulNão se aplicaNão se aplicaNão se aplicaNão se aplicaPonta",Mercado_Receita!$J$2:$J$332)+SUMIF(Mercado_Receita!$S$2:$S$332,"44317A4AzulNão se aplicaNão se aplicaAPENão se aplicaPonta",Mercado_Receita!$J$2:$J$332)</f>
        <v>0</v>
      </c>
      <c r="J2" s="12">
        <f>SUMIF(Mercado_Receita!$S$2:$S$332,"44348A4AzulNão se aplicaNão se aplicaNão se aplicaNão se aplicaPonta",Mercado_Receita!$J$2:$J$332)+SUMIF(Mercado_Receita!$S$2:$S$332,"44348A4AzulNão se aplicaNão se aplicaAPENão se aplicaPonta",Mercado_Receita!$J$2:$J$332)</f>
        <v>0</v>
      </c>
      <c r="K2" s="12">
        <f>SUMIF(Mercado_Receita!$S$2:$S$332,"44378A4AzulNão se aplicaNão se aplicaNão se aplicaNão se aplicaPonta",Mercado_Receita!$J$2:$J$332)+SUMIF(Mercado_Receita!$S$2:$S$332,"44378A4AzulNão se aplicaNão se aplicaAPENão se aplicaPonta",Mercado_Receita!$J$2:$J$332)</f>
        <v>0</v>
      </c>
      <c r="L2" s="12">
        <f>SUMIF(Mercado_Receita!$S$2:$S$332,"44409A4AzulNão se aplicaNão se aplicaNão se aplicaNão se aplicaPonta",Mercado_Receita!$J$2:$J$332)+SUMIF(Mercado_Receita!$S$2:$S$332,"44409A4AzulNão se aplicaNão se aplicaAPENão se aplicaPonta",Mercado_Receita!$J$2:$J$332)</f>
        <v>0</v>
      </c>
      <c r="M2" s="12">
        <f>SUMIF(Mercado_Receita!$S$2:$S$332,"44440A4AzulNão se aplicaNão se aplicaNão se aplicaNão se aplicaPonta",Mercado_Receita!$J$2:$J$332)+SUMIF(Mercado_Receita!$S$2:$S$332,"44440A4AzulNão se aplicaNão se aplicaAPENão se aplicaPonta",Mercado_Receita!$J$2:$J$332)</f>
        <v>0</v>
      </c>
      <c r="N2" s="12">
        <f>SUMIF(Mercado_Receita!$S$2:$S$332,"44470A4AzulNão se aplicaNão se aplicaNão se aplicaNão se aplicaPonta",Mercado_Receita!$J$2:$J$332)+SUMIF(Mercado_Receita!$S$2:$S$332,"44470A4AzulNão se aplicaNão se aplicaAPENão se aplicaPonta",Mercado_Receita!$J$2:$J$332)</f>
        <v>0</v>
      </c>
      <c r="O2" s="12">
        <f>SUMIF(Mercado_Receita!$S$2:$S$332,"44501A4AzulNão se aplicaNão se aplicaNão se aplicaNão se aplicaPonta",Mercado_Receita!$J$2:$J$332)+SUMIF(Mercado_Receita!$S$2:$S$332,"44501A4AzulNão se aplicaNão se aplicaAPENão se aplicaPonta",Mercado_Receita!$J$2:$J$332)</f>
        <v>0</v>
      </c>
      <c r="P2" s="12">
        <f>SUMIF(Mercado_Receita!$S$2:$S$332,"44531A4AzulNão se aplicaNão se aplicaNão se aplicaNão se aplicaPonta",Mercado_Receita!$J$2:$J$332)+SUMIF(Mercado_Receita!$S$2:$S$332,"44531A4AzulNão se aplicaNão se aplicaAPENão se aplicaPonta",Mercado_Receita!$J$2:$J$332)</f>
        <v>0</v>
      </c>
      <c r="Q2" s="12">
        <f>SUMIF(Mercado_Receita!$S$2:$S$332,"44562A4AzulNão se aplicaNão se aplicaNão se aplicaNão se aplicaPonta",Mercado_Receita!$J$2:$J$332)+SUMIF(Mercado_Receita!$S$2:$S$332,"44562A4AzulNão se aplicaNão se aplicaAPENão se aplicaPonta",Mercado_Receita!$J$2:$J$332)</f>
        <v>0</v>
      </c>
      <c r="R2" s="12">
        <f>SUMIF(Mercado_Receita!$S$2:$S$332,"44593A4AzulNão se aplicaNão se aplicaNão se aplicaNão se aplicaPonta",Mercado_Receita!$J$2:$J$332)+SUMIF(Mercado_Receita!$S$2:$S$332,"44593A4AzulNão se aplicaNão se aplicaAPENão se aplicaPonta",Mercado_Receita!$J$2:$J$332)</f>
        <v>0</v>
      </c>
      <c r="S2" s="12">
        <f>SUMIF(Mercado_Receita!$S$2:$S$332,"44621A4AzulNão se aplicaNão se aplicaNão se aplicaNão se aplicaPonta",Mercado_Receita!$J$2:$J$332)+SUMIF(Mercado_Receita!$S$2:$S$332,"44621A4AzulNão se aplicaNão se aplicaAPENão se aplicaPonta",Mercado_Receita!$J$2:$J$332)</f>
        <v>0</v>
      </c>
      <c r="T2" s="12">
        <f>SUMIF(Mercado_Receita!$S$2:$S$332,"44652A4AzulNão se aplicaNão se aplicaNão se aplicaNão se aplicaPonta",Mercado_Receita!$J$2:$J$332)+SUMIF(Mercado_Receita!$S$2:$S$332,"44652A4AzulNão se aplicaNão se aplicaAPENão se aplicaPonta",Mercado_Receita!$J$2:$J$332)</f>
        <v>0</v>
      </c>
      <c r="U2" s="12">
        <f t="shared" ref="U2:U48" si="0">SUM(I2:T2)</f>
        <v>0</v>
      </c>
      <c r="V2" s="12"/>
      <c r="W2" s="12"/>
    </row>
    <row r="3" spans="1:30" ht="11.25" customHeight="1" x14ac:dyDescent="0.25">
      <c r="A3" s="114"/>
      <c r="B3" s="114"/>
      <c r="C3" s="114"/>
      <c r="D3" s="114"/>
      <c r="E3" s="114"/>
      <c r="F3" s="114"/>
      <c r="G3" s="12" t="s">
        <v>77</v>
      </c>
      <c r="H3" s="12" t="s">
        <v>75</v>
      </c>
      <c r="I3" s="12">
        <f>SUMIF(Mercado_Receita!$S$2:$S$332,"44317A4AzulNão se aplicaNão se aplicaNão se aplicaNão se aplicaFora ponta",Mercado_Receita!$J$2:$J$332)+SUMIF(Mercado_Receita!$S$2:$S$332,"44317A4AzulNão se aplicaNão se aplicaAPENão se aplicaFora ponta",Mercado_Receita!$J$2:$J$332)</f>
        <v>0</v>
      </c>
      <c r="J3" s="12">
        <f>SUMIF(Mercado_Receita!$S$2:$S$332,"44348A4AzulNão se aplicaNão se aplicaNão se aplicaNão se aplicaFora ponta",Mercado_Receita!$J$2:$J$332)+SUMIF(Mercado_Receita!$S$2:$S$332,"44348A4AzulNão se aplicaNão se aplicaAPENão se aplicaFora ponta",Mercado_Receita!$J$2:$J$332)</f>
        <v>0</v>
      </c>
      <c r="K3" s="12">
        <f>SUMIF(Mercado_Receita!$S$2:$S$332,"44378A4AzulNão se aplicaNão se aplicaNão se aplicaNão se aplicaFora ponta",Mercado_Receita!$J$2:$J$332)+SUMIF(Mercado_Receita!$S$2:$S$332,"44378A4AzulNão se aplicaNão se aplicaAPENão se aplicaFora ponta",Mercado_Receita!$J$2:$J$332)</f>
        <v>0</v>
      </c>
      <c r="L3" s="12">
        <f>SUMIF(Mercado_Receita!$S$2:$S$332,"44409A4AzulNão se aplicaNão se aplicaNão se aplicaNão se aplicaFora ponta",Mercado_Receita!$J$2:$J$332)+SUMIF(Mercado_Receita!$S$2:$S$332,"44409A4AzulNão se aplicaNão se aplicaAPENão se aplicaFora ponta",Mercado_Receita!$J$2:$J$332)</f>
        <v>0</v>
      </c>
      <c r="M3" s="12">
        <f>SUMIF(Mercado_Receita!$S$2:$S$332,"44440A4AzulNão se aplicaNão se aplicaNão se aplicaNão se aplicaFora ponta",Mercado_Receita!$J$2:$J$332)+SUMIF(Mercado_Receita!$S$2:$S$332,"44440A4AzulNão se aplicaNão se aplicaAPENão se aplicaFora ponta",Mercado_Receita!$J$2:$J$332)</f>
        <v>0</v>
      </c>
      <c r="N3" s="12">
        <f>SUMIF(Mercado_Receita!$S$2:$S$332,"44470A4AzulNão se aplicaNão se aplicaNão se aplicaNão se aplicaFora ponta",Mercado_Receita!$J$2:$J$332)+SUMIF(Mercado_Receita!$S$2:$S$332,"44470A4AzulNão se aplicaNão se aplicaAPENão se aplicaFora ponta",Mercado_Receita!$J$2:$J$332)</f>
        <v>0</v>
      </c>
      <c r="O3" s="12">
        <f>SUMIF(Mercado_Receita!$S$2:$S$332,"44501A4AzulNão se aplicaNão se aplicaNão se aplicaNão se aplicaFora ponta",Mercado_Receita!$J$2:$J$332)+SUMIF(Mercado_Receita!$S$2:$S$332,"44501A4AzulNão se aplicaNão se aplicaAPENão se aplicaFora ponta",Mercado_Receita!$J$2:$J$332)</f>
        <v>0</v>
      </c>
      <c r="P3" s="12">
        <f>SUMIF(Mercado_Receita!$S$2:$S$332,"44531A4AzulNão se aplicaNão se aplicaNão se aplicaNão se aplicaFora ponta",Mercado_Receita!$J$2:$J$332)+SUMIF(Mercado_Receita!$S$2:$S$332,"44531A4AzulNão se aplicaNão se aplicaAPENão se aplicaFora ponta",Mercado_Receita!$J$2:$J$332)</f>
        <v>0</v>
      </c>
      <c r="Q3" s="12">
        <f>SUMIF(Mercado_Receita!$S$2:$S$332,"44562A4AzulNão se aplicaNão se aplicaNão se aplicaNão se aplicaFora ponta",Mercado_Receita!$J$2:$J$332)+SUMIF(Mercado_Receita!$S$2:$S$332,"44562A4AzulNão se aplicaNão se aplicaAPENão se aplicaFora ponta",Mercado_Receita!$J$2:$J$332)</f>
        <v>0</v>
      </c>
      <c r="R3" s="12">
        <f>SUMIF(Mercado_Receita!$S$2:$S$332,"44593A4AzulNão se aplicaNão se aplicaNão se aplicaNão se aplicaFora ponta",Mercado_Receita!$J$2:$J$332)+SUMIF(Mercado_Receita!$S$2:$S$332,"44593A4AzulNão se aplicaNão se aplicaAPENão se aplicaFora ponta",Mercado_Receita!$J$2:$J$332)</f>
        <v>0</v>
      </c>
      <c r="S3" s="12">
        <f>SUMIF(Mercado_Receita!$S$2:$S$332,"44621A4AzulNão se aplicaNão se aplicaNão se aplicaNão se aplicaFora ponta",Mercado_Receita!$J$2:$J$332)+SUMIF(Mercado_Receita!$S$2:$S$332,"44621A4AzulNão se aplicaNão se aplicaAPENão se aplicaFora ponta",Mercado_Receita!$J$2:$J$332)</f>
        <v>0</v>
      </c>
      <c r="T3" s="12">
        <f>SUMIF(Mercado_Receita!$S$2:$S$332,"44652A4AzulNão se aplicaNão se aplicaNão se aplicaNão se aplicaFora ponta",Mercado_Receita!$J$2:$J$332)+SUMIF(Mercado_Receita!$S$2:$S$332,"44652A4AzulNão se aplicaNão se aplicaAPENão se aplicaFora ponta",Mercado_Receita!$J$2:$J$332)</f>
        <v>0</v>
      </c>
      <c r="U3" s="12">
        <f t="shared" si="0"/>
        <v>0</v>
      </c>
      <c r="V3" s="12"/>
      <c r="W3" s="12"/>
    </row>
    <row r="4" spans="1:30" ht="11.25" customHeight="1" x14ac:dyDescent="0.25">
      <c r="A4" s="114"/>
      <c r="B4" s="114"/>
      <c r="C4" s="114"/>
      <c r="D4" s="114"/>
      <c r="E4" s="114"/>
      <c r="F4" s="114"/>
      <c r="G4" s="12" t="s">
        <v>73</v>
      </c>
      <c r="H4" s="12" t="s">
        <v>69</v>
      </c>
      <c r="I4" s="12">
        <f>SUMIF(Mercado_Receita!$S$2:$S$332,"44317A4AzulNão se aplicaNão se aplicaNão se aplicaNão se aplicaPonta",Mercado_Receita!$L$2:$L$332)+SUMIF(Mercado_Receita!$S$2:$S$332,"44317A4AzulNão se aplicaNão se aplicaNão se aplicaNão se aplicaFora ponta",Mercado_Receita!$L$2:$L$332)+SUMIF(Mercado_Receita!$S$2:$S$332,"44317A4AzulNão se aplicaNão se aplicaNão se aplicaNão se aplicaIntermediário",Mercado_Receita!$L$2:$L$332)+SUMIF(Mercado_Receita!$S$2:$S$332,"44317A4AzulNão se aplicaNão se aplicaNão se aplicaNão se aplicaNão se aplica",Mercado_Receita!$L$2:$L$332)</f>
        <v>0</v>
      </c>
      <c r="J4" s="12">
        <f>SUMIF(Mercado_Receita!$S$2:$S$332,"44348A4AzulNão se aplicaNão se aplicaNão se aplicaNão se aplicaPonta",Mercado_Receita!$L$2:$L$332)+SUMIF(Mercado_Receita!$S$2:$S$332,"44348A4AzulNão se aplicaNão se aplicaNão se aplicaNão se aplicaFora ponta",Mercado_Receita!$L$2:$L$332)+SUMIF(Mercado_Receita!$S$2:$S$332,"44348A4AzulNão se aplicaNão se aplicaNão se aplicaNão se aplicaIntermediário",Mercado_Receita!$L$2:$L$332)+SUMIF(Mercado_Receita!$S$2:$S$332,"44348A4AzulNão se aplicaNão se aplicaNão se aplicaNão se aplicaNão se aplica",Mercado_Receita!$L$2:$L$332)</f>
        <v>0</v>
      </c>
      <c r="K4" s="12">
        <f>SUMIF(Mercado_Receita!$S$2:$S$332,"44378A4AzulNão se aplicaNão se aplicaNão se aplicaNão se aplicaPonta",Mercado_Receita!$L$2:$L$332)+SUMIF(Mercado_Receita!$S$2:$S$332,"44378A4AzulNão se aplicaNão se aplicaNão se aplicaNão se aplicaFora ponta",Mercado_Receita!$L$2:$L$332)+SUMIF(Mercado_Receita!$S$2:$S$332,"44378A4AzulNão se aplicaNão se aplicaNão se aplicaNão se aplicaIntermediário",Mercado_Receita!$L$2:$L$332)+SUMIF(Mercado_Receita!$S$2:$S$332,"44378A4AzulNão se aplicaNão se aplicaNão se aplicaNão se aplicaNão se aplica",Mercado_Receita!$L$2:$L$332)</f>
        <v>0</v>
      </c>
      <c r="L4" s="12">
        <f>SUMIF(Mercado_Receita!$S$2:$S$332,"44409A4AzulNão se aplicaNão se aplicaNão se aplicaNão se aplicaPonta",Mercado_Receita!$L$2:$L$332)+SUMIF(Mercado_Receita!$S$2:$S$332,"44409A4AzulNão se aplicaNão se aplicaNão se aplicaNão se aplicaFora ponta",Mercado_Receita!$L$2:$L$332)+SUMIF(Mercado_Receita!$S$2:$S$332,"44409A4AzulNão se aplicaNão se aplicaNão se aplicaNão se aplicaIntermediário",Mercado_Receita!$L$2:$L$332)+SUMIF(Mercado_Receita!$S$2:$S$332,"44409A4AzulNão se aplicaNão se aplicaNão se aplicaNão se aplicaNão se aplica",Mercado_Receita!$L$2:$L$332)</f>
        <v>0</v>
      </c>
      <c r="M4" s="12">
        <f>SUMIF(Mercado_Receita!$S$2:$S$332,"44440A4AzulNão se aplicaNão se aplicaNão se aplicaNão se aplicaPonta",Mercado_Receita!$L$2:$L$332)+SUMIF(Mercado_Receita!$S$2:$S$332,"44440A4AzulNão se aplicaNão se aplicaNão se aplicaNão se aplicaFora ponta",Mercado_Receita!$L$2:$L$332)+SUMIF(Mercado_Receita!$S$2:$S$332,"44440A4AzulNão se aplicaNão se aplicaNão se aplicaNão se aplicaIntermediário",Mercado_Receita!$L$2:$L$332)+SUMIF(Mercado_Receita!$S$2:$S$332,"44440A4AzulNão se aplicaNão se aplicaNão se aplicaNão se aplicaNão se aplica",Mercado_Receita!$L$2:$L$332)</f>
        <v>0</v>
      </c>
      <c r="N4" s="12">
        <f>SUMIF(Mercado_Receita!$S$2:$S$332,"44470A4AzulNão se aplicaNão se aplicaNão se aplicaNão se aplicaPonta",Mercado_Receita!$L$2:$L$332)+SUMIF(Mercado_Receita!$S$2:$S$332,"44470A4AzulNão se aplicaNão se aplicaNão se aplicaNão se aplicaFora ponta",Mercado_Receita!$L$2:$L$332)+SUMIF(Mercado_Receita!$S$2:$S$332,"44470A4AzulNão se aplicaNão se aplicaNão se aplicaNão se aplicaIntermediário",Mercado_Receita!$L$2:$L$332)+SUMIF(Mercado_Receita!$S$2:$S$332,"44470A4AzulNão se aplicaNão se aplicaNão se aplicaNão se aplicaNão se aplica",Mercado_Receita!$L$2:$L$332)</f>
        <v>0</v>
      </c>
      <c r="O4" s="12">
        <f>SUMIF(Mercado_Receita!$S$2:$S$332,"44501A4AzulNão se aplicaNão se aplicaNão se aplicaNão se aplicaPonta",Mercado_Receita!$L$2:$L$332)+SUMIF(Mercado_Receita!$S$2:$S$332,"44501A4AzulNão se aplicaNão se aplicaNão se aplicaNão se aplicaFora ponta",Mercado_Receita!$L$2:$L$332)+SUMIF(Mercado_Receita!$S$2:$S$332,"44501A4AzulNão se aplicaNão se aplicaNão se aplicaNão se aplicaIntermediário",Mercado_Receita!$L$2:$L$332)+SUMIF(Mercado_Receita!$S$2:$S$332,"44501A4AzulNão se aplicaNão se aplicaNão se aplicaNão se aplicaNão se aplica",Mercado_Receita!$L$2:$L$332)</f>
        <v>0</v>
      </c>
      <c r="P4" s="12">
        <f>SUMIF(Mercado_Receita!$S$2:$S$332,"44531A4AzulNão se aplicaNão se aplicaNão se aplicaNão se aplicaPonta",Mercado_Receita!$L$2:$L$332)+SUMIF(Mercado_Receita!$S$2:$S$332,"44531A4AzulNão se aplicaNão se aplicaNão se aplicaNão se aplicaFora ponta",Mercado_Receita!$L$2:$L$332)+SUMIF(Mercado_Receita!$S$2:$S$332,"44531A4AzulNão se aplicaNão se aplicaNão se aplicaNão se aplicaIntermediário",Mercado_Receita!$L$2:$L$332)+SUMIF(Mercado_Receita!$S$2:$S$332,"44531A4AzulNão se aplicaNão se aplicaNão se aplicaNão se aplicaNão se aplica",Mercado_Receita!$L$2:$L$332)</f>
        <v>0</v>
      </c>
      <c r="Q4" s="12">
        <f>SUMIF(Mercado_Receita!$S$2:$S$332,"44562A4AzulNão se aplicaNão se aplicaNão se aplicaNão se aplicaPonta",Mercado_Receita!$L$2:$L$332)+SUMIF(Mercado_Receita!$S$2:$S$332,"44562A4AzulNão se aplicaNão se aplicaNão se aplicaNão se aplicaFora ponta",Mercado_Receita!$L$2:$L$332)+SUMIF(Mercado_Receita!$S$2:$S$332,"44562A4AzulNão se aplicaNão se aplicaNão se aplicaNão se aplicaIntermediário",Mercado_Receita!$L$2:$L$332)+SUMIF(Mercado_Receita!$S$2:$S$332,"44562A4AzulNão se aplicaNão se aplicaNão se aplicaNão se aplicaNão se aplica",Mercado_Receita!$L$2:$L$332)</f>
        <v>0</v>
      </c>
      <c r="R4" s="12">
        <f>SUMIF(Mercado_Receita!$S$2:$S$332,"44593A4AzulNão se aplicaNão se aplicaNão se aplicaNão se aplicaPonta",Mercado_Receita!$L$2:$L$332)+SUMIF(Mercado_Receita!$S$2:$S$332,"44593A4AzulNão se aplicaNão se aplicaNão se aplicaNão se aplicaFora ponta",Mercado_Receita!$L$2:$L$332)+SUMIF(Mercado_Receita!$S$2:$S$332,"44593A4AzulNão se aplicaNão se aplicaNão se aplicaNão se aplicaIntermediário",Mercado_Receita!$L$2:$L$332)+SUMIF(Mercado_Receita!$S$2:$S$332,"44593A4AzulNão se aplicaNão se aplicaNão se aplicaNão se aplicaNão se aplica",Mercado_Receita!$L$2:$L$332)</f>
        <v>0</v>
      </c>
      <c r="S4" s="12">
        <f>SUMIF(Mercado_Receita!$S$2:$S$332,"44621A4AzulNão se aplicaNão se aplicaNão se aplicaNão se aplicaPonta",Mercado_Receita!$L$2:$L$332)+SUMIF(Mercado_Receita!$S$2:$S$332,"44621A4AzulNão se aplicaNão se aplicaNão se aplicaNão se aplicaFora ponta",Mercado_Receita!$L$2:$L$332)+SUMIF(Mercado_Receita!$S$2:$S$332,"44621A4AzulNão se aplicaNão se aplicaNão se aplicaNão se aplicaIntermediário",Mercado_Receita!$L$2:$L$332)+SUMIF(Mercado_Receita!$S$2:$S$332,"44621A4AzulNão se aplicaNão se aplicaNão se aplicaNão se aplicaNão se aplica",Mercado_Receita!$L$2:$L$332)</f>
        <v>0</v>
      </c>
      <c r="T4" s="12">
        <f>SUMIF(Mercado_Receita!$S$2:$S$332,"44652A4AzulNão se aplicaNão se aplicaNão se aplicaNão se aplicaPonta",Mercado_Receita!$L$2:$L$332)+SUMIF(Mercado_Receita!$S$2:$S$332,"44652A4AzulNão se aplicaNão se aplicaNão se aplicaNão se aplicaFora ponta",Mercado_Receita!$L$2:$L$332)+SUMIF(Mercado_Receita!$S$2:$S$332,"44652A4AzulNão se aplicaNão se aplicaNão se aplicaNão se aplicaIntermediário",Mercado_Receita!$L$2:$L$332)+SUMIF(Mercado_Receita!$S$2:$S$332,"44652A4AzulNão se aplicaNão se aplicaNão se aplicaNão se aplicaNão se aplica",Mercado_Receita!$L$2:$L$332)</f>
        <v>0</v>
      </c>
      <c r="U4" s="12">
        <f t="shared" si="0"/>
        <v>0</v>
      </c>
      <c r="V4" s="12"/>
      <c r="W4" s="12"/>
    </row>
    <row r="5" spans="1:30" ht="11.25" customHeight="1" x14ac:dyDescent="0.25">
      <c r="A5" s="114"/>
      <c r="B5" s="114"/>
      <c r="C5" s="114"/>
      <c r="D5" s="114"/>
      <c r="E5" s="13" t="s">
        <v>78</v>
      </c>
      <c r="F5" s="13" t="s">
        <v>25</v>
      </c>
      <c r="G5" s="12" t="s">
        <v>73</v>
      </c>
      <c r="H5" s="12" t="s">
        <v>69</v>
      </c>
      <c r="I5" s="12">
        <f>SUMIF(Mercado_Receita!$S$2:$S$332,"44317A4AzulNão se aplicaNão se aplicaAPENão se aplicaPonta",Mercado_Receita!$L$2:$L$332)+SUMIF(Mercado_Receita!$S$2:$S$332,"44317A4AzulNão se aplicaNão se aplicaAPENão se aplicaFora ponta",Mercado_Receita!$L$2:$L$332)+SUMIF(Mercado_Receita!$S$2:$S$332,"44317A4AzulNão se aplicaNão se aplicaAPENão se aplicaIntermediário",Mercado_Receita!$L$2:$L$332)+SUMIF(Mercado_Receita!$S$2:$S$332,"44317A4AzulNão se aplicaNão se aplicaAPENão se aplicaNão se aplica",Mercado_Receita!$L$2:$L$332)</f>
        <v>0</v>
      </c>
      <c r="J5" s="12">
        <f>SUMIF(Mercado_Receita!$S$2:$S$332,"44348A4AzulNão se aplicaNão se aplicaAPENão se aplicaPonta",Mercado_Receita!$L$2:$L$332)+SUMIF(Mercado_Receita!$S$2:$S$332,"44348A4AzulNão se aplicaNão se aplicaAPENão se aplicaFora ponta",Mercado_Receita!$L$2:$L$332)+SUMIF(Mercado_Receita!$S$2:$S$332,"44348A4AzulNão se aplicaNão se aplicaAPENão se aplicaIntermediário",Mercado_Receita!$L$2:$L$332)+SUMIF(Mercado_Receita!$S$2:$S$332,"44348A4AzulNão se aplicaNão se aplicaAPENão se aplicaNão se aplica",Mercado_Receita!$L$2:$L$332)</f>
        <v>0</v>
      </c>
      <c r="K5" s="12">
        <f>SUMIF(Mercado_Receita!$S$2:$S$332,"44378A4AzulNão se aplicaNão se aplicaAPENão se aplicaPonta",Mercado_Receita!$L$2:$L$332)+SUMIF(Mercado_Receita!$S$2:$S$332,"44378A4AzulNão se aplicaNão se aplicaAPENão se aplicaFora ponta",Mercado_Receita!$L$2:$L$332)+SUMIF(Mercado_Receita!$S$2:$S$332,"44378A4AzulNão se aplicaNão se aplicaAPENão se aplicaIntermediário",Mercado_Receita!$L$2:$L$332)+SUMIF(Mercado_Receita!$S$2:$S$332,"44378A4AzulNão se aplicaNão se aplicaAPENão se aplicaNão se aplica",Mercado_Receita!$L$2:$L$332)</f>
        <v>0</v>
      </c>
      <c r="L5" s="12">
        <f>SUMIF(Mercado_Receita!$S$2:$S$332,"44409A4AzulNão se aplicaNão se aplicaAPENão se aplicaPonta",Mercado_Receita!$L$2:$L$332)+SUMIF(Mercado_Receita!$S$2:$S$332,"44409A4AzulNão se aplicaNão se aplicaAPENão se aplicaFora ponta",Mercado_Receita!$L$2:$L$332)+SUMIF(Mercado_Receita!$S$2:$S$332,"44409A4AzulNão se aplicaNão se aplicaAPENão se aplicaIntermediário",Mercado_Receita!$L$2:$L$332)+SUMIF(Mercado_Receita!$S$2:$S$332,"44409A4AzulNão se aplicaNão se aplicaAPENão se aplicaNão se aplica",Mercado_Receita!$L$2:$L$332)</f>
        <v>0</v>
      </c>
      <c r="M5" s="12">
        <f>SUMIF(Mercado_Receita!$S$2:$S$332,"44440A4AzulNão se aplicaNão se aplicaAPENão se aplicaPonta",Mercado_Receita!$L$2:$L$332)+SUMIF(Mercado_Receita!$S$2:$S$332,"44440A4AzulNão se aplicaNão se aplicaAPENão se aplicaFora ponta",Mercado_Receita!$L$2:$L$332)+SUMIF(Mercado_Receita!$S$2:$S$332,"44440A4AzulNão se aplicaNão se aplicaAPENão se aplicaIntermediário",Mercado_Receita!$L$2:$L$332)+SUMIF(Mercado_Receita!$S$2:$S$332,"44440A4AzulNão se aplicaNão se aplicaAPENão se aplicaNão se aplica",Mercado_Receita!$L$2:$L$332)</f>
        <v>0</v>
      </c>
      <c r="N5" s="12">
        <f>SUMIF(Mercado_Receita!$S$2:$S$332,"44470A4AzulNão se aplicaNão se aplicaAPENão se aplicaPonta",Mercado_Receita!$L$2:$L$332)+SUMIF(Mercado_Receita!$S$2:$S$332,"44470A4AzulNão se aplicaNão se aplicaAPENão se aplicaFora ponta",Mercado_Receita!$L$2:$L$332)+SUMIF(Mercado_Receita!$S$2:$S$332,"44470A4AzulNão se aplicaNão se aplicaAPENão se aplicaIntermediário",Mercado_Receita!$L$2:$L$332)+SUMIF(Mercado_Receita!$S$2:$S$332,"44470A4AzulNão se aplicaNão se aplicaAPENão se aplicaNão se aplica",Mercado_Receita!$L$2:$L$332)</f>
        <v>0</v>
      </c>
      <c r="O5" s="12">
        <f>SUMIF(Mercado_Receita!$S$2:$S$332,"44501A4AzulNão se aplicaNão se aplicaAPENão se aplicaPonta",Mercado_Receita!$L$2:$L$332)+SUMIF(Mercado_Receita!$S$2:$S$332,"44501A4AzulNão se aplicaNão se aplicaAPENão se aplicaFora ponta",Mercado_Receita!$L$2:$L$332)+SUMIF(Mercado_Receita!$S$2:$S$332,"44501A4AzulNão se aplicaNão se aplicaAPENão se aplicaIntermediário",Mercado_Receita!$L$2:$L$332)+SUMIF(Mercado_Receita!$S$2:$S$332,"44501A4AzulNão se aplicaNão se aplicaAPENão se aplicaNão se aplica",Mercado_Receita!$L$2:$L$332)</f>
        <v>0</v>
      </c>
      <c r="P5" s="12">
        <f>SUMIF(Mercado_Receita!$S$2:$S$332,"44531A4AzulNão se aplicaNão se aplicaAPENão se aplicaPonta",Mercado_Receita!$L$2:$L$332)+SUMIF(Mercado_Receita!$S$2:$S$332,"44531A4AzulNão se aplicaNão se aplicaAPENão se aplicaFora ponta",Mercado_Receita!$L$2:$L$332)+SUMIF(Mercado_Receita!$S$2:$S$332,"44531A4AzulNão se aplicaNão se aplicaAPENão se aplicaIntermediário",Mercado_Receita!$L$2:$L$332)+SUMIF(Mercado_Receita!$S$2:$S$332,"44531A4AzulNão se aplicaNão se aplicaAPENão se aplicaNão se aplica",Mercado_Receita!$L$2:$L$332)</f>
        <v>0</v>
      </c>
      <c r="Q5" s="12">
        <f>SUMIF(Mercado_Receita!$S$2:$S$332,"44562A4AzulNão se aplicaNão se aplicaAPENão se aplicaPonta",Mercado_Receita!$L$2:$L$332)+SUMIF(Mercado_Receita!$S$2:$S$332,"44562A4AzulNão se aplicaNão se aplicaAPENão se aplicaFora ponta",Mercado_Receita!$L$2:$L$332)+SUMIF(Mercado_Receita!$S$2:$S$332,"44562A4AzulNão se aplicaNão se aplicaAPENão se aplicaIntermediário",Mercado_Receita!$L$2:$L$332)+SUMIF(Mercado_Receita!$S$2:$S$332,"44562A4AzulNão se aplicaNão se aplicaAPENão se aplicaNão se aplica",Mercado_Receita!$L$2:$L$332)</f>
        <v>0</v>
      </c>
      <c r="R5" s="12">
        <f>SUMIF(Mercado_Receita!$S$2:$S$332,"44593A4AzulNão se aplicaNão se aplicaAPENão se aplicaPonta",Mercado_Receita!$L$2:$L$332)+SUMIF(Mercado_Receita!$S$2:$S$332,"44593A4AzulNão se aplicaNão se aplicaAPENão se aplicaFora ponta",Mercado_Receita!$L$2:$L$332)+SUMIF(Mercado_Receita!$S$2:$S$332,"44593A4AzulNão se aplicaNão se aplicaAPENão se aplicaIntermediário",Mercado_Receita!$L$2:$L$332)+SUMIF(Mercado_Receita!$S$2:$S$332,"44593A4AzulNão se aplicaNão se aplicaAPENão se aplicaNão se aplica",Mercado_Receita!$L$2:$L$332)</f>
        <v>0</v>
      </c>
      <c r="S5" s="12">
        <f>SUMIF(Mercado_Receita!$S$2:$S$332,"44621A4AzulNão se aplicaNão se aplicaAPENão se aplicaPonta",Mercado_Receita!$L$2:$L$332)+SUMIF(Mercado_Receita!$S$2:$S$332,"44621A4AzulNão se aplicaNão se aplicaAPENão se aplicaFora ponta",Mercado_Receita!$L$2:$L$332)+SUMIF(Mercado_Receita!$S$2:$S$332,"44621A4AzulNão se aplicaNão se aplicaAPENão se aplicaIntermediário",Mercado_Receita!$L$2:$L$332)+SUMIF(Mercado_Receita!$S$2:$S$332,"44621A4AzulNão se aplicaNão se aplicaAPENão se aplicaNão se aplica",Mercado_Receita!$L$2:$L$332)</f>
        <v>0</v>
      </c>
      <c r="T5" s="12">
        <f>SUMIF(Mercado_Receita!$S$2:$S$332,"44652A4AzulNão se aplicaNão se aplicaAPENão se aplicaPonta",Mercado_Receita!$L$2:$L$332)+SUMIF(Mercado_Receita!$S$2:$S$332,"44652A4AzulNão se aplicaNão se aplicaAPENão se aplicaFora ponta",Mercado_Receita!$L$2:$L$332)+SUMIF(Mercado_Receita!$S$2:$S$332,"44652A4AzulNão se aplicaNão se aplicaAPENão se aplicaIntermediário",Mercado_Receita!$L$2:$L$332)+SUMIF(Mercado_Receita!$S$2:$S$332,"44652A4AzulNão se aplicaNão se aplicaAPENão se aplicaNão se aplica",Mercado_Receita!$L$2:$L$332)</f>
        <v>0</v>
      </c>
      <c r="U5" s="12">
        <f t="shared" si="0"/>
        <v>0</v>
      </c>
      <c r="V5" s="12"/>
      <c r="W5" s="12"/>
    </row>
    <row r="6" spans="1:30" ht="11.25" customHeight="1" x14ac:dyDescent="0.25">
      <c r="A6" s="114"/>
      <c r="B6" s="13" t="s">
        <v>79</v>
      </c>
      <c r="C6" s="13" t="s">
        <v>25</v>
      </c>
      <c r="D6" s="13" t="s">
        <v>25</v>
      </c>
      <c r="E6" s="13" t="s">
        <v>25</v>
      </c>
      <c r="F6" s="13" t="s">
        <v>25</v>
      </c>
      <c r="G6" s="12" t="s">
        <v>9</v>
      </c>
      <c r="H6" s="12" t="s">
        <v>75</v>
      </c>
      <c r="I6" s="12">
        <f>SUMIF(Mercado_Receita!$S$2:$S$332,"44317A4GeraçãoNão se aplicaNão se aplicaNão se aplicaNão se aplicaNão se aplica",Mercado_Receita!$J$2:$J$332)+SUMIF(Mercado_Receita!$S$2:$S$332,"44317A4GeraçãoNão se aplicaNão se aplicaAPENão se aplicaNão se aplica",Mercado_Receita!$J$2:$J$332)</f>
        <v>0</v>
      </c>
      <c r="J6" s="12">
        <f>SUMIF(Mercado_Receita!$S$2:$S$332,"44348A4GeraçãoNão se aplicaNão se aplicaNão se aplicaNão se aplicaNão se aplica",Mercado_Receita!$J$2:$J$332)+SUMIF(Mercado_Receita!$S$2:$S$332,"44348A4GeraçãoNão se aplicaNão se aplicaAPENão se aplicaNão se aplica",Mercado_Receita!$J$2:$J$332)</f>
        <v>0</v>
      </c>
      <c r="K6" s="12">
        <f>SUMIF(Mercado_Receita!$S$2:$S$332,"44378A4GeraçãoNão se aplicaNão se aplicaNão se aplicaNão se aplicaNão se aplica",Mercado_Receita!$J$2:$J$332)+SUMIF(Mercado_Receita!$S$2:$S$332,"44378A4GeraçãoNão se aplicaNão se aplicaAPENão se aplicaNão se aplica",Mercado_Receita!$J$2:$J$332)</f>
        <v>0</v>
      </c>
      <c r="L6" s="12">
        <f>SUMIF(Mercado_Receita!$S$2:$S$332,"44409A4GeraçãoNão se aplicaNão se aplicaNão se aplicaNão se aplicaNão se aplica",Mercado_Receita!$J$2:$J$332)+SUMIF(Mercado_Receita!$S$2:$S$332,"44409A4GeraçãoNão se aplicaNão se aplicaAPENão se aplicaNão se aplica",Mercado_Receita!$J$2:$J$332)</f>
        <v>0</v>
      </c>
      <c r="M6" s="12">
        <f>SUMIF(Mercado_Receita!$S$2:$S$332,"44440A4GeraçãoNão se aplicaNão se aplicaNão se aplicaNão se aplicaNão se aplica",Mercado_Receita!$J$2:$J$332)+SUMIF(Mercado_Receita!$S$2:$S$332,"44440A4GeraçãoNão se aplicaNão se aplicaAPENão se aplicaNão se aplica",Mercado_Receita!$J$2:$J$332)</f>
        <v>0</v>
      </c>
      <c r="N6" s="12">
        <f>SUMIF(Mercado_Receita!$S$2:$S$332,"44470A4GeraçãoNão se aplicaNão se aplicaNão se aplicaNão se aplicaNão se aplica",Mercado_Receita!$J$2:$J$332)+SUMIF(Mercado_Receita!$S$2:$S$332,"44470A4GeraçãoNão se aplicaNão se aplicaAPENão se aplicaNão se aplica",Mercado_Receita!$J$2:$J$332)</f>
        <v>0</v>
      </c>
      <c r="O6" s="12">
        <f>SUMIF(Mercado_Receita!$S$2:$S$332,"44501A4GeraçãoNão se aplicaNão se aplicaNão se aplicaNão se aplicaNão se aplica",Mercado_Receita!$J$2:$J$332)+SUMIF(Mercado_Receita!$S$2:$S$332,"44501A4GeraçãoNão se aplicaNão se aplicaAPENão se aplicaNão se aplica",Mercado_Receita!$J$2:$J$332)</f>
        <v>0</v>
      </c>
      <c r="P6" s="12">
        <f>SUMIF(Mercado_Receita!$S$2:$S$332,"44531A4GeraçãoNão se aplicaNão se aplicaNão se aplicaNão se aplicaNão se aplica",Mercado_Receita!$J$2:$J$332)+SUMIF(Mercado_Receita!$S$2:$S$332,"44531A4GeraçãoNão se aplicaNão se aplicaAPENão se aplicaNão se aplica",Mercado_Receita!$J$2:$J$332)</f>
        <v>0</v>
      </c>
      <c r="Q6" s="12">
        <f>SUMIF(Mercado_Receita!$S$2:$S$332,"44562A4GeraçãoNão se aplicaNão se aplicaNão se aplicaNão se aplicaNão se aplica",Mercado_Receita!$J$2:$J$332)+SUMIF(Mercado_Receita!$S$2:$S$332,"44562A4GeraçãoNão se aplicaNão se aplicaAPENão se aplicaNão se aplica",Mercado_Receita!$J$2:$J$332)</f>
        <v>0</v>
      </c>
      <c r="R6" s="12">
        <f>SUMIF(Mercado_Receita!$S$2:$S$332,"44593A4GeraçãoNão se aplicaNão se aplicaNão se aplicaNão se aplicaNão se aplica",Mercado_Receita!$J$2:$J$332)+SUMIF(Mercado_Receita!$S$2:$S$332,"44593A4GeraçãoNão se aplicaNão se aplicaAPENão se aplicaNão se aplica",Mercado_Receita!$J$2:$J$332)</f>
        <v>0</v>
      </c>
      <c r="S6" s="12">
        <f>SUMIF(Mercado_Receita!$S$2:$S$332,"44621A4GeraçãoNão se aplicaNão se aplicaNão se aplicaNão se aplicaNão se aplica",Mercado_Receita!$J$2:$J$332)+SUMIF(Mercado_Receita!$S$2:$S$332,"44621A4GeraçãoNão se aplicaNão se aplicaAPENão se aplicaNão se aplica",Mercado_Receita!$J$2:$J$332)</f>
        <v>0</v>
      </c>
      <c r="T6" s="12">
        <f>SUMIF(Mercado_Receita!$S$2:$S$332,"44652A4GeraçãoNão se aplicaNão se aplicaNão se aplicaNão se aplicaNão se aplica",Mercado_Receita!$J$2:$J$332)+SUMIF(Mercado_Receita!$S$2:$S$332,"44652A4GeraçãoNão se aplicaNão se aplicaAPENão se aplicaNão se aplica",Mercado_Receita!$J$2:$J$332)</f>
        <v>0</v>
      </c>
      <c r="U6" s="12">
        <f t="shared" si="0"/>
        <v>0</v>
      </c>
      <c r="V6" s="12"/>
      <c r="W6" s="12"/>
    </row>
    <row r="7" spans="1:30" ht="11.25" customHeight="1" x14ac:dyDescent="0.25">
      <c r="A7" s="114"/>
      <c r="B7" s="113" t="s">
        <v>35</v>
      </c>
      <c r="C7" s="113" t="s">
        <v>25</v>
      </c>
      <c r="D7" s="113" t="s">
        <v>25</v>
      </c>
      <c r="E7" s="113" t="s">
        <v>25</v>
      </c>
      <c r="F7" s="113" t="s">
        <v>25</v>
      </c>
      <c r="G7" s="12" t="s">
        <v>9</v>
      </c>
      <c r="H7" s="12" t="s">
        <v>75</v>
      </c>
      <c r="I7" s="12">
        <f>SUMIF(Mercado_Receita!$S$2:$S$332,"44317A4VerdeNão se aplicaNão se aplicaNão se aplicaNão se aplicaNão se aplica",Mercado_Receita!$J$2:$J$332)+SUMIF(Mercado_Receita!$S$2:$S$332,"44317A4VerdeNão se aplicaNão se aplicaAPENão se aplicaNão se aplica",Mercado_Receita!$J$2:$J$332)</f>
        <v>120</v>
      </c>
      <c r="J7" s="12">
        <f>SUMIF(Mercado_Receita!$S$2:$S$332,"44348A4VerdeNão se aplicaNão se aplicaNão se aplicaNão se aplicaNão se aplica",Mercado_Receita!$J$2:$J$332)+SUMIF(Mercado_Receita!$S$2:$S$332,"44348A4VerdeNão se aplicaNão se aplicaAPENão se aplicaNão se aplica",Mercado_Receita!$J$2:$J$332)</f>
        <v>120</v>
      </c>
      <c r="K7" s="12">
        <f>SUMIF(Mercado_Receita!$S$2:$S$332,"44378A4VerdeNão se aplicaNão se aplicaNão se aplicaNão se aplicaNão se aplica",Mercado_Receita!$J$2:$J$332)+SUMIF(Mercado_Receita!$S$2:$S$332,"44378A4VerdeNão se aplicaNão se aplicaAPENão se aplicaNão se aplica",Mercado_Receita!$J$2:$J$332)</f>
        <v>120</v>
      </c>
      <c r="L7" s="12">
        <f>SUMIF(Mercado_Receita!$S$2:$S$332,"44409A4VerdeNão se aplicaNão se aplicaNão se aplicaNão se aplicaNão se aplica",Mercado_Receita!$J$2:$J$332)+SUMIF(Mercado_Receita!$S$2:$S$332,"44409A4VerdeNão se aplicaNão se aplicaAPENão se aplicaNão se aplica",Mercado_Receita!$J$2:$J$332)</f>
        <v>120</v>
      </c>
      <c r="M7" s="12">
        <f>SUMIF(Mercado_Receita!$S$2:$S$332,"44440A4VerdeNão se aplicaNão se aplicaNão se aplicaNão se aplicaNão se aplica",Mercado_Receita!$J$2:$J$332)+SUMIF(Mercado_Receita!$S$2:$S$332,"44440A4VerdeNão se aplicaNão se aplicaAPENão se aplicaNão se aplica",Mercado_Receita!$J$2:$J$332)</f>
        <v>120</v>
      </c>
      <c r="N7" s="12">
        <f>SUMIF(Mercado_Receita!$S$2:$S$332,"44470A4VerdeNão se aplicaNão se aplicaNão se aplicaNão se aplicaNão se aplica",Mercado_Receita!$J$2:$J$332)+SUMIF(Mercado_Receita!$S$2:$S$332,"44470A4VerdeNão se aplicaNão se aplicaAPENão se aplicaNão se aplica",Mercado_Receita!$J$2:$J$332)</f>
        <v>123</v>
      </c>
      <c r="O7" s="12">
        <f>SUMIF(Mercado_Receita!$S$2:$S$332,"44501A4VerdeNão se aplicaNão se aplicaNão se aplicaNão se aplicaNão se aplica",Mercado_Receita!$J$2:$J$332)+SUMIF(Mercado_Receita!$S$2:$S$332,"44501A4VerdeNão se aplicaNão se aplicaAPENão se aplicaNão se aplica",Mercado_Receita!$J$2:$J$332)</f>
        <v>120</v>
      </c>
      <c r="P7" s="12">
        <f>SUMIF(Mercado_Receita!$S$2:$S$332,"44531A4VerdeNão se aplicaNão se aplicaNão se aplicaNão se aplicaNão se aplica",Mercado_Receita!$J$2:$J$332)+SUMIF(Mercado_Receita!$S$2:$S$332,"44531A4VerdeNão se aplicaNão se aplicaAPENão se aplicaNão se aplica",Mercado_Receita!$J$2:$J$332)</f>
        <v>120</v>
      </c>
      <c r="Q7" s="12">
        <f>SUMIF(Mercado_Receita!$S$2:$S$332,"44562A4VerdeNão se aplicaNão se aplicaNão se aplicaNão se aplicaNão se aplica",Mercado_Receita!$J$2:$J$332)+SUMIF(Mercado_Receita!$S$2:$S$332,"44562A4VerdeNão se aplicaNão se aplicaAPENão se aplicaNão se aplica",Mercado_Receita!$J$2:$J$332)</f>
        <v>120</v>
      </c>
      <c r="R7" s="12">
        <f>SUMIF(Mercado_Receita!$S$2:$S$332,"44593A4VerdeNão se aplicaNão se aplicaNão se aplicaNão se aplicaNão se aplica",Mercado_Receita!$J$2:$J$332)+SUMIF(Mercado_Receita!$S$2:$S$332,"44593A4VerdeNão se aplicaNão se aplicaAPENão se aplicaNão se aplica",Mercado_Receita!$J$2:$J$332)</f>
        <v>120</v>
      </c>
      <c r="S7" s="12">
        <f>SUMIF(Mercado_Receita!$S$2:$S$332,"44621A4VerdeNão se aplicaNão se aplicaNão se aplicaNão se aplicaNão se aplica",Mercado_Receita!$J$2:$J$332)+SUMIF(Mercado_Receita!$S$2:$S$332,"44621A4VerdeNão se aplicaNão se aplicaAPENão se aplicaNão se aplica",Mercado_Receita!$J$2:$J$332)</f>
        <v>122</v>
      </c>
      <c r="T7" s="12">
        <f>SUMIF(Mercado_Receita!$S$2:$S$332,"44652A4VerdeNão se aplicaNão se aplicaNão se aplicaNão se aplicaNão se aplica",Mercado_Receita!$J$2:$J$332)+SUMIF(Mercado_Receita!$S$2:$S$332,"44652A4VerdeNão se aplicaNão se aplicaAPENão se aplicaNão se aplica",Mercado_Receita!$J$2:$J$332)</f>
        <v>120</v>
      </c>
      <c r="U7" s="12">
        <f t="shared" si="0"/>
        <v>1445</v>
      </c>
      <c r="V7" s="12"/>
      <c r="W7" s="12"/>
    </row>
    <row r="8" spans="1:30" ht="11.25" customHeight="1" x14ac:dyDescent="0.25">
      <c r="A8" s="114"/>
      <c r="B8" s="114"/>
      <c r="C8" s="114"/>
      <c r="D8" s="114"/>
      <c r="E8" s="114"/>
      <c r="F8" s="114"/>
      <c r="G8" s="12" t="s">
        <v>70</v>
      </c>
      <c r="H8" s="12" t="s">
        <v>69</v>
      </c>
      <c r="I8" s="12">
        <f>SUMIF(Mercado_Receita!$S$2:$S$332,"44317A4VerdeNão se aplicaNão se aplicaNão se aplicaNão se aplicaPonta",Mercado_Receita!$L$2:$L$332)</f>
        <v>0.17</v>
      </c>
      <c r="J8" s="12">
        <f>SUMIF(Mercado_Receita!$S$2:$S$332,"44348A4VerdeNão se aplicaNão se aplicaNão se aplicaNão se aplicaPonta",Mercado_Receita!$L$2:$L$332)</f>
        <v>0.17599999999999999</v>
      </c>
      <c r="K8" s="12">
        <f>SUMIF(Mercado_Receita!$S$2:$S$332,"44378A4VerdeNão se aplicaNão se aplicaNão se aplicaNão se aplicaPonta",Mercado_Receita!$L$2:$L$332)</f>
        <v>0.23699999999999999</v>
      </c>
      <c r="L8" s="12">
        <f>SUMIF(Mercado_Receita!$S$2:$S$332,"44409A4VerdeNão se aplicaNão se aplicaNão se aplicaNão se aplicaPonta",Mercado_Receita!$L$2:$L$332)</f>
        <v>0.28000000000000003</v>
      </c>
      <c r="M8" s="12">
        <f>SUMIF(Mercado_Receita!$S$2:$S$332,"44440A4VerdeNão se aplicaNão se aplicaNão se aplicaNão se aplicaPonta",Mercado_Receita!$L$2:$L$332)</f>
        <v>0.21299999999999999</v>
      </c>
      <c r="N8" s="12">
        <f>SUMIF(Mercado_Receita!$S$2:$S$332,"44470A4VerdeNão se aplicaNão se aplicaNão se aplicaNão se aplicaPonta",Mercado_Receita!$L$2:$L$332)</f>
        <v>0.14199999999999999</v>
      </c>
      <c r="O8" s="12">
        <f>SUMIF(Mercado_Receita!$S$2:$S$332,"44501A4VerdeNão se aplicaNão se aplicaNão se aplicaNão se aplicaPonta",Mercado_Receita!$L$2:$L$332)</f>
        <v>0.18</v>
      </c>
      <c r="P8" s="12">
        <f>SUMIF(Mercado_Receita!$S$2:$S$332,"44531A4VerdeNão se aplicaNão se aplicaNão se aplicaNão se aplicaPonta",Mercado_Receita!$L$2:$L$332)</f>
        <v>0.222</v>
      </c>
      <c r="Q8" s="12">
        <f>SUMIF(Mercado_Receita!$S$2:$S$332,"44562A4VerdeNão se aplicaNão se aplicaNão se aplicaNão se aplicaPonta",Mercado_Receita!$L$2:$L$332)</f>
        <v>0.16</v>
      </c>
      <c r="R8" s="12">
        <f>SUMIF(Mercado_Receita!$S$2:$S$332,"44593A4VerdeNão se aplicaNão se aplicaNão se aplicaNão se aplicaPonta",Mercado_Receita!$L$2:$L$332)</f>
        <v>0.14399999999999999</v>
      </c>
      <c r="S8" s="12">
        <f>SUMIF(Mercado_Receita!$S$2:$S$332,"44621A4VerdeNão se aplicaNão se aplicaNão se aplicaNão se aplicaPonta",Mercado_Receita!$L$2:$L$332)</f>
        <v>0.21</v>
      </c>
      <c r="T8" s="12">
        <f>SUMIF(Mercado_Receita!$S$2:$S$332,"44652A4VerdeNão se aplicaNão se aplicaNão se aplicaNão se aplicaPonta",Mercado_Receita!$L$2:$L$332)</f>
        <v>0.158</v>
      </c>
      <c r="U8" s="12">
        <f t="shared" si="0"/>
        <v>2.2919999999999998</v>
      </c>
      <c r="V8" s="12"/>
      <c r="W8" s="12"/>
    </row>
    <row r="9" spans="1:30" ht="11.25" customHeight="1" x14ac:dyDescent="0.25">
      <c r="A9" s="114"/>
      <c r="B9" s="114"/>
      <c r="C9" s="114"/>
      <c r="D9" s="114"/>
      <c r="E9" s="114"/>
      <c r="F9" s="114"/>
      <c r="G9" s="12" t="s">
        <v>71</v>
      </c>
      <c r="H9" s="12" t="s">
        <v>69</v>
      </c>
      <c r="I9" s="12">
        <f>SUMIF(Mercado_Receita!$S$2:$S$332,"44317A4VerdeNão se aplicaNão se aplicaNão se aplicaNão se aplicaFora ponta",Mercado_Receita!$L$2:$L$332)</f>
        <v>20.687999999999999</v>
      </c>
      <c r="J9" s="12">
        <f>SUMIF(Mercado_Receita!$S$2:$S$332,"44348A4VerdeNão se aplicaNão se aplicaNão se aplicaNão se aplicaFora ponta",Mercado_Receita!$L$2:$L$332)</f>
        <v>22.076000000000001</v>
      </c>
      <c r="K9" s="12">
        <f>SUMIF(Mercado_Receita!$S$2:$S$332,"44378A4VerdeNão se aplicaNão se aplicaNão se aplicaNão se aplicaFora ponta",Mercado_Receita!$L$2:$L$332)</f>
        <v>22.064</v>
      </c>
      <c r="L9" s="12">
        <f>SUMIF(Mercado_Receita!$S$2:$S$332,"44409A4VerdeNão se aplicaNão se aplicaNão se aplicaNão se aplicaFora ponta",Mercado_Receita!$L$2:$L$332)</f>
        <v>24.585999999999999</v>
      </c>
      <c r="M9" s="12">
        <f>SUMIF(Mercado_Receita!$S$2:$S$332,"44440A4VerdeNão se aplicaNão se aplicaNão se aplicaNão se aplicaFora ponta",Mercado_Receita!$L$2:$L$332)</f>
        <v>30.41</v>
      </c>
      <c r="N9" s="12">
        <f>SUMIF(Mercado_Receita!$S$2:$S$332,"44470A4VerdeNão se aplicaNão se aplicaNão se aplicaNão se aplicaFora ponta",Mercado_Receita!$L$2:$L$332)</f>
        <v>27.844000000000001</v>
      </c>
      <c r="O9" s="12">
        <f>SUMIF(Mercado_Receita!$S$2:$S$332,"44501A4VerdeNão se aplicaNão se aplicaNão se aplicaNão se aplicaFora ponta",Mercado_Receita!$L$2:$L$332)</f>
        <v>30.475000000000001</v>
      </c>
      <c r="P9" s="12">
        <f>SUMIF(Mercado_Receita!$S$2:$S$332,"44531A4VerdeNão se aplicaNão se aplicaNão se aplicaNão se aplicaFora ponta",Mercado_Receita!$L$2:$L$332)</f>
        <v>31.911000000000001</v>
      </c>
      <c r="Q9" s="12">
        <f>SUMIF(Mercado_Receita!$S$2:$S$332,"44562A4VerdeNão se aplicaNão se aplicaNão se aplicaNão se aplicaFora ponta",Mercado_Receita!$L$2:$L$332)</f>
        <v>23.591000000000001</v>
      </c>
      <c r="R9" s="12">
        <f>SUMIF(Mercado_Receita!$S$2:$S$332,"44593A4VerdeNão se aplicaNão se aplicaNão se aplicaNão se aplicaFora ponta",Mercado_Receita!$L$2:$L$332)</f>
        <v>23.384</v>
      </c>
      <c r="S9" s="12">
        <f>SUMIF(Mercado_Receita!$S$2:$S$332,"44621A4VerdeNão se aplicaNão se aplicaNão se aplicaNão se aplicaFora ponta",Mercado_Receita!$L$2:$L$332)</f>
        <v>27.555</v>
      </c>
      <c r="T9" s="12">
        <f>SUMIF(Mercado_Receita!$S$2:$S$332,"44652A4VerdeNão se aplicaNão se aplicaNão se aplicaNão se aplicaFora ponta",Mercado_Receita!$L$2:$L$332)</f>
        <v>25.942</v>
      </c>
      <c r="U9" s="12">
        <f t="shared" si="0"/>
        <v>310.52600000000001</v>
      </c>
      <c r="V9" s="12"/>
      <c r="W9" s="12"/>
    </row>
    <row r="10" spans="1:30" ht="11.25" customHeight="1" x14ac:dyDescent="0.25">
      <c r="A10" s="114"/>
      <c r="B10" s="114"/>
      <c r="C10" s="114"/>
      <c r="D10" s="114"/>
      <c r="E10" s="113" t="s">
        <v>78</v>
      </c>
      <c r="F10" s="113" t="s">
        <v>25</v>
      </c>
      <c r="G10" s="12" t="s">
        <v>70</v>
      </c>
      <c r="H10" s="12" t="s">
        <v>69</v>
      </c>
      <c r="I10" s="12">
        <f>SUMIF(Mercado_Receita!$S$2:$S$332,"44317A4VerdeNão se aplicaNão se aplicaAPENão se aplicaPonta",Mercado_Receita!$L$2:$L$332)</f>
        <v>0</v>
      </c>
      <c r="J10" s="12">
        <f>SUMIF(Mercado_Receita!$S$2:$S$332,"44348A4VerdeNão se aplicaNão se aplicaAPENão se aplicaPonta",Mercado_Receita!$L$2:$L$332)</f>
        <v>0</v>
      </c>
      <c r="K10" s="12">
        <f>SUMIF(Mercado_Receita!$S$2:$S$332,"44378A4VerdeNão se aplicaNão se aplicaAPENão se aplicaPonta",Mercado_Receita!$L$2:$L$332)</f>
        <v>0</v>
      </c>
      <c r="L10" s="12">
        <f>SUMIF(Mercado_Receita!$S$2:$S$332,"44409A4VerdeNão se aplicaNão se aplicaAPENão se aplicaPonta",Mercado_Receita!$L$2:$L$332)</f>
        <v>0</v>
      </c>
      <c r="M10" s="12">
        <f>SUMIF(Mercado_Receita!$S$2:$S$332,"44440A4VerdeNão se aplicaNão se aplicaAPENão se aplicaPonta",Mercado_Receita!$L$2:$L$332)</f>
        <v>0</v>
      </c>
      <c r="N10" s="12">
        <f>SUMIF(Mercado_Receita!$S$2:$S$332,"44470A4VerdeNão se aplicaNão se aplicaAPENão se aplicaPonta",Mercado_Receita!$L$2:$L$332)</f>
        <v>0</v>
      </c>
      <c r="O10" s="12">
        <f>SUMIF(Mercado_Receita!$S$2:$S$332,"44501A4VerdeNão se aplicaNão se aplicaAPENão se aplicaPonta",Mercado_Receita!$L$2:$L$332)</f>
        <v>0</v>
      </c>
      <c r="P10" s="12">
        <f>SUMIF(Mercado_Receita!$S$2:$S$332,"44531A4VerdeNão se aplicaNão se aplicaAPENão se aplicaPonta",Mercado_Receita!$L$2:$L$332)</f>
        <v>0</v>
      </c>
      <c r="Q10" s="12">
        <f>SUMIF(Mercado_Receita!$S$2:$S$332,"44562A4VerdeNão se aplicaNão se aplicaAPENão se aplicaPonta",Mercado_Receita!$L$2:$L$332)</f>
        <v>0</v>
      </c>
      <c r="R10" s="12">
        <f>SUMIF(Mercado_Receita!$S$2:$S$332,"44593A4VerdeNão se aplicaNão se aplicaAPENão se aplicaPonta",Mercado_Receita!$L$2:$L$332)</f>
        <v>0</v>
      </c>
      <c r="S10" s="12">
        <f>SUMIF(Mercado_Receita!$S$2:$S$332,"44621A4VerdeNão se aplicaNão se aplicaAPENão se aplicaPonta",Mercado_Receita!$L$2:$L$332)</f>
        <v>0</v>
      </c>
      <c r="T10" s="12">
        <f>SUMIF(Mercado_Receita!$S$2:$S$332,"44652A4VerdeNão se aplicaNão se aplicaAPENão se aplicaPonta",Mercado_Receita!$L$2:$L$332)</f>
        <v>0</v>
      </c>
      <c r="U10" s="12">
        <f t="shared" si="0"/>
        <v>0</v>
      </c>
      <c r="V10" s="12"/>
      <c r="W10" s="12"/>
    </row>
    <row r="11" spans="1:30" ht="11.25" customHeight="1" x14ac:dyDescent="0.25">
      <c r="A11" s="114"/>
      <c r="B11" s="114"/>
      <c r="C11" s="114"/>
      <c r="D11" s="114"/>
      <c r="E11" s="114"/>
      <c r="F11" s="114"/>
      <c r="G11" s="12" t="s">
        <v>71</v>
      </c>
      <c r="H11" s="12" t="s">
        <v>69</v>
      </c>
      <c r="I11" s="12">
        <f>SUMIF(Mercado_Receita!$S$2:$S$332,"44317A4VerdeNão se aplicaNão se aplicaAPENão se aplicaFora ponta",Mercado_Receita!$L$2:$L$332)</f>
        <v>0</v>
      </c>
      <c r="J11" s="12">
        <f>SUMIF(Mercado_Receita!$S$2:$S$332,"44348A4VerdeNão se aplicaNão se aplicaAPENão se aplicaFora ponta",Mercado_Receita!$L$2:$L$332)</f>
        <v>0</v>
      </c>
      <c r="K11" s="12">
        <f>SUMIF(Mercado_Receita!$S$2:$S$332,"44378A4VerdeNão se aplicaNão se aplicaAPENão se aplicaFora ponta",Mercado_Receita!$L$2:$L$332)</f>
        <v>0</v>
      </c>
      <c r="L11" s="12">
        <f>SUMIF(Mercado_Receita!$S$2:$S$332,"44409A4VerdeNão se aplicaNão se aplicaAPENão se aplicaFora ponta",Mercado_Receita!$L$2:$L$332)</f>
        <v>0</v>
      </c>
      <c r="M11" s="12">
        <f>SUMIF(Mercado_Receita!$S$2:$S$332,"44440A4VerdeNão se aplicaNão se aplicaAPENão se aplicaFora ponta",Mercado_Receita!$L$2:$L$332)</f>
        <v>0</v>
      </c>
      <c r="N11" s="12">
        <f>SUMIF(Mercado_Receita!$S$2:$S$332,"44470A4VerdeNão se aplicaNão se aplicaAPENão se aplicaFora ponta",Mercado_Receita!$L$2:$L$332)</f>
        <v>0</v>
      </c>
      <c r="O11" s="12">
        <f>SUMIF(Mercado_Receita!$S$2:$S$332,"44501A4VerdeNão se aplicaNão se aplicaAPENão se aplicaFora ponta",Mercado_Receita!$L$2:$L$332)</f>
        <v>0</v>
      </c>
      <c r="P11" s="12">
        <f>SUMIF(Mercado_Receita!$S$2:$S$332,"44531A4VerdeNão se aplicaNão se aplicaAPENão se aplicaFora ponta",Mercado_Receita!$L$2:$L$332)</f>
        <v>0</v>
      </c>
      <c r="Q11" s="12">
        <f>SUMIF(Mercado_Receita!$S$2:$S$332,"44562A4VerdeNão se aplicaNão se aplicaAPENão se aplicaFora ponta",Mercado_Receita!$L$2:$L$332)</f>
        <v>0</v>
      </c>
      <c r="R11" s="12">
        <f>SUMIF(Mercado_Receita!$S$2:$S$332,"44593A4VerdeNão se aplicaNão se aplicaAPENão se aplicaFora ponta",Mercado_Receita!$L$2:$L$332)</f>
        <v>0</v>
      </c>
      <c r="S11" s="12">
        <f>SUMIF(Mercado_Receita!$S$2:$S$332,"44621A4VerdeNão se aplicaNão se aplicaAPENão se aplicaFora ponta",Mercado_Receita!$L$2:$L$332)</f>
        <v>0</v>
      </c>
      <c r="T11" s="12">
        <f>SUMIF(Mercado_Receita!$S$2:$S$332,"44652A4VerdeNão se aplicaNão se aplicaAPENão se aplicaFora ponta",Mercado_Receita!$L$2:$L$332)</f>
        <v>0</v>
      </c>
      <c r="U11" s="12">
        <f t="shared" si="0"/>
        <v>0</v>
      </c>
      <c r="V11" s="12"/>
      <c r="W11" s="12"/>
    </row>
    <row r="12" spans="1:30" ht="11.25" customHeight="1" x14ac:dyDescent="0.25">
      <c r="A12" s="113" t="s">
        <v>80</v>
      </c>
      <c r="B12" s="113" t="s">
        <v>79</v>
      </c>
      <c r="C12" s="113" t="s">
        <v>25</v>
      </c>
      <c r="D12" s="113" t="s">
        <v>25</v>
      </c>
      <c r="E12" s="13" t="s">
        <v>81</v>
      </c>
      <c r="F12" s="13" t="s">
        <v>25</v>
      </c>
      <c r="G12" s="12" t="s">
        <v>9</v>
      </c>
      <c r="H12" s="12" t="s">
        <v>75</v>
      </c>
      <c r="I12" s="12">
        <f>SUMIF(Mercado_Receita!$S$2:$S$332,"44317BGeraçãoNão se aplicaNão se aplicaTIPO 01Não se aplicaNão se aplica",Mercado_Receita!$J$2:$J$332)+SUMIF(Mercado_Receita!$S$2:$S$332,"44317BGeraçãoNão se aplicaNão se aplicaAPENão se aplicaNão se aplica",Mercado_Receita!$J$2:$J$332)</f>
        <v>0</v>
      </c>
      <c r="J12" s="12">
        <f>SUMIF(Mercado_Receita!$S$2:$S$332,"44348BGeraçãoNão se aplicaNão se aplicaTIPO 01Não se aplicaNão se aplica",Mercado_Receita!$J$2:$J$332)+SUMIF(Mercado_Receita!$S$2:$S$332,"44348BGeraçãoNão se aplicaNão se aplicaAPENão se aplicaNão se aplica",Mercado_Receita!$J$2:$J$332)</f>
        <v>0</v>
      </c>
      <c r="K12" s="12">
        <f>SUMIF(Mercado_Receita!$S$2:$S$332,"44378BGeraçãoNão se aplicaNão se aplicaTIPO 01Não se aplicaNão se aplica",Mercado_Receita!$J$2:$J$332)+SUMIF(Mercado_Receita!$S$2:$S$332,"44378BGeraçãoNão se aplicaNão se aplicaAPENão se aplicaNão se aplica",Mercado_Receita!$J$2:$J$332)</f>
        <v>0</v>
      </c>
      <c r="L12" s="12">
        <f>SUMIF(Mercado_Receita!$S$2:$S$332,"44409BGeraçãoNão se aplicaNão se aplicaTIPO 01Não se aplicaNão se aplica",Mercado_Receita!$J$2:$J$332)+SUMIF(Mercado_Receita!$S$2:$S$332,"44409BGeraçãoNão se aplicaNão se aplicaAPENão se aplicaNão se aplica",Mercado_Receita!$J$2:$J$332)</f>
        <v>0</v>
      </c>
      <c r="M12" s="12">
        <f>SUMIF(Mercado_Receita!$S$2:$S$332,"44440BGeraçãoNão se aplicaNão se aplicaTIPO 01Não se aplicaNão se aplica",Mercado_Receita!$J$2:$J$332)+SUMIF(Mercado_Receita!$S$2:$S$332,"44440BGeraçãoNão se aplicaNão se aplicaAPENão se aplicaNão se aplica",Mercado_Receita!$J$2:$J$332)</f>
        <v>0</v>
      </c>
      <c r="N12" s="12">
        <f>SUMIF(Mercado_Receita!$S$2:$S$332,"44470BGeraçãoNão se aplicaNão se aplicaTIPO 01Não se aplicaNão se aplica",Mercado_Receita!$J$2:$J$332)+SUMIF(Mercado_Receita!$S$2:$S$332,"44470BGeraçãoNão se aplicaNão se aplicaAPENão se aplicaNão se aplica",Mercado_Receita!$J$2:$J$332)</f>
        <v>0</v>
      </c>
      <c r="O12" s="12">
        <f>SUMIF(Mercado_Receita!$S$2:$S$332,"44501BGeraçãoNão se aplicaNão se aplicaTIPO 01Não se aplicaNão se aplica",Mercado_Receita!$J$2:$J$332)+SUMIF(Mercado_Receita!$S$2:$S$332,"44501BGeraçãoNão se aplicaNão se aplicaAPENão se aplicaNão se aplica",Mercado_Receita!$J$2:$J$332)</f>
        <v>0</v>
      </c>
      <c r="P12" s="12">
        <f>SUMIF(Mercado_Receita!$S$2:$S$332,"44531BGeraçãoNão se aplicaNão se aplicaTIPO 01Não se aplicaNão se aplica",Mercado_Receita!$J$2:$J$332)+SUMIF(Mercado_Receita!$S$2:$S$332,"44531BGeraçãoNão se aplicaNão se aplicaAPENão se aplicaNão se aplica",Mercado_Receita!$J$2:$J$332)</f>
        <v>0</v>
      </c>
      <c r="Q12" s="12">
        <f>SUMIF(Mercado_Receita!$S$2:$S$332,"44562BGeraçãoNão se aplicaNão se aplicaTIPO 01Não se aplicaNão se aplica",Mercado_Receita!$J$2:$J$332)+SUMIF(Mercado_Receita!$S$2:$S$332,"44562BGeraçãoNão se aplicaNão se aplicaAPENão se aplicaNão se aplica",Mercado_Receita!$J$2:$J$332)</f>
        <v>0</v>
      </c>
      <c r="R12" s="12">
        <f>SUMIF(Mercado_Receita!$S$2:$S$332,"44593BGeraçãoNão se aplicaNão se aplicaTIPO 01Não se aplicaNão se aplica",Mercado_Receita!$J$2:$J$332)+SUMIF(Mercado_Receita!$S$2:$S$332,"44593BGeraçãoNão se aplicaNão se aplicaAPENão se aplicaNão se aplica",Mercado_Receita!$J$2:$J$332)</f>
        <v>0</v>
      </c>
      <c r="S12" s="12">
        <f>SUMIF(Mercado_Receita!$S$2:$S$332,"44621BGeraçãoNão se aplicaNão se aplicaTIPO 01Não se aplicaNão se aplica",Mercado_Receita!$J$2:$J$332)+SUMIF(Mercado_Receita!$S$2:$S$332,"44621BGeraçãoNão se aplicaNão se aplicaAPENão se aplicaNão se aplica",Mercado_Receita!$J$2:$J$332)</f>
        <v>0</v>
      </c>
      <c r="T12" s="12">
        <f>SUMIF(Mercado_Receita!$S$2:$S$332,"44652BGeraçãoNão se aplicaNão se aplicaTIPO 01Não se aplicaNão se aplica",Mercado_Receita!$J$2:$J$332)+SUMIF(Mercado_Receita!$S$2:$S$332,"44652BGeraçãoNão se aplicaNão se aplicaAPENão se aplicaNão se aplica",Mercado_Receita!$J$2:$J$332)</f>
        <v>0</v>
      </c>
      <c r="U12" s="12">
        <f t="shared" si="0"/>
        <v>0</v>
      </c>
      <c r="V12" s="12"/>
      <c r="W12" s="12"/>
    </row>
    <row r="13" spans="1:30" ht="11.25" customHeight="1" x14ac:dyDescent="0.25">
      <c r="A13" s="114"/>
      <c r="B13" s="114"/>
      <c r="C13" s="114"/>
      <c r="D13" s="114"/>
      <c r="E13" s="13" t="s">
        <v>82</v>
      </c>
      <c r="F13" s="13" t="s">
        <v>25</v>
      </c>
      <c r="G13" s="12" t="s">
        <v>9</v>
      </c>
      <c r="H13" s="12" t="s">
        <v>75</v>
      </c>
      <c r="I13" s="12">
        <f>SUMIF(Mercado_Receita!$S$2:$S$332,"44317BGeraçãoNão se aplicaNão se aplicaTIPO 02Não se aplicaNão se aplica",Mercado_Receita!$J$2:$J$332)+SUMIF(Mercado_Receita!$S$2:$S$332,"44317BGeraçãoNão se aplicaNão se aplicaAPENão se aplicaNão se aplica",Mercado_Receita!$J$2:$J$332)</f>
        <v>0</v>
      </c>
      <c r="J13" s="12">
        <f>SUMIF(Mercado_Receita!$S$2:$S$332,"44348BGeraçãoNão se aplicaNão se aplicaTIPO 02Não se aplicaNão se aplica",Mercado_Receita!$J$2:$J$332)+SUMIF(Mercado_Receita!$S$2:$S$332,"44348BGeraçãoNão se aplicaNão se aplicaAPENão se aplicaNão se aplica",Mercado_Receita!$J$2:$J$332)</f>
        <v>0</v>
      </c>
      <c r="K13" s="12">
        <f>SUMIF(Mercado_Receita!$S$2:$S$332,"44378BGeraçãoNão se aplicaNão se aplicaTIPO 02Não se aplicaNão se aplica",Mercado_Receita!$J$2:$J$332)+SUMIF(Mercado_Receita!$S$2:$S$332,"44378BGeraçãoNão se aplicaNão se aplicaAPENão se aplicaNão se aplica",Mercado_Receita!$J$2:$J$332)</f>
        <v>0</v>
      </c>
      <c r="L13" s="12">
        <f>SUMIF(Mercado_Receita!$S$2:$S$332,"44409BGeraçãoNão se aplicaNão se aplicaTIPO 02Não se aplicaNão se aplica",Mercado_Receita!$J$2:$J$332)+SUMIF(Mercado_Receita!$S$2:$S$332,"44409BGeraçãoNão se aplicaNão se aplicaAPENão se aplicaNão se aplica",Mercado_Receita!$J$2:$J$332)</f>
        <v>0</v>
      </c>
      <c r="M13" s="12">
        <f>SUMIF(Mercado_Receita!$S$2:$S$332,"44440BGeraçãoNão se aplicaNão se aplicaTIPO 02Não se aplicaNão se aplica",Mercado_Receita!$J$2:$J$332)+SUMIF(Mercado_Receita!$S$2:$S$332,"44440BGeraçãoNão se aplicaNão se aplicaAPENão se aplicaNão se aplica",Mercado_Receita!$J$2:$J$332)</f>
        <v>0</v>
      </c>
      <c r="N13" s="12">
        <f>SUMIF(Mercado_Receita!$S$2:$S$332,"44470BGeraçãoNão se aplicaNão se aplicaTIPO 02Não se aplicaNão se aplica",Mercado_Receita!$J$2:$J$332)+SUMIF(Mercado_Receita!$S$2:$S$332,"44470BGeraçãoNão se aplicaNão se aplicaAPENão se aplicaNão se aplica",Mercado_Receita!$J$2:$J$332)</f>
        <v>0</v>
      </c>
      <c r="O13" s="12">
        <f>SUMIF(Mercado_Receita!$S$2:$S$332,"44501BGeraçãoNão se aplicaNão se aplicaTIPO 02Não se aplicaNão se aplica",Mercado_Receita!$J$2:$J$332)+SUMIF(Mercado_Receita!$S$2:$S$332,"44501BGeraçãoNão se aplicaNão se aplicaAPENão se aplicaNão se aplica",Mercado_Receita!$J$2:$J$332)</f>
        <v>0</v>
      </c>
      <c r="P13" s="12">
        <f>SUMIF(Mercado_Receita!$S$2:$S$332,"44531BGeraçãoNão se aplicaNão se aplicaTIPO 02Não se aplicaNão se aplica",Mercado_Receita!$J$2:$J$332)+SUMIF(Mercado_Receita!$S$2:$S$332,"44531BGeraçãoNão se aplicaNão se aplicaAPENão se aplicaNão se aplica",Mercado_Receita!$J$2:$J$332)</f>
        <v>0</v>
      </c>
      <c r="Q13" s="12">
        <f>SUMIF(Mercado_Receita!$S$2:$S$332,"44562BGeraçãoNão se aplicaNão se aplicaTIPO 02Não se aplicaNão se aplica",Mercado_Receita!$J$2:$J$332)+SUMIF(Mercado_Receita!$S$2:$S$332,"44562BGeraçãoNão se aplicaNão se aplicaAPENão se aplicaNão se aplica",Mercado_Receita!$J$2:$J$332)</f>
        <v>0</v>
      </c>
      <c r="R13" s="12">
        <f>SUMIF(Mercado_Receita!$S$2:$S$332,"44593BGeraçãoNão se aplicaNão se aplicaTIPO 02Não se aplicaNão se aplica",Mercado_Receita!$J$2:$J$332)+SUMIF(Mercado_Receita!$S$2:$S$332,"44593BGeraçãoNão se aplicaNão se aplicaAPENão se aplicaNão se aplica",Mercado_Receita!$J$2:$J$332)</f>
        <v>0</v>
      </c>
      <c r="S13" s="12">
        <f>SUMIF(Mercado_Receita!$S$2:$S$332,"44621BGeraçãoNão se aplicaNão se aplicaTIPO 02Não se aplicaNão se aplica",Mercado_Receita!$J$2:$J$332)+SUMIF(Mercado_Receita!$S$2:$S$332,"44621BGeraçãoNão se aplicaNão se aplicaAPENão se aplicaNão se aplica",Mercado_Receita!$J$2:$J$332)</f>
        <v>0</v>
      </c>
      <c r="T13" s="12">
        <f>SUMIF(Mercado_Receita!$S$2:$S$332,"44652BGeraçãoNão se aplicaNão se aplicaTIPO 02Não se aplicaNão se aplica",Mercado_Receita!$J$2:$J$332)+SUMIF(Mercado_Receita!$S$2:$S$332,"44652BGeraçãoNão se aplicaNão se aplicaAPENão se aplicaNão se aplica",Mercado_Receita!$J$2:$J$332)</f>
        <v>0</v>
      </c>
      <c r="U13" s="12">
        <f t="shared" si="0"/>
        <v>0</v>
      </c>
      <c r="V13" s="12"/>
      <c r="W13" s="12"/>
    </row>
    <row r="14" spans="1:30" ht="11.25" customHeight="1" x14ac:dyDescent="0.25">
      <c r="A14" s="113" t="s">
        <v>22</v>
      </c>
      <c r="B14" s="113" t="s">
        <v>39</v>
      </c>
      <c r="C14" s="113" t="s">
        <v>24</v>
      </c>
      <c r="D14" s="113" t="s">
        <v>24</v>
      </c>
      <c r="E14" s="113" t="s">
        <v>25</v>
      </c>
      <c r="F14" s="113" t="s">
        <v>25</v>
      </c>
      <c r="G14" s="12" t="s">
        <v>70</v>
      </c>
      <c r="H14" s="12" t="s">
        <v>69</v>
      </c>
      <c r="I14" s="12">
        <f>SUMIF(Mercado_Receita!$S$2:$S$332,"44317B1BrancaResidencialResidencialNão se aplicaNão se aplicaPonta",Mercado_Receita!$L$2:$L$332)</f>
        <v>0</v>
      </c>
      <c r="J14" s="12">
        <f>SUMIF(Mercado_Receita!$S$2:$S$332,"44348B1BrancaResidencialResidencialNão se aplicaNão se aplicaPonta",Mercado_Receita!$L$2:$L$332)</f>
        <v>0</v>
      </c>
      <c r="K14" s="12">
        <f>SUMIF(Mercado_Receita!$S$2:$S$332,"44378B1BrancaResidencialResidencialNão se aplicaNão se aplicaPonta",Mercado_Receita!$L$2:$L$332)</f>
        <v>0</v>
      </c>
      <c r="L14" s="12">
        <f>SUMIF(Mercado_Receita!$S$2:$S$332,"44409B1BrancaResidencialResidencialNão se aplicaNão se aplicaPonta",Mercado_Receita!$L$2:$L$332)</f>
        <v>0</v>
      </c>
      <c r="M14" s="12">
        <f>SUMIF(Mercado_Receita!$S$2:$S$332,"44440B1BrancaResidencialResidencialNão se aplicaNão se aplicaPonta",Mercado_Receita!$L$2:$L$332)</f>
        <v>0</v>
      </c>
      <c r="N14" s="12">
        <f>SUMIF(Mercado_Receita!$S$2:$S$332,"44470B1BrancaResidencialResidencialNão se aplicaNão se aplicaPonta",Mercado_Receita!$L$2:$L$332)</f>
        <v>0</v>
      </c>
      <c r="O14" s="12">
        <f>SUMIF(Mercado_Receita!$S$2:$S$332,"44501B1BrancaResidencialResidencialNão se aplicaNão se aplicaPonta",Mercado_Receita!$L$2:$L$332)</f>
        <v>0</v>
      </c>
      <c r="P14" s="12">
        <f>SUMIF(Mercado_Receita!$S$2:$S$332,"44531B1BrancaResidencialResidencialNão se aplicaNão se aplicaPonta",Mercado_Receita!$L$2:$L$332)</f>
        <v>0</v>
      </c>
      <c r="Q14" s="12">
        <f>SUMIF(Mercado_Receita!$S$2:$S$332,"44562B1BrancaResidencialResidencialNão se aplicaNão se aplicaPonta",Mercado_Receita!$L$2:$L$332)</f>
        <v>0</v>
      </c>
      <c r="R14" s="12">
        <f>SUMIF(Mercado_Receita!$S$2:$S$332,"44593B1BrancaResidencialResidencialNão se aplicaNão se aplicaPonta",Mercado_Receita!$L$2:$L$332)</f>
        <v>0</v>
      </c>
      <c r="S14" s="12">
        <f>SUMIF(Mercado_Receita!$S$2:$S$332,"44621B1BrancaResidencialResidencialNão se aplicaNão se aplicaPonta",Mercado_Receita!$L$2:$L$332)</f>
        <v>0</v>
      </c>
      <c r="T14" s="12">
        <f>SUMIF(Mercado_Receita!$S$2:$S$332,"44652B1BrancaResidencialResidencialNão se aplicaNão se aplicaPonta",Mercado_Receita!$L$2:$L$332)</f>
        <v>0</v>
      </c>
      <c r="U14" s="12">
        <f t="shared" si="0"/>
        <v>0</v>
      </c>
      <c r="V14" s="12"/>
      <c r="W14" s="12"/>
    </row>
    <row r="15" spans="1:30" ht="11.25" customHeight="1" x14ac:dyDescent="0.25">
      <c r="A15" s="114"/>
      <c r="B15" s="114"/>
      <c r="C15" s="114"/>
      <c r="D15" s="114"/>
      <c r="E15" s="114"/>
      <c r="F15" s="114"/>
      <c r="G15" s="12" t="s">
        <v>83</v>
      </c>
      <c r="H15" s="12" t="s">
        <v>69</v>
      </c>
      <c r="I15" s="12">
        <f>SUMIF(Mercado_Receita!$S$2:$S$332,"44317B1BrancaResidencialResidencialNão se aplicaNão se aplicaIntermediário",Mercado_Receita!$L$2:$L$332)</f>
        <v>0</v>
      </c>
      <c r="J15" s="12">
        <f>SUMIF(Mercado_Receita!$S$2:$S$332,"44348B1BrancaResidencialResidencialNão se aplicaNão se aplicaIntermediário",Mercado_Receita!$L$2:$L$332)</f>
        <v>0</v>
      </c>
      <c r="K15" s="12">
        <f>SUMIF(Mercado_Receita!$S$2:$S$332,"44378B1BrancaResidencialResidencialNão se aplicaNão se aplicaIntermediário",Mercado_Receita!$L$2:$L$332)</f>
        <v>0</v>
      </c>
      <c r="L15" s="12">
        <f>SUMIF(Mercado_Receita!$S$2:$S$332,"44409B1BrancaResidencialResidencialNão se aplicaNão se aplicaIntermediário",Mercado_Receita!$L$2:$L$332)</f>
        <v>0</v>
      </c>
      <c r="M15" s="12">
        <f>SUMIF(Mercado_Receita!$S$2:$S$332,"44440B1BrancaResidencialResidencialNão se aplicaNão se aplicaIntermediário",Mercado_Receita!$L$2:$L$332)</f>
        <v>0</v>
      </c>
      <c r="N15" s="12">
        <f>SUMIF(Mercado_Receita!$S$2:$S$332,"44470B1BrancaResidencialResidencialNão se aplicaNão se aplicaIntermediário",Mercado_Receita!$L$2:$L$332)</f>
        <v>0</v>
      </c>
      <c r="O15" s="12">
        <f>SUMIF(Mercado_Receita!$S$2:$S$332,"44501B1BrancaResidencialResidencialNão se aplicaNão se aplicaIntermediário",Mercado_Receita!$L$2:$L$332)</f>
        <v>0</v>
      </c>
      <c r="P15" s="12">
        <f>SUMIF(Mercado_Receita!$S$2:$S$332,"44531B1BrancaResidencialResidencialNão se aplicaNão se aplicaIntermediário",Mercado_Receita!$L$2:$L$332)</f>
        <v>1E-3</v>
      </c>
      <c r="Q15" s="12">
        <f>SUMIF(Mercado_Receita!$S$2:$S$332,"44562B1BrancaResidencialResidencialNão se aplicaNão se aplicaIntermediário",Mercado_Receita!$L$2:$L$332)</f>
        <v>0</v>
      </c>
      <c r="R15" s="12">
        <f>SUMIF(Mercado_Receita!$S$2:$S$332,"44593B1BrancaResidencialResidencialNão se aplicaNão se aplicaIntermediário",Mercado_Receita!$L$2:$L$332)</f>
        <v>2E-3</v>
      </c>
      <c r="S15" s="12">
        <f>SUMIF(Mercado_Receita!$S$2:$S$332,"44621B1BrancaResidencialResidencialNão se aplicaNão se aplicaIntermediário",Mercado_Receita!$L$2:$L$332)</f>
        <v>2E-3</v>
      </c>
      <c r="T15" s="12">
        <f>SUMIF(Mercado_Receita!$S$2:$S$332,"44652B1BrancaResidencialResidencialNão se aplicaNão se aplicaIntermediário",Mercado_Receita!$L$2:$L$332)</f>
        <v>0</v>
      </c>
      <c r="U15" s="12">
        <f t="shared" si="0"/>
        <v>5.0000000000000001E-3</v>
      </c>
      <c r="V15" s="12"/>
      <c r="W15" s="12"/>
    </row>
    <row r="16" spans="1:30" ht="11.25" customHeight="1" x14ac:dyDescent="0.25">
      <c r="A16" s="114"/>
      <c r="B16" s="114"/>
      <c r="C16" s="114"/>
      <c r="D16" s="114"/>
      <c r="E16" s="114"/>
      <c r="F16" s="114"/>
      <c r="G16" s="12" t="s">
        <v>71</v>
      </c>
      <c r="H16" s="12" t="s">
        <v>69</v>
      </c>
      <c r="I16" s="12">
        <f>SUMIF(Mercado_Receita!$S$2:$S$332,"44317B1BrancaResidencialResidencialNão se aplicaNão se aplicaFora ponta",Mercado_Receita!$L$2:$L$332)</f>
        <v>0</v>
      </c>
      <c r="J16" s="12">
        <f>SUMIF(Mercado_Receita!$S$2:$S$332,"44348B1BrancaResidencialResidencialNão se aplicaNão se aplicaFora ponta",Mercado_Receita!$L$2:$L$332)</f>
        <v>0</v>
      </c>
      <c r="K16" s="12">
        <f>SUMIF(Mercado_Receita!$S$2:$S$332,"44378B1BrancaResidencialResidencialNão se aplicaNão se aplicaFora ponta",Mercado_Receita!$L$2:$L$332)</f>
        <v>0</v>
      </c>
      <c r="L16" s="12">
        <f>SUMIF(Mercado_Receita!$S$2:$S$332,"44409B1BrancaResidencialResidencialNão se aplicaNão se aplicaFora ponta",Mercado_Receita!$L$2:$L$332)</f>
        <v>0</v>
      </c>
      <c r="M16" s="12">
        <f>SUMIF(Mercado_Receita!$S$2:$S$332,"44440B1BrancaResidencialResidencialNão se aplicaNão se aplicaFora ponta",Mercado_Receita!$L$2:$L$332)</f>
        <v>0</v>
      </c>
      <c r="N16" s="12">
        <f>SUMIF(Mercado_Receita!$S$2:$S$332,"44470B1BrancaResidencialResidencialNão se aplicaNão se aplicaFora ponta",Mercado_Receita!$L$2:$L$332)</f>
        <v>0</v>
      </c>
      <c r="O16" s="12">
        <f>SUMIF(Mercado_Receita!$S$2:$S$332,"44501B1BrancaResidencialResidencialNão se aplicaNão se aplicaFora ponta",Mercado_Receita!$L$2:$L$332)</f>
        <v>0</v>
      </c>
      <c r="P16" s="12">
        <f>SUMIF(Mercado_Receita!$S$2:$S$332,"44531B1BrancaResidencialResidencialNão se aplicaNão se aplicaFora ponta",Mercado_Receita!$L$2:$L$332)</f>
        <v>0.25600000000000001</v>
      </c>
      <c r="Q16" s="12">
        <f>SUMIF(Mercado_Receita!$S$2:$S$332,"44562B1BrancaResidencialResidencialNão se aplicaNão se aplicaFora ponta",Mercado_Receita!$L$2:$L$332)</f>
        <v>0.186</v>
      </c>
      <c r="R16" s="12">
        <f>SUMIF(Mercado_Receita!$S$2:$S$332,"44593B1BrancaResidencialResidencialNão se aplicaNão se aplicaFora ponta",Mercado_Receita!$L$2:$L$332)</f>
        <v>0.20100000000000001</v>
      </c>
      <c r="S16" s="12">
        <f>SUMIF(Mercado_Receita!$S$2:$S$332,"44621B1BrancaResidencialResidencialNão se aplicaNão se aplicaFora ponta",Mercado_Receita!$L$2:$L$332)</f>
        <v>0.191</v>
      </c>
      <c r="T16" s="12">
        <f>SUMIF(Mercado_Receita!$S$2:$S$332,"44652B1BrancaResidencialResidencialNão se aplicaNão se aplicaFora ponta",Mercado_Receita!$L$2:$L$332)</f>
        <v>0.13200000000000001</v>
      </c>
      <c r="U16" s="12">
        <f t="shared" si="0"/>
        <v>0.96600000000000008</v>
      </c>
      <c r="V16" s="12"/>
      <c r="W16" s="12"/>
    </row>
    <row r="17" spans="1:23" ht="11.25" customHeight="1" x14ac:dyDescent="0.25">
      <c r="A17" s="114"/>
      <c r="B17" s="113" t="s">
        <v>23</v>
      </c>
      <c r="C17" s="113" t="s">
        <v>24</v>
      </c>
      <c r="D17" s="13" t="s">
        <v>24</v>
      </c>
      <c r="E17" s="13" t="s">
        <v>25</v>
      </c>
      <c r="F17" s="13" t="s">
        <v>25</v>
      </c>
      <c r="G17" s="12" t="s">
        <v>73</v>
      </c>
      <c r="H17" s="12" t="s">
        <v>69</v>
      </c>
      <c r="I17" s="12">
        <f>SUMIF(Mercado_Receita!$S$2:$S$332,"44317B1ConvencionalResidencialResidencialNão se aplicaNão se aplicaPonta",Mercado_Receita!$L$2:$L$332)+SUMIF(Mercado_Receita!$S$2:$S$332,"44317B1ConvencionalResidencialResidencialNão se aplicaNão se aplicaFora ponta",Mercado_Receita!$L$2:$L$332)+SUMIF(Mercado_Receita!$S$2:$S$332,"44317B1ConvencionalResidencialResidencialNão se aplicaNão se aplicaIntermediário",Mercado_Receita!$L$2:$L$332)+SUMIF(Mercado_Receita!$S$2:$S$332,"44317B1ConvencionalResidencialResidencialNão se aplicaNão se aplicaNão se aplica",Mercado_Receita!$L$2:$L$332)</f>
        <v>212.55599999999998</v>
      </c>
      <c r="J17" s="12">
        <f>SUMIF(Mercado_Receita!$S$2:$S$332,"44348B1ConvencionalResidencialResidencialNão se aplicaNão se aplicaPonta",Mercado_Receita!$L$2:$L$332)+SUMIF(Mercado_Receita!$S$2:$S$332,"44348B1ConvencionalResidencialResidencialNão se aplicaNão se aplicaFora ponta",Mercado_Receita!$L$2:$L$332)+SUMIF(Mercado_Receita!$S$2:$S$332,"44348B1ConvencionalResidencialResidencialNão se aplicaNão se aplicaIntermediário",Mercado_Receita!$L$2:$L$332)+SUMIF(Mercado_Receita!$S$2:$S$332,"44348B1ConvencionalResidencialResidencialNão se aplicaNão se aplicaNão se aplica",Mercado_Receita!$L$2:$L$332)</f>
        <v>200.982</v>
      </c>
      <c r="K17" s="12">
        <f>SUMIF(Mercado_Receita!$S$2:$S$332,"44378B1ConvencionalResidencialResidencialNão se aplicaNão se aplicaPonta",Mercado_Receita!$L$2:$L$332)+SUMIF(Mercado_Receita!$S$2:$S$332,"44378B1ConvencionalResidencialResidencialNão se aplicaNão se aplicaFora ponta",Mercado_Receita!$L$2:$L$332)+SUMIF(Mercado_Receita!$S$2:$S$332,"44378B1ConvencionalResidencialResidencialNão se aplicaNão se aplicaIntermediário",Mercado_Receita!$L$2:$L$332)+SUMIF(Mercado_Receita!$S$2:$S$332,"44378B1ConvencionalResidencialResidencialNão se aplicaNão se aplicaNão se aplica",Mercado_Receita!$L$2:$L$332)</f>
        <v>194.24800000000002</v>
      </c>
      <c r="L17" s="12">
        <f>SUMIF(Mercado_Receita!$S$2:$S$332,"44409B1ConvencionalResidencialResidencialNão se aplicaNão se aplicaPonta",Mercado_Receita!$L$2:$L$332)+SUMIF(Mercado_Receita!$S$2:$S$332,"44409B1ConvencionalResidencialResidencialNão se aplicaNão se aplicaFora ponta",Mercado_Receita!$L$2:$L$332)+SUMIF(Mercado_Receita!$S$2:$S$332,"44409B1ConvencionalResidencialResidencialNão se aplicaNão se aplicaIntermediário",Mercado_Receita!$L$2:$L$332)+SUMIF(Mercado_Receita!$S$2:$S$332,"44409B1ConvencionalResidencialResidencialNão se aplicaNão se aplicaNão se aplica",Mercado_Receita!$L$2:$L$332)</f>
        <v>197.952</v>
      </c>
      <c r="M17" s="12">
        <f>SUMIF(Mercado_Receita!$S$2:$S$332,"44440B1ConvencionalResidencialResidencialNão se aplicaNão se aplicaPonta",Mercado_Receita!$L$2:$L$332)+SUMIF(Mercado_Receita!$S$2:$S$332,"44440B1ConvencionalResidencialResidencialNão se aplicaNão se aplicaFora ponta",Mercado_Receita!$L$2:$L$332)+SUMIF(Mercado_Receita!$S$2:$S$332,"44440B1ConvencionalResidencialResidencialNão se aplicaNão se aplicaIntermediário",Mercado_Receita!$L$2:$L$332)+SUMIF(Mercado_Receita!$S$2:$S$332,"44440B1ConvencionalResidencialResidencialNão se aplicaNão se aplicaNão se aplica",Mercado_Receita!$L$2:$L$332)</f>
        <v>202.071</v>
      </c>
      <c r="N17" s="12">
        <f>SUMIF(Mercado_Receita!$S$2:$S$332,"44470B1ConvencionalResidencialResidencialNão se aplicaNão se aplicaPonta",Mercado_Receita!$L$2:$L$332)+SUMIF(Mercado_Receita!$S$2:$S$332,"44470B1ConvencionalResidencialResidencialNão se aplicaNão se aplicaFora ponta",Mercado_Receita!$L$2:$L$332)+SUMIF(Mercado_Receita!$S$2:$S$332,"44470B1ConvencionalResidencialResidencialNão se aplicaNão se aplicaIntermediário",Mercado_Receita!$L$2:$L$332)+SUMIF(Mercado_Receita!$S$2:$S$332,"44470B1ConvencionalResidencialResidencialNão se aplicaNão se aplicaNão se aplica",Mercado_Receita!$L$2:$L$332)</f>
        <v>201.32000000000002</v>
      </c>
      <c r="O17" s="12">
        <f>SUMIF(Mercado_Receita!$S$2:$S$332,"44501B1ConvencionalResidencialResidencialNão se aplicaNão se aplicaPonta",Mercado_Receita!$L$2:$L$332)+SUMIF(Mercado_Receita!$S$2:$S$332,"44501B1ConvencionalResidencialResidencialNão se aplicaNão se aplicaFora ponta",Mercado_Receita!$L$2:$L$332)+SUMIF(Mercado_Receita!$S$2:$S$332,"44501B1ConvencionalResidencialResidencialNão se aplicaNão se aplicaIntermediário",Mercado_Receita!$L$2:$L$332)+SUMIF(Mercado_Receita!$S$2:$S$332,"44501B1ConvencionalResidencialResidencialNão se aplicaNão se aplicaNão se aplica",Mercado_Receita!$L$2:$L$332)</f>
        <v>235.80500000000001</v>
      </c>
      <c r="P17" s="12">
        <f>SUMIF(Mercado_Receita!$S$2:$S$332,"44531B1ConvencionalResidencialResidencialNão se aplicaNão se aplicaPonta",Mercado_Receita!$L$2:$L$332)+SUMIF(Mercado_Receita!$S$2:$S$332,"44531B1ConvencionalResidencialResidencialNão se aplicaNão se aplicaFora ponta",Mercado_Receita!$L$2:$L$332)+SUMIF(Mercado_Receita!$S$2:$S$332,"44531B1ConvencionalResidencialResidencialNão se aplicaNão se aplicaIntermediário",Mercado_Receita!$L$2:$L$332)+SUMIF(Mercado_Receita!$S$2:$S$332,"44531B1ConvencionalResidencialResidencialNão se aplicaNão se aplicaNão se aplica",Mercado_Receita!$L$2:$L$332)</f>
        <v>222.726</v>
      </c>
      <c r="Q17" s="12">
        <f>SUMIF(Mercado_Receita!$S$2:$S$332,"44562B1ConvencionalResidencialResidencialNão se aplicaNão se aplicaPonta",Mercado_Receita!$L$2:$L$332)+SUMIF(Mercado_Receita!$S$2:$S$332,"44562B1ConvencionalResidencialResidencialNão se aplicaNão se aplicaFora ponta",Mercado_Receita!$L$2:$L$332)+SUMIF(Mercado_Receita!$S$2:$S$332,"44562B1ConvencionalResidencialResidencialNão se aplicaNão se aplicaIntermediário",Mercado_Receita!$L$2:$L$332)+SUMIF(Mercado_Receita!$S$2:$S$332,"44562B1ConvencionalResidencialResidencialNão se aplicaNão se aplicaNão se aplica",Mercado_Receita!$L$2:$L$332)</f>
        <v>221.636</v>
      </c>
      <c r="R17" s="12">
        <f>SUMIF(Mercado_Receita!$S$2:$S$332,"44593B1ConvencionalResidencialResidencialNão se aplicaNão se aplicaPonta",Mercado_Receita!$L$2:$L$332)+SUMIF(Mercado_Receita!$S$2:$S$332,"44593B1ConvencionalResidencialResidencialNão se aplicaNão se aplicaFora ponta",Mercado_Receita!$L$2:$L$332)+SUMIF(Mercado_Receita!$S$2:$S$332,"44593B1ConvencionalResidencialResidencialNão se aplicaNão se aplicaIntermediário",Mercado_Receita!$L$2:$L$332)+SUMIF(Mercado_Receita!$S$2:$S$332,"44593B1ConvencionalResidencialResidencialNão se aplicaNão se aplicaNão se aplica",Mercado_Receita!$L$2:$L$332)</f>
        <v>206.01499999999999</v>
      </c>
      <c r="S17" s="12">
        <f>SUMIF(Mercado_Receita!$S$2:$S$332,"44621B1ConvencionalResidencialResidencialNão se aplicaNão se aplicaPonta",Mercado_Receita!$L$2:$L$332)+SUMIF(Mercado_Receita!$S$2:$S$332,"44621B1ConvencionalResidencialResidencialNão se aplicaNão se aplicaFora ponta",Mercado_Receita!$L$2:$L$332)+SUMIF(Mercado_Receita!$S$2:$S$332,"44621B1ConvencionalResidencialResidencialNão se aplicaNão se aplicaIntermediário",Mercado_Receita!$L$2:$L$332)+SUMIF(Mercado_Receita!$S$2:$S$332,"44621B1ConvencionalResidencialResidencialNão se aplicaNão se aplicaNão se aplica",Mercado_Receita!$L$2:$L$332)</f>
        <v>217.31900000000002</v>
      </c>
      <c r="T17" s="12">
        <f>SUMIF(Mercado_Receita!$S$2:$S$332,"44652B1ConvencionalResidencialResidencialNão se aplicaNão se aplicaPonta",Mercado_Receita!$L$2:$L$332)+SUMIF(Mercado_Receita!$S$2:$S$332,"44652B1ConvencionalResidencialResidencialNão se aplicaNão se aplicaFora ponta",Mercado_Receita!$L$2:$L$332)+SUMIF(Mercado_Receita!$S$2:$S$332,"44652B1ConvencionalResidencialResidencialNão se aplicaNão se aplicaIntermediário",Mercado_Receita!$L$2:$L$332)+SUMIF(Mercado_Receita!$S$2:$S$332,"44652B1ConvencionalResidencialResidencialNão se aplicaNão se aplicaNão se aplica",Mercado_Receita!$L$2:$L$332)</f>
        <v>208.04100000000003</v>
      </c>
      <c r="U17" s="12">
        <f t="shared" si="0"/>
        <v>2520.6710000000003</v>
      </c>
      <c r="V17" s="12"/>
      <c r="W17" s="12"/>
    </row>
    <row r="18" spans="1:23" ht="11.25" customHeight="1" x14ac:dyDescent="0.25">
      <c r="A18" s="114"/>
      <c r="B18" s="114"/>
      <c r="C18" s="114"/>
      <c r="D18" s="13" t="s">
        <v>28</v>
      </c>
      <c r="E18" s="13" t="s">
        <v>25</v>
      </c>
      <c r="F18" s="13" t="s">
        <v>25</v>
      </c>
      <c r="G18" s="12" t="s">
        <v>73</v>
      </c>
      <c r="H18" s="12" t="s">
        <v>69</v>
      </c>
      <c r="I18" s="12">
        <f>SUMIF(Mercado_Receita!$S$2:$S$332,"44317B1ConvencionalResidencialResidencial baixa renda – faixa 01Não se aplicaNão se aplicaPonta",Mercado_Receita!$L$2:$L$332)+SUMIF(Mercado_Receita!$S$2:$S$332,"44317B1ConvencionalResidencialResidencial baixa renda – faixa 01Não se aplicaNão se aplicaFora ponta",Mercado_Receita!$L$2:$L$332)+SUMIF(Mercado_Receita!$S$2:$S$332,"44317B1ConvencionalResidencialResidencial baixa renda – faixa 01Não se aplicaNão se aplicaIntermediário",Mercado_Receita!$L$2:$L$332)+SUMIF(Mercado_Receita!$S$2:$S$332,"44317B1ConvencionalResidencialResidencial baixa renda – faixa 01Não se aplicaNão se aplicaNão se aplica",Mercado_Receita!$L$2:$L$332)</f>
        <v>59.46</v>
      </c>
      <c r="J18" s="12">
        <f>SUMIF(Mercado_Receita!$S$2:$S$332,"44348B1ConvencionalResidencialResidencial baixa renda – faixa 01Não se aplicaNão se aplicaPonta",Mercado_Receita!$L$2:$L$332)+SUMIF(Mercado_Receita!$S$2:$S$332,"44348B1ConvencionalResidencialResidencial baixa renda – faixa 01Não se aplicaNão se aplicaFora ponta",Mercado_Receita!$L$2:$L$332)+SUMIF(Mercado_Receita!$S$2:$S$332,"44348B1ConvencionalResidencialResidencial baixa renda – faixa 01Não se aplicaNão se aplicaIntermediário",Mercado_Receita!$L$2:$L$332)+SUMIF(Mercado_Receita!$S$2:$S$332,"44348B1ConvencionalResidencialResidencial baixa renda – faixa 01Não se aplicaNão se aplicaNão se aplica",Mercado_Receita!$L$2:$L$332)</f>
        <v>59.97</v>
      </c>
      <c r="K18" s="12">
        <f>SUMIF(Mercado_Receita!$S$2:$S$332,"44378B1ConvencionalResidencialResidencial baixa renda – faixa 01Não se aplicaNão se aplicaPonta",Mercado_Receita!$L$2:$L$332)+SUMIF(Mercado_Receita!$S$2:$S$332,"44378B1ConvencionalResidencialResidencial baixa renda – faixa 01Não se aplicaNão se aplicaFora ponta",Mercado_Receita!$L$2:$L$332)+SUMIF(Mercado_Receita!$S$2:$S$332,"44378B1ConvencionalResidencialResidencial baixa renda – faixa 01Não se aplicaNão se aplicaIntermediário",Mercado_Receita!$L$2:$L$332)+SUMIF(Mercado_Receita!$S$2:$S$332,"44378B1ConvencionalResidencialResidencial baixa renda – faixa 01Não se aplicaNão se aplicaNão se aplica",Mercado_Receita!$L$2:$L$332)</f>
        <v>60.3</v>
      </c>
      <c r="L18" s="12">
        <f>SUMIF(Mercado_Receita!$S$2:$S$332,"44409B1ConvencionalResidencialResidencial baixa renda – faixa 01Não se aplicaNão se aplicaPonta",Mercado_Receita!$L$2:$L$332)+SUMIF(Mercado_Receita!$S$2:$S$332,"44409B1ConvencionalResidencialResidencial baixa renda – faixa 01Não se aplicaNão se aplicaFora ponta",Mercado_Receita!$L$2:$L$332)+SUMIF(Mercado_Receita!$S$2:$S$332,"44409B1ConvencionalResidencialResidencial baixa renda – faixa 01Não se aplicaNão se aplicaIntermediário",Mercado_Receita!$L$2:$L$332)+SUMIF(Mercado_Receita!$S$2:$S$332,"44409B1ConvencionalResidencialResidencial baixa renda – faixa 01Não se aplicaNão se aplicaNão se aplica",Mercado_Receita!$L$2:$L$332)</f>
        <v>60.9</v>
      </c>
      <c r="M18" s="12">
        <f>SUMIF(Mercado_Receita!$S$2:$S$332,"44440B1ConvencionalResidencialResidencial baixa renda – faixa 01Não se aplicaNão se aplicaPonta",Mercado_Receita!$L$2:$L$332)+SUMIF(Mercado_Receita!$S$2:$S$332,"44440B1ConvencionalResidencialResidencial baixa renda – faixa 01Não se aplicaNão se aplicaFora ponta",Mercado_Receita!$L$2:$L$332)+SUMIF(Mercado_Receita!$S$2:$S$332,"44440B1ConvencionalResidencialResidencial baixa renda – faixa 01Não se aplicaNão se aplicaIntermediário",Mercado_Receita!$L$2:$L$332)+SUMIF(Mercado_Receita!$S$2:$S$332,"44440B1ConvencionalResidencialResidencial baixa renda – faixa 01Não se aplicaNão se aplicaNão se aplica",Mercado_Receita!$L$2:$L$332)</f>
        <v>61.23</v>
      </c>
      <c r="N18" s="12">
        <f>SUMIF(Mercado_Receita!$S$2:$S$332,"44470B1ConvencionalResidencialResidencial baixa renda – faixa 01Não se aplicaNão se aplicaPonta",Mercado_Receita!$L$2:$L$332)+SUMIF(Mercado_Receita!$S$2:$S$332,"44470B1ConvencionalResidencialResidencial baixa renda – faixa 01Não se aplicaNão se aplicaFora ponta",Mercado_Receita!$L$2:$L$332)+SUMIF(Mercado_Receita!$S$2:$S$332,"44470B1ConvencionalResidencialResidencial baixa renda – faixa 01Não se aplicaNão se aplicaIntermediário",Mercado_Receita!$L$2:$L$332)+SUMIF(Mercado_Receita!$S$2:$S$332,"44470B1ConvencionalResidencialResidencial baixa renda – faixa 01Não se aplicaNão se aplicaNão se aplica",Mercado_Receita!$L$2:$L$332)</f>
        <v>61.98</v>
      </c>
      <c r="O18" s="12">
        <f>SUMIF(Mercado_Receita!$S$2:$S$332,"44501B1ConvencionalResidencialResidencial baixa renda – faixa 01Não se aplicaNão se aplicaPonta",Mercado_Receita!$L$2:$L$332)+SUMIF(Mercado_Receita!$S$2:$S$332,"44501B1ConvencionalResidencialResidencial baixa renda – faixa 01Não se aplicaNão se aplicaFora ponta",Mercado_Receita!$L$2:$L$332)+SUMIF(Mercado_Receita!$S$2:$S$332,"44501B1ConvencionalResidencialResidencial baixa renda – faixa 01Não se aplicaNão se aplicaIntermediário",Mercado_Receita!$L$2:$L$332)+SUMIF(Mercado_Receita!$S$2:$S$332,"44501B1ConvencionalResidencialResidencial baixa renda – faixa 01Não se aplicaNão se aplicaNão se aplica",Mercado_Receita!$L$2:$L$332)</f>
        <v>62.91</v>
      </c>
      <c r="P18" s="12">
        <f>SUMIF(Mercado_Receita!$S$2:$S$332,"44531B1ConvencionalResidencialResidencial baixa renda – faixa 01Não se aplicaNão se aplicaPonta",Mercado_Receita!$L$2:$L$332)+SUMIF(Mercado_Receita!$S$2:$S$332,"44531B1ConvencionalResidencialResidencial baixa renda – faixa 01Não se aplicaNão se aplicaFora ponta",Mercado_Receita!$L$2:$L$332)+SUMIF(Mercado_Receita!$S$2:$S$332,"44531B1ConvencionalResidencialResidencial baixa renda – faixa 01Não se aplicaNão se aplicaIntermediário",Mercado_Receita!$L$2:$L$332)+SUMIF(Mercado_Receita!$S$2:$S$332,"44531B1ConvencionalResidencialResidencial baixa renda – faixa 01Não se aplicaNão se aplicaNão se aplica",Mercado_Receita!$L$2:$L$332)</f>
        <v>64.77</v>
      </c>
      <c r="Q18" s="12">
        <f>SUMIF(Mercado_Receita!$S$2:$S$332,"44562B1ConvencionalResidencialResidencial baixa renda – faixa 01Não se aplicaNão se aplicaPonta",Mercado_Receita!$L$2:$L$332)+SUMIF(Mercado_Receita!$S$2:$S$332,"44562B1ConvencionalResidencialResidencial baixa renda – faixa 01Não se aplicaNão se aplicaFora ponta",Mercado_Receita!$L$2:$L$332)+SUMIF(Mercado_Receita!$S$2:$S$332,"44562B1ConvencionalResidencialResidencial baixa renda – faixa 01Não se aplicaNão se aplicaIntermediário",Mercado_Receita!$L$2:$L$332)+SUMIF(Mercado_Receita!$S$2:$S$332,"44562B1ConvencionalResidencialResidencial baixa renda – faixa 01Não se aplicaNão se aplicaNão se aplica",Mercado_Receita!$L$2:$L$332)</f>
        <v>64.92</v>
      </c>
      <c r="R18" s="12">
        <f>SUMIF(Mercado_Receita!$S$2:$S$332,"44593B1ConvencionalResidencialResidencial baixa renda – faixa 01Não se aplicaNão se aplicaPonta",Mercado_Receita!$L$2:$L$332)+SUMIF(Mercado_Receita!$S$2:$S$332,"44593B1ConvencionalResidencialResidencial baixa renda – faixa 01Não se aplicaNão se aplicaFora ponta",Mercado_Receita!$L$2:$L$332)+SUMIF(Mercado_Receita!$S$2:$S$332,"44593B1ConvencionalResidencialResidencial baixa renda – faixa 01Não se aplicaNão se aplicaIntermediário",Mercado_Receita!$L$2:$L$332)+SUMIF(Mercado_Receita!$S$2:$S$332,"44593B1ConvencionalResidencialResidencial baixa renda – faixa 01Não se aplicaNão se aplicaNão se aplica",Mercado_Receita!$L$2:$L$332)</f>
        <v>73.319999999999993</v>
      </c>
      <c r="S18" s="12">
        <f>SUMIF(Mercado_Receita!$S$2:$S$332,"44621B1ConvencionalResidencialResidencial baixa renda – faixa 01Não se aplicaNão se aplicaPonta",Mercado_Receita!$L$2:$L$332)+SUMIF(Mercado_Receita!$S$2:$S$332,"44621B1ConvencionalResidencialResidencial baixa renda – faixa 01Não se aplicaNão se aplicaFora ponta",Mercado_Receita!$L$2:$L$332)+SUMIF(Mercado_Receita!$S$2:$S$332,"44621B1ConvencionalResidencialResidencial baixa renda – faixa 01Não se aplicaNão se aplicaIntermediário",Mercado_Receita!$L$2:$L$332)+SUMIF(Mercado_Receita!$S$2:$S$332,"44621B1ConvencionalResidencialResidencial baixa renda – faixa 01Não se aplicaNão se aplicaNão se aplica",Mercado_Receita!$L$2:$L$332)</f>
        <v>75.36</v>
      </c>
      <c r="T18" s="12">
        <f>SUMIF(Mercado_Receita!$S$2:$S$332,"44652B1ConvencionalResidencialResidencial baixa renda – faixa 01Não se aplicaNão se aplicaPonta",Mercado_Receita!$L$2:$L$332)+SUMIF(Mercado_Receita!$S$2:$S$332,"44652B1ConvencionalResidencialResidencial baixa renda – faixa 01Não se aplicaNão se aplicaFora ponta",Mercado_Receita!$L$2:$L$332)+SUMIF(Mercado_Receita!$S$2:$S$332,"44652B1ConvencionalResidencialResidencial baixa renda – faixa 01Não se aplicaNão se aplicaIntermediário",Mercado_Receita!$L$2:$L$332)+SUMIF(Mercado_Receita!$S$2:$S$332,"44652B1ConvencionalResidencialResidencial baixa renda – faixa 01Não se aplicaNão se aplicaNão se aplica",Mercado_Receita!$L$2:$L$332)</f>
        <v>77.040000000000006</v>
      </c>
      <c r="U18" s="12">
        <f t="shared" si="0"/>
        <v>782.16</v>
      </c>
      <c r="V18" s="12"/>
      <c r="W18" s="12"/>
    </row>
    <row r="19" spans="1:23" ht="11.25" customHeight="1" x14ac:dyDescent="0.25">
      <c r="A19" s="114"/>
      <c r="B19" s="114"/>
      <c r="C19" s="114"/>
      <c r="D19" s="13" t="s">
        <v>29</v>
      </c>
      <c r="E19" s="13" t="s">
        <v>25</v>
      </c>
      <c r="F19" s="13" t="s">
        <v>25</v>
      </c>
      <c r="G19" s="12" t="s">
        <v>73</v>
      </c>
      <c r="H19" s="12" t="s">
        <v>69</v>
      </c>
      <c r="I19" s="12">
        <f>SUMIF(Mercado_Receita!$S$2:$S$332,"44317B1ConvencionalResidencialResidencial baixa renda – faixa 02Não se aplicaNão se aplicaPonta",Mercado_Receita!$L$2:$L$332)+SUMIF(Mercado_Receita!$S$2:$S$332,"44317B1ConvencionalResidencialResidencial baixa renda – faixa 02Não se aplicaNão se aplicaFora ponta",Mercado_Receita!$L$2:$L$332)+SUMIF(Mercado_Receita!$S$2:$S$332,"44317B1ConvencionalResidencialResidencial baixa renda – faixa 02Não se aplicaNão se aplicaIntermediário",Mercado_Receita!$L$2:$L$332)+SUMIF(Mercado_Receita!$S$2:$S$332,"44317B1ConvencionalResidencialResidencial baixa renda – faixa 02Não se aplicaNão se aplicaNão se aplica",Mercado_Receita!$L$2:$L$332)</f>
        <v>94.608000000000004</v>
      </c>
      <c r="J19" s="12">
        <f>SUMIF(Mercado_Receita!$S$2:$S$332,"44348B1ConvencionalResidencialResidencial baixa renda – faixa 02Não se aplicaNão se aplicaPonta",Mercado_Receita!$L$2:$L$332)+SUMIF(Mercado_Receita!$S$2:$S$332,"44348B1ConvencionalResidencialResidencial baixa renda – faixa 02Não se aplicaNão se aplicaFora ponta",Mercado_Receita!$L$2:$L$332)+SUMIF(Mercado_Receita!$S$2:$S$332,"44348B1ConvencionalResidencialResidencial baixa renda – faixa 02Não se aplicaNão se aplicaIntermediário",Mercado_Receita!$L$2:$L$332)+SUMIF(Mercado_Receita!$S$2:$S$332,"44348B1ConvencionalResidencialResidencial baixa renda – faixa 02Não se aplicaNão se aplicaNão se aplica",Mercado_Receita!$L$2:$L$332)</f>
        <v>89.388000000000005</v>
      </c>
      <c r="K19" s="12">
        <f>SUMIF(Mercado_Receita!$S$2:$S$332,"44378B1ConvencionalResidencialResidencial baixa renda – faixa 02Não se aplicaNão se aplicaPonta",Mercado_Receita!$L$2:$L$332)+SUMIF(Mercado_Receita!$S$2:$S$332,"44378B1ConvencionalResidencialResidencial baixa renda – faixa 02Não se aplicaNão se aplicaFora ponta",Mercado_Receita!$L$2:$L$332)+SUMIF(Mercado_Receita!$S$2:$S$332,"44378B1ConvencionalResidencialResidencial baixa renda – faixa 02Não se aplicaNão se aplicaIntermediário",Mercado_Receita!$L$2:$L$332)+SUMIF(Mercado_Receita!$S$2:$S$332,"44378B1ConvencionalResidencialResidencial baixa renda – faixa 02Não se aplicaNão se aplicaNão se aplica",Mercado_Receita!$L$2:$L$332)</f>
        <v>87.186000000000007</v>
      </c>
      <c r="L19" s="12">
        <f>SUMIF(Mercado_Receita!$S$2:$S$332,"44409B1ConvencionalResidencialResidencial baixa renda – faixa 02Não se aplicaNão se aplicaPonta",Mercado_Receita!$L$2:$L$332)+SUMIF(Mercado_Receita!$S$2:$S$332,"44409B1ConvencionalResidencialResidencial baixa renda – faixa 02Não se aplicaNão se aplicaFora ponta",Mercado_Receita!$L$2:$L$332)+SUMIF(Mercado_Receita!$S$2:$S$332,"44409B1ConvencionalResidencialResidencial baixa renda – faixa 02Não se aplicaNão se aplicaIntermediário",Mercado_Receita!$L$2:$L$332)+SUMIF(Mercado_Receita!$S$2:$S$332,"44409B1ConvencionalResidencialResidencial baixa renda – faixa 02Não se aplicaNão se aplicaNão se aplica",Mercado_Receita!$L$2:$L$332)</f>
        <v>88.462999999999994</v>
      </c>
      <c r="M19" s="12">
        <f>SUMIF(Mercado_Receita!$S$2:$S$332,"44440B1ConvencionalResidencialResidencial baixa renda – faixa 02Não se aplicaNão se aplicaPonta",Mercado_Receita!$L$2:$L$332)+SUMIF(Mercado_Receita!$S$2:$S$332,"44440B1ConvencionalResidencialResidencial baixa renda – faixa 02Não se aplicaNão se aplicaFora ponta",Mercado_Receita!$L$2:$L$332)+SUMIF(Mercado_Receita!$S$2:$S$332,"44440B1ConvencionalResidencialResidencial baixa renda – faixa 02Não se aplicaNão se aplicaIntermediário",Mercado_Receita!$L$2:$L$332)+SUMIF(Mercado_Receita!$S$2:$S$332,"44440B1ConvencionalResidencialResidencial baixa renda – faixa 02Não se aplicaNão se aplicaNão se aplica",Mercado_Receita!$L$2:$L$332)</f>
        <v>91.117999999999995</v>
      </c>
      <c r="N19" s="12">
        <f>SUMIF(Mercado_Receita!$S$2:$S$332,"44470B1ConvencionalResidencialResidencial baixa renda – faixa 02Não se aplicaNão se aplicaPonta",Mercado_Receita!$L$2:$L$332)+SUMIF(Mercado_Receita!$S$2:$S$332,"44470B1ConvencionalResidencialResidencial baixa renda – faixa 02Não se aplicaNão se aplicaFora ponta",Mercado_Receita!$L$2:$L$332)+SUMIF(Mercado_Receita!$S$2:$S$332,"44470B1ConvencionalResidencialResidencial baixa renda – faixa 02Não se aplicaNão se aplicaIntermediário",Mercado_Receita!$L$2:$L$332)+SUMIF(Mercado_Receita!$S$2:$S$332,"44470B1ConvencionalResidencialResidencial baixa renda – faixa 02Não se aplicaNão se aplicaNão se aplica",Mercado_Receita!$L$2:$L$332)</f>
        <v>92.147999999999996</v>
      </c>
      <c r="O19" s="12">
        <f>SUMIF(Mercado_Receita!$S$2:$S$332,"44501B1ConvencionalResidencialResidencial baixa renda – faixa 02Não se aplicaNão se aplicaPonta",Mercado_Receita!$L$2:$L$332)+SUMIF(Mercado_Receita!$S$2:$S$332,"44501B1ConvencionalResidencialResidencial baixa renda – faixa 02Não se aplicaNão se aplicaFora ponta",Mercado_Receita!$L$2:$L$332)+SUMIF(Mercado_Receita!$S$2:$S$332,"44501B1ConvencionalResidencialResidencial baixa renda – faixa 02Não se aplicaNão se aplicaIntermediário",Mercado_Receita!$L$2:$L$332)+SUMIF(Mercado_Receita!$S$2:$S$332,"44501B1ConvencionalResidencialResidencial baixa renda – faixa 02Não se aplicaNão se aplicaNão se aplica",Mercado_Receita!$L$2:$L$332)</f>
        <v>108.404</v>
      </c>
      <c r="P19" s="12">
        <f>SUMIF(Mercado_Receita!$S$2:$S$332,"44531B1ConvencionalResidencialResidencial baixa renda – faixa 02Não se aplicaNão se aplicaPonta",Mercado_Receita!$L$2:$L$332)+SUMIF(Mercado_Receita!$S$2:$S$332,"44531B1ConvencionalResidencialResidencial baixa renda – faixa 02Não se aplicaNão se aplicaFora ponta",Mercado_Receita!$L$2:$L$332)+SUMIF(Mercado_Receita!$S$2:$S$332,"44531B1ConvencionalResidencialResidencial baixa renda – faixa 02Não se aplicaNão se aplicaIntermediário",Mercado_Receita!$L$2:$L$332)+SUMIF(Mercado_Receita!$S$2:$S$332,"44531B1ConvencionalResidencialResidencial baixa renda – faixa 02Não se aplicaNão se aplicaNão se aplica",Mercado_Receita!$L$2:$L$332)</f>
        <v>105.19199999999999</v>
      </c>
      <c r="Q19" s="12">
        <f>SUMIF(Mercado_Receita!$S$2:$S$332,"44562B1ConvencionalResidencialResidencial baixa renda – faixa 02Não se aplicaNão se aplicaPonta",Mercado_Receita!$L$2:$L$332)+SUMIF(Mercado_Receita!$S$2:$S$332,"44562B1ConvencionalResidencialResidencial baixa renda – faixa 02Não se aplicaNão se aplicaFora ponta",Mercado_Receita!$L$2:$L$332)+SUMIF(Mercado_Receita!$S$2:$S$332,"44562B1ConvencionalResidencialResidencial baixa renda – faixa 02Não se aplicaNão se aplicaIntermediário",Mercado_Receita!$L$2:$L$332)+SUMIF(Mercado_Receita!$S$2:$S$332,"44562B1ConvencionalResidencialResidencial baixa renda – faixa 02Não se aplicaNão se aplicaNão se aplica",Mercado_Receita!$L$2:$L$332)</f>
        <v>102.47799999999999</v>
      </c>
      <c r="R19" s="12">
        <f>SUMIF(Mercado_Receita!$S$2:$S$332,"44593B1ConvencionalResidencialResidencial baixa renda – faixa 02Não se aplicaNão se aplicaPonta",Mercado_Receita!$L$2:$L$332)+SUMIF(Mercado_Receita!$S$2:$S$332,"44593B1ConvencionalResidencialResidencial baixa renda – faixa 02Não se aplicaNão se aplicaFora ponta",Mercado_Receita!$L$2:$L$332)+SUMIF(Mercado_Receita!$S$2:$S$332,"44593B1ConvencionalResidencialResidencial baixa renda – faixa 02Não se aplicaNão se aplicaIntermediário",Mercado_Receita!$L$2:$L$332)+SUMIF(Mercado_Receita!$S$2:$S$332,"44593B1ConvencionalResidencialResidencial baixa renda – faixa 02Não se aplicaNão se aplicaNão se aplica",Mercado_Receita!$L$2:$L$332)</f>
        <v>109.57299999999999</v>
      </c>
      <c r="S19" s="12">
        <f>SUMIF(Mercado_Receita!$S$2:$S$332,"44621B1ConvencionalResidencialResidencial baixa renda – faixa 02Não se aplicaNão se aplicaPonta",Mercado_Receita!$L$2:$L$332)+SUMIF(Mercado_Receita!$S$2:$S$332,"44621B1ConvencionalResidencialResidencial baixa renda – faixa 02Não se aplicaNão se aplicaFora ponta",Mercado_Receita!$L$2:$L$332)+SUMIF(Mercado_Receita!$S$2:$S$332,"44621B1ConvencionalResidencialResidencial baixa renda – faixa 02Não se aplicaNão se aplicaIntermediário",Mercado_Receita!$L$2:$L$332)+SUMIF(Mercado_Receita!$S$2:$S$332,"44621B1ConvencionalResidencialResidencial baixa renda – faixa 02Não se aplicaNão se aplicaNão se aplica",Mercado_Receita!$L$2:$L$332)</f>
        <v>122.306</v>
      </c>
      <c r="T19" s="12">
        <f>SUMIF(Mercado_Receita!$S$2:$S$332,"44652B1ConvencionalResidencialResidencial baixa renda – faixa 02Não se aplicaNão se aplicaPonta",Mercado_Receita!$L$2:$L$332)+SUMIF(Mercado_Receita!$S$2:$S$332,"44652B1ConvencionalResidencialResidencial baixa renda – faixa 02Não se aplicaNão se aplicaFora ponta",Mercado_Receita!$L$2:$L$332)+SUMIF(Mercado_Receita!$S$2:$S$332,"44652B1ConvencionalResidencialResidencial baixa renda – faixa 02Não se aplicaNão se aplicaIntermediário",Mercado_Receita!$L$2:$L$332)+SUMIF(Mercado_Receita!$S$2:$S$332,"44652B1ConvencionalResidencialResidencial baixa renda – faixa 02Não se aplicaNão se aplicaNão se aplica",Mercado_Receita!$L$2:$L$332)</f>
        <v>123.492</v>
      </c>
      <c r="U19" s="12">
        <f t="shared" si="0"/>
        <v>1214.3559999999998</v>
      </c>
      <c r="V19" s="12"/>
      <c r="W19" s="12"/>
    </row>
    <row r="20" spans="1:23" ht="11.25" customHeight="1" x14ac:dyDescent="0.25">
      <c r="A20" s="114"/>
      <c r="B20" s="114"/>
      <c r="C20" s="114"/>
      <c r="D20" s="13" t="s">
        <v>30</v>
      </c>
      <c r="E20" s="13" t="s">
        <v>25</v>
      </c>
      <c r="F20" s="13" t="s">
        <v>25</v>
      </c>
      <c r="G20" s="12" t="s">
        <v>73</v>
      </c>
      <c r="H20" s="12" t="s">
        <v>69</v>
      </c>
      <c r="I20" s="12">
        <f>SUMIF(Mercado_Receita!$S$2:$S$332,"44317B1ConvencionalResidencialResidencial baixa renda – faixa 03Não se aplicaNão se aplicaPonta",Mercado_Receita!$L$2:$L$332)+SUMIF(Mercado_Receita!$S$2:$S$332,"44317B1ConvencionalResidencialResidencial baixa renda – faixa 03Não se aplicaNão se aplicaFora ponta",Mercado_Receita!$L$2:$L$332)+SUMIF(Mercado_Receita!$S$2:$S$332,"44317B1ConvencionalResidencialResidencial baixa renda – faixa 03Não se aplicaNão se aplicaIntermediário",Mercado_Receita!$L$2:$L$332)+SUMIF(Mercado_Receita!$S$2:$S$332,"44317B1ConvencionalResidencialResidencial baixa renda – faixa 03Não se aplicaNão se aplicaNão se aplica",Mercado_Receita!$L$2:$L$332)</f>
        <v>31.216000000000001</v>
      </c>
      <c r="J20" s="12">
        <f>SUMIF(Mercado_Receita!$S$2:$S$332,"44348B1ConvencionalResidencialResidencial baixa renda – faixa 03Não se aplicaNão se aplicaPonta",Mercado_Receita!$L$2:$L$332)+SUMIF(Mercado_Receita!$S$2:$S$332,"44348B1ConvencionalResidencialResidencial baixa renda – faixa 03Não se aplicaNão se aplicaFora ponta",Mercado_Receita!$L$2:$L$332)+SUMIF(Mercado_Receita!$S$2:$S$332,"44348B1ConvencionalResidencialResidencial baixa renda – faixa 03Não se aplicaNão se aplicaIntermediário",Mercado_Receita!$L$2:$L$332)+SUMIF(Mercado_Receita!$S$2:$S$332,"44348B1ConvencionalResidencialResidencial baixa renda – faixa 03Não se aplicaNão se aplicaNão se aplica",Mercado_Receita!$L$2:$L$332)</f>
        <v>25.992000000000001</v>
      </c>
      <c r="K20" s="12">
        <f>SUMIF(Mercado_Receita!$S$2:$S$332,"44378B1ConvencionalResidencialResidencial baixa renda – faixa 03Não se aplicaNão se aplicaPonta",Mercado_Receita!$L$2:$L$332)+SUMIF(Mercado_Receita!$S$2:$S$332,"44378B1ConvencionalResidencialResidencial baixa renda – faixa 03Não se aplicaNão se aplicaFora ponta",Mercado_Receita!$L$2:$L$332)+SUMIF(Mercado_Receita!$S$2:$S$332,"44378B1ConvencionalResidencialResidencial baixa renda – faixa 03Não se aplicaNão se aplicaIntermediário",Mercado_Receita!$L$2:$L$332)+SUMIF(Mercado_Receita!$S$2:$S$332,"44378B1ConvencionalResidencialResidencial baixa renda – faixa 03Não se aplicaNão se aplicaNão se aplica",Mercado_Receita!$L$2:$L$332)</f>
        <v>23.824999999999999</v>
      </c>
      <c r="L20" s="12">
        <f>SUMIF(Mercado_Receita!$S$2:$S$332,"44409B1ConvencionalResidencialResidencial baixa renda – faixa 03Não se aplicaNão se aplicaPonta",Mercado_Receita!$L$2:$L$332)+SUMIF(Mercado_Receita!$S$2:$S$332,"44409B1ConvencionalResidencialResidencial baixa renda – faixa 03Não se aplicaNão se aplicaFora ponta",Mercado_Receita!$L$2:$L$332)+SUMIF(Mercado_Receita!$S$2:$S$332,"44409B1ConvencionalResidencialResidencial baixa renda – faixa 03Não se aplicaNão se aplicaIntermediário",Mercado_Receita!$L$2:$L$332)+SUMIF(Mercado_Receita!$S$2:$S$332,"44409B1ConvencionalResidencialResidencial baixa renda – faixa 03Não se aplicaNão se aplicaNão se aplica",Mercado_Receita!$L$2:$L$332)</f>
        <v>23.878</v>
      </c>
      <c r="M20" s="12">
        <f>SUMIF(Mercado_Receita!$S$2:$S$332,"44440B1ConvencionalResidencialResidencial baixa renda – faixa 03Não se aplicaNão se aplicaPonta",Mercado_Receita!$L$2:$L$332)+SUMIF(Mercado_Receita!$S$2:$S$332,"44440B1ConvencionalResidencialResidencial baixa renda – faixa 03Não se aplicaNão se aplicaFora ponta",Mercado_Receita!$L$2:$L$332)+SUMIF(Mercado_Receita!$S$2:$S$332,"44440B1ConvencionalResidencialResidencial baixa renda – faixa 03Não se aplicaNão se aplicaIntermediário",Mercado_Receita!$L$2:$L$332)+SUMIF(Mercado_Receita!$S$2:$S$332,"44440B1ConvencionalResidencialResidencial baixa renda – faixa 03Não se aplicaNão se aplicaNão se aplica",Mercado_Receita!$L$2:$L$332)</f>
        <v>25.832999999999998</v>
      </c>
      <c r="N20" s="12">
        <f>SUMIF(Mercado_Receita!$S$2:$S$332,"44470B1ConvencionalResidencialResidencial baixa renda – faixa 03Não se aplicaNão se aplicaPonta",Mercado_Receita!$L$2:$L$332)+SUMIF(Mercado_Receita!$S$2:$S$332,"44470B1ConvencionalResidencialResidencial baixa renda – faixa 03Não se aplicaNão se aplicaFora ponta",Mercado_Receita!$L$2:$L$332)+SUMIF(Mercado_Receita!$S$2:$S$332,"44470B1ConvencionalResidencialResidencial baixa renda – faixa 03Não se aplicaNão se aplicaIntermediário",Mercado_Receita!$L$2:$L$332)+SUMIF(Mercado_Receita!$S$2:$S$332,"44470B1ConvencionalResidencialResidencial baixa renda – faixa 03Não se aplicaNão se aplicaNão se aplica",Mercado_Receita!$L$2:$L$332)</f>
        <v>26.504999999999999</v>
      </c>
      <c r="O20" s="12">
        <f>SUMIF(Mercado_Receita!$S$2:$S$332,"44501B1ConvencionalResidencialResidencial baixa renda – faixa 03Não se aplicaNão se aplicaPonta",Mercado_Receita!$L$2:$L$332)+SUMIF(Mercado_Receita!$S$2:$S$332,"44501B1ConvencionalResidencialResidencial baixa renda – faixa 03Não se aplicaNão se aplicaFora ponta",Mercado_Receita!$L$2:$L$332)+SUMIF(Mercado_Receita!$S$2:$S$332,"44501B1ConvencionalResidencialResidencial baixa renda – faixa 03Não se aplicaNão se aplicaIntermediário",Mercado_Receita!$L$2:$L$332)+SUMIF(Mercado_Receita!$S$2:$S$332,"44501B1ConvencionalResidencialResidencial baixa renda – faixa 03Não se aplicaNão se aplicaNão se aplica",Mercado_Receita!$L$2:$L$332)</f>
        <v>45.292999999999999</v>
      </c>
      <c r="P20" s="12">
        <f>SUMIF(Mercado_Receita!$S$2:$S$332,"44531B1ConvencionalResidencialResidencial baixa renda – faixa 03Não se aplicaNão se aplicaPonta",Mercado_Receita!$L$2:$L$332)+SUMIF(Mercado_Receita!$S$2:$S$332,"44531B1ConvencionalResidencialResidencial baixa renda – faixa 03Não se aplicaNão se aplicaFora ponta",Mercado_Receita!$L$2:$L$332)+SUMIF(Mercado_Receita!$S$2:$S$332,"44531B1ConvencionalResidencialResidencial baixa renda – faixa 03Não se aplicaNão se aplicaIntermediário",Mercado_Receita!$L$2:$L$332)+SUMIF(Mercado_Receita!$S$2:$S$332,"44531B1ConvencionalResidencialResidencial baixa renda – faixa 03Não se aplicaNão se aplicaNão se aplica",Mercado_Receita!$L$2:$L$332)</f>
        <v>38.020000000000003</v>
      </c>
      <c r="Q20" s="12">
        <f>SUMIF(Mercado_Receita!$S$2:$S$332,"44562B1ConvencionalResidencialResidencial baixa renda – faixa 03Não se aplicaNão se aplicaPonta",Mercado_Receita!$L$2:$L$332)+SUMIF(Mercado_Receita!$S$2:$S$332,"44562B1ConvencionalResidencialResidencial baixa renda – faixa 03Não se aplicaNão se aplicaFora ponta",Mercado_Receita!$L$2:$L$332)+SUMIF(Mercado_Receita!$S$2:$S$332,"44562B1ConvencionalResidencialResidencial baixa renda – faixa 03Não se aplicaNão se aplicaIntermediário",Mercado_Receita!$L$2:$L$332)+SUMIF(Mercado_Receita!$S$2:$S$332,"44562B1ConvencionalResidencialResidencial baixa renda – faixa 03Não se aplicaNão se aplicaNão se aplica",Mercado_Receita!$L$2:$L$332)</f>
        <v>35.238999999999997</v>
      </c>
      <c r="R20" s="12">
        <f>SUMIF(Mercado_Receita!$S$2:$S$332,"44593B1ConvencionalResidencialResidencial baixa renda – faixa 03Não se aplicaNão se aplicaPonta",Mercado_Receita!$L$2:$L$332)+SUMIF(Mercado_Receita!$S$2:$S$332,"44593B1ConvencionalResidencialResidencial baixa renda – faixa 03Não se aplicaNão se aplicaFora ponta",Mercado_Receita!$L$2:$L$332)+SUMIF(Mercado_Receita!$S$2:$S$332,"44593B1ConvencionalResidencialResidencial baixa renda – faixa 03Não se aplicaNão se aplicaIntermediário",Mercado_Receita!$L$2:$L$332)+SUMIF(Mercado_Receita!$S$2:$S$332,"44593B1ConvencionalResidencialResidencial baixa renda – faixa 03Não se aplicaNão se aplicaNão se aplica",Mercado_Receita!$L$2:$L$332)</f>
        <v>35.987000000000002</v>
      </c>
      <c r="S20" s="12">
        <f>SUMIF(Mercado_Receita!$S$2:$S$332,"44621B1ConvencionalResidencialResidencial baixa renda – faixa 03Não se aplicaNão se aplicaPonta",Mercado_Receita!$L$2:$L$332)+SUMIF(Mercado_Receita!$S$2:$S$332,"44621B1ConvencionalResidencialResidencial baixa renda – faixa 03Não se aplicaNão se aplicaFora ponta",Mercado_Receita!$L$2:$L$332)+SUMIF(Mercado_Receita!$S$2:$S$332,"44621B1ConvencionalResidencialResidencial baixa renda – faixa 03Não se aplicaNão se aplicaIntermediário",Mercado_Receita!$L$2:$L$332)+SUMIF(Mercado_Receita!$S$2:$S$332,"44621B1ConvencionalResidencialResidencial baixa renda – faixa 03Não se aplicaNão se aplicaNão se aplica",Mercado_Receita!$L$2:$L$332)</f>
        <v>46.878</v>
      </c>
      <c r="T20" s="12">
        <f>SUMIF(Mercado_Receita!$S$2:$S$332,"44652B1ConvencionalResidencialResidencial baixa renda – faixa 03Não se aplicaNão se aplicaPonta",Mercado_Receita!$L$2:$L$332)+SUMIF(Mercado_Receita!$S$2:$S$332,"44652B1ConvencionalResidencialResidencial baixa renda – faixa 03Não se aplicaNão se aplicaFora ponta",Mercado_Receita!$L$2:$L$332)+SUMIF(Mercado_Receita!$S$2:$S$332,"44652B1ConvencionalResidencialResidencial baixa renda – faixa 03Não se aplicaNão se aplicaIntermediário",Mercado_Receita!$L$2:$L$332)+SUMIF(Mercado_Receita!$S$2:$S$332,"44652B1ConvencionalResidencialResidencial baixa renda – faixa 03Não se aplicaNão se aplicaNão se aplica",Mercado_Receita!$L$2:$L$332)</f>
        <v>45.223999999999997</v>
      </c>
      <c r="U20" s="12">
        <f t="shared" si="0"/>
        <v>403.89</v>
      </c>
      <c r="V20" s="12"/>
      <c r="W20" s="12"/>
    </row>
    <row r="21" spans="1:23" ht="11.25" customHeight="1" x14ac:dyDescent="0.25">
      <c r="A21" s="114"/>
      <c r="B21" s="114"/>
      <c r="C21" s="114"/>
      <c r="D21" s="13" t="s">
        <v>31</v>
      </c>
      <c r="E21" s="13" t="s">
        <v>25</v>
      </c>
      <c r="F21" s="13" t="s">
        <v>25</v>
      </c>
      <c r="G21" s="12" t="s">
        <v>73</v>
      </c>
      <c r="H21" s="12" t="s">
        <v>69</v>
      </c>
      <c r="I21" s="12">
        <f>SUMIF(Mercado_Receita!$S$2:$S$332,"44317B1ConvencionalResidencialResidencial baixa renda – faixa 04Não se aplicaNão se aplicaPonta",Mercado_Receita!$L$2:$L$332)+SUMIF(Mercado_Receita!$S$2:$S$332,"44317B1ConvencionalResidencialResidencial baixa renda – faixa 04Não se aplicaNão se aplicaFora ponta",Mercado_Receita!$L$2:$L$332)+SUMIF(Mercado_Receita!$S$2:$S$332,"44317B1ConvencionalResidencialResidencial baixa renda – faixa 04Não se aplicaNão se aplicaIntermediário",Mercado_Receita!$L$2:$L$332)+SUMIF(Mercado_Receita!$S$2:$S$332,"44317B1ConvencionalResidencialResidencial baixa renda – faixa 04Não se aplicaNão se aplicaNão se aplica",Mercado_Receita!$L$2:$L$332)</f>
        <v>6.4710000000000001</v>
      </c>
      <c r="J21" s="12">
        <f>SUMIF(Mercado_Receita!$S$2:$S$332,"44348B1ConvencionalResidencialResidencial baixa renda – faixa 04Não se aplicaNão se aplicaPonta",Mercado_Receita!$L$2:$L$332)+SUMIF(Mercado_Receita!$S$2:$S$332,"44348B1ConvencionalResidencialResidencial baixa renda – faixa 04Não se aplicaNão se aplicaFora ponta",Mercado_Receita!$L$2:$L$332)+SUMIF(Mercado_Receita!$S$2:$S$332,"44348B1ConvencionalResidencialResidencial baixa renda – faixa 04Não se aplicaNão se aplicaIntermediário",Mercado_Receita!$L$2:$L$332)+SUMIF(Mercado_Receita!$S$2:$S$332,"44348B1ConvencionalResidencialResidencial baixa renda – faixa 04Não se aplicaNão se aplicaNão se aplica",Mercado_Receita!$L$2:$L$332)</f>
        <v>5.9880000000000004</v>
      </c>
      <c r="K21" s="12">
        <f>SUMIF(Mercado_Receita!$S$2:$S$332,"44378B1ConvencionalResidencialResidencial baixa renda – faixa 04Não se aplicaNão se aplicaPonta",Mercado_Receita!$L$2:$L$332)+SUMIF(Mercado_Receita!$S$2:$S$332,"44378B1ConvencionalResidencialResidencial baixa renda – faixa 04Não se aplicaNão se aplicaFora ponta",Mercado_Receita!$L$2:$L$332)+SUMIF(Mercado_Receita!$S$2:$S$332,"44378B1ConvencionalResidencialResidencial baixa renda – faixa 04Não se aplicaNão se aplicaIntermediário",Mercado_Receita!$L$2:$L$332)+SUMIF(Mercado_Receita!$S$2:$S$332,"44378B1ConvencionalResidencialResidencial baixa renda – faixa 04Não se aplicaNão se aplicaNão se aplica",Mercado_Receita!$L$2:$L$332)</f>
        <v>5.5570000000000004</v>
      </c>
      <c r="L21" s="12">
        <f>SUMIF(Mercado_Receita!$S$2:$S$332,"44409B1ConvencionalResidencialResidencial baixa renda – faixa 04Não se aplicaNão se aplicaPonta",Mercado_Receita!$L$2:$L$332)+SUMIF(Mercado_Receita!$S$2:$S$332,"44409B1ConvencionalResidencialResidencial baixa renda – faixa 04Não se aplicaNão se aplicaFora ponta",Mercado_Receita!$L$2:$L$332)+SUMIF(Mercado_Receita!$S$2:$S$332,"44409B1ConvencionalResidencialResidencial baixa renda – faixa 04Não se aplicaNão se aplicaIntermediário",Mercado_Receita!$L$2:$L$332)+SUMIF(Mercado_Receita!$S$2:$S$332,"44409B1ConvencionalResidencialResidencial baixa renda – faixa 04Não se aplicaNão se aplicaNão se aplica",Mercado_Receita!$L$2:$L$332)</f>
        <v>5.3540000000000001</v>
      </c>
      <c r="M21" s="12">
        <f>SUMIF(Mercado_Receita!$S$2:$S$332,"44440B1ConvencionalResidencialResidencial baixa renda – faixa 04Não se aplicaNão se aplicaPonta",Mercado_Receita!$L$2:$L$332)+SUMIF(Mercado_Receita!$S$2:$S$332,"44440B1ConvencionalResidencialResidencial baixa renda – faixa 04Não se aplicaNão se aplicaFora ponta",Mercado_Receita!$L$2:$L$332)+SUMIF(Mercado_Receita!$S$2:$S$332,"44440B1ConvencionalResidencialResidencial baixa renda – faixa 04Não se aplicaNão se aplicaIntermediário",Mercado_Receita!$L$2:$L$332)+SUMIF(Mercado_Receita!$S$2:$S$332,"44440B1ConvencionalResidencialResidencial baixa renda – faixa 04Não se aplicaNão se aplicaNão se aplica",Mercado_Receita!$L$2:$L$332)</f>
        <v>5.7149999999999999</v>
      </c>
      <c r="N21" s="12">
        <f>SUMIF(Mercado_Receita!$S$2:$S$332,"44470B1ConvencionalResidencialResidencial baixa renda – faixa 04Não se aplicaNão se aplicaPonta",Mercado_Receita!$L$2:$L$332)+SUMIF(Mercado_Receita!$S$2:$S$332,"44470B1ConvencionalResidencialResidencial baixa renda – faixa 04Não se aplicaNão se aplicaFora ponta",Mercado_Receita!$L$2:$L$332)+SUMIF(Mercado_Receita!$S$2:$S$332,"44470B1ConvencionalResidencialResidencial baixa renda – faixa 04Não se aplicaNão se aplicaIntermediário",Mercado_Receita!$L$2:$L$332)+SUMIF(Mercado_Receita!$S$2:$S$332,"44470B1ConvencionalResidencialResidencial baixa renda – faixa 04Não se aplicaNão se aplicaNão se aplica",Mercado_Receita!$L$2:$L$332)</f>
        <v>6.5549999999999997</v>
      </c>
      <c r="O21" s="12">
        <f>SUMIF(Mercado_Receita!$S$2:$S$332,"44501B1ConvencionalResidencialResidencial baixa renda – faixa 04Não se aplicaNão se aplicaPonta",Mercado_Receita!$L$2:$L$332)+SUMIF(Mercado_Receita!$S$2:$S$332,"44501B1ConvencionalResidencialResidencial baixa renda – faixa 04Não se aplicaNão se aplicaFora ponta",Mercado_Receita!$L$2:$L$332)+SUMIF(Mercado_Receita!$S$2:$S$332,"44501B1ConvencionalResidencialResidencial baixa renda – faixa 04Não se aplicaNão se aplicaIntermediário",Mercado_Receita!$L$2:$L$332)+SUMIF(Mercado_Receita!$S$2:$S$332,"44501B1ConvencionalResidencialResidencial baixa renda – faixa 04Não se aplicaNão se aplicaNão se aplica",Mercado_Receita!$L$2:$L$332)</f>
        <v>10.648999999999999</v>
      </c>
      <c r="P21" s="12">
        <f>SUMIF(Mercado_Receita!$S$2:$S$332,"44531B1ConvencionalResidencialResidencial baixa renda – faixa 04Não se aplicaNão se aplicaPonta",Mercado_Receita!$L$2:$L$332)+SUMIF(Mercado_Receita!$S$2:$S$332,"44531B1ConvencionalResidencialResidencial baixa renda – faixa 04Não se aplicaNão se aplicaFora ponta",Mercado_Receita!$L$2:$L$332)+SUMIF(Mercado_Receita!$S$2:$S$332,"44531B1ConvencionalResidencialResidencial baixa renda – faixa 04Não se aplicaNão se aplicaIntermediário",Mercado_Receita!$L$2:$L$332)+SUMIF(Mercado_Receita!$S$2:$S$332,"44531B1ConvencionalResidencialResidencial baixa renda – faixa 04Não se aplicaNão se aplicaNão se aplica",Mercado_Receita!$L$2:$L$332)</f>
        <v>8.0709999999999997</v>
      </c>
      <c r="Q21" s="12">
        <f>SUMIF(Mercado_Receita!$S$2:$S$332,"44562B1ConvencionalResidencialResidencial baixa renda – faixa 04Não se aplicaNão se aplicaPonta",Mercado_Receita!$L$2:$L$332)+SUMIF(Mercado_Receita!$S$2:$S$332,"44562B1ConvencionalResidencialResidencial baixa renda – faixa 04Não se aplicaNão se aplicaFora ponta",Mercado_Receita!$L$2:$L$332)+SUMIF(Mercado_Receita!$S$2:$S$332,"44562B1ConvencionalResidencialResidencial baixa renda – faixa 04Não se aplicaNão se aplicaIntermediário",Mercado_Receita!$L$2:$L$332)+SUMIF(Mercado_Receita!$S$2:$S$332,"44562B1ConvencionalResidencialResidencial baixa renda – faixa 04Não se aplicaNão se aplicaNão se aplica",Mercado_Receita!$L$2:$L$332)</f>
        <v>8.3030000000000008</v>
      </c>
      <c r="R21" s="12">
        <f>SUMIF(Mercado_Receita!$S$2:$S$332,"44593B1ConvencionalResidencialResidencial baixa renda – faixa 04Não se aplicaNão se aplicaPonta",Mercado_Receita!$L$2:$L$332)+SUMIF(Mercado_Receita!$S$2:$S$332,"44593B1ConvencionalResidencialResidencial baixa renda – faixa 04Não se aplicaNão se aplicaFora ponta",Mercado_Receita!$L$2:$L$332)+SUMIF(Mercado_Receita!$S$2:$S$332,"44593B1ConvencionalResidencialResidencial baixa renda – faixa 04Não se aplicaNão se aplicaIntermediário",Mercado_Receita!$L$2:$L$332)+SUMIF(Mercado_Receita!$S$2:$S$332,"44593B1ConvencionalResidencialResidencial baixa renda – faixa 04Não se aplicaNão se aplicaNão se aplica",Mercado_Receita!$L$2:$L$332)</f>
        <v>10.814</v>
      </c>
      <c r="S21" s="12">
        <f>SUMIF(Mercado_Receita!$S$2:$S$332,"44621B1ConvencionalResidencialResidencial baixa renda – faixa 04Não se aplicaNão se aplicaPonta",Mercado_Receita!$L$2:$L$332)+SUMIF(Mercado_Receita!$S$2:$S$332,"44621B1ConvencionalResidencialResidencial baixa renda – faixa 04Não se aplicaNão se aplicaFora ponta",Mercado_Receita!$L$2:$L$332)+SUMIF(Mercado_Receita!$S$2:$S$332,"44621B1ConvencionalResidencialResidencial baixa renda – faixa 04Não se aplicaNão se aplicaIntermediário",Mercado_Receita!$L$2:$L$332)+SUMIF(Mercado_Receita!$S$2:$S$332,"44621B1ConvencionalResidencialResidencial baixa renda – faixa 04Não se aplicaNão se aplicaNão se aplica",Mercado_Receita!$L$2:$L$332)</f>
        <v>16.321000000000002</v>
      </c>
      <c r="T21" s="12">
        <f>SUMIF(Mercado_Receita!$S$2:$S$332,"44652B1ConvencionalResidencialResidencial baixa renda – faixa 04Não se aplicaNão se aplicaPonta",Mercado_Receita!$L$2:$L$332)+SUMIF(Mercado_Receita!$S$2:$S$332,"44652B1ConvencionalResidencialResidencial baixa renda – faixa 04Não se aplicaNão se aplicaFora ponta",Mercado_Receita!$L$2:$L$332)+SUMIF(Mercado_Receita!$S$2:$S$332,"44652B1ConvencionalResidencialResidencial baixa renda – faixa 04Não se aplicaNão se aplicaIntermediário",Mercado_Receita!$L$2:$L$332)+SUMIF(Mercado_Receita!$S$2:$S$332,"44652B1ConvencionalResidencialResidencial baixa renda – faixa 04Não se aplicaNão se aplicaNão se aplica",Mercado_Receita!$L$2:$L$332)</f>
        <v>14.085000000000001</v>
      </c>
      <c r="U21" s="12">
        <f t="shared" si="0"/>
        <v>103.88300000000001</v>
      </c>
      <c r="V21" s="12"/>
      <c r="W21" s="12"/>
    </row>
    <row r="22" spans="1:23" ht="11.25" customHeight="1" x14ac:dyDescent="0.25">
      <c r="A22" s="114"/>
      <c r="B22" s="113" t="s">
        <v>85</v>
      </c>
      <c r="C22" s="113" t="s">
        <v>24</v>
      </c>
      <c r="D22" s="13" t="s">
        <v>24</v>
      </c>
      <c r="E22" s="13" t="s">
        <v>25</v>
      </c>
      <c r="F22" s="13" t="s">
        <v>25</v>
      </c>
      <c r="G22" s="12" t="s">
        <v>73</v>
      </c>
      <c r="H22" s="12" t="s">
        <v>69</v>
      </c>
      <c r="I22" s="12">
        <f>SUMIF(Mercado_Receita!$S$2:$S$332,"44317B1Convencional pré-pagamentoResidencialResidencialNão se aplicaNão se aplicaPonta",Mercado_Receita!$L$2:$L$332)+SUMIF(Mercado_Receita!$S$2:$S$332,"44317B1Convencional pré-pagamentoResidencialResidencialNão se aplicaNão se aplicaFora ponta",Mercado_Receita!$L$2:$L$332)+SUMIF(Mercado_Receita!$S$2:$S$332,"44317B1Convencional pré-pagamentoResidencialResidencialNão se aplicaNão se aplicaIntermediário",Mercado_Receita!$L$2:$L$332)+SUMIF(Mercado_Receita!$S$2:$S$332,"44317B1Convencional pré-pagamentoResidencialResidencialNão se aplicaNão se aplicaNão se aplica",Mercado_Receita!$L$2:$L$332)</f>
        <v>0</v>
      </c>
      <c r="J22" s="12">
        <f>SUMIF(Mercado_Receita!$S$2:$S$332,"44348B1Convencional pré-pagamentoResidencialResidencialNão se aplicaNão se aplicaPonta",Mercado_Receita!$L$2:$L$332)+SUMIF(Mercado_Receita!$S$2:$S$332,"44348B1Convencional pré-pagamentoResidencialResidencialNão se aplicaNão se aplicaFora ponta",Mercado_Receita!$L$2:$L$332)+SUMIF(Mercado_Receita!$S$2:$S$332,"44348B1Convencional pré-pagamentoResidencialResidencialNão se aplicaNão se aplicaIntermediário",Mercado_Receita!$L$2:$L$332)+SUMIF(Mercado_Receita!$S$2:$S$332,"44348B1Convencional pré-pagamentoResidencialResidencialNão se aplicaNão se aplicaNão se aplica",Mercado_Receita!$L$2:$L$332)</f>
        <v>0</v>
      </c>
      <c r="K22" s="12">
        <f>SUMIF(Mercado_Receita!$S$2:$S$332,"44378B1Convencional pré-pagamentoResidencialResidencialNão se aplicaNão se aplicaPonta",Mercado_Receita!$L$2:$L$332)+SUMIF(Mercado_Receita!$S$2:$S$332,"44378B1Convencional pré-pagamentoResidencialResidencialNão se aplicaNão se aplicaFora ponta",Mercado_Receita!$L$2:$L$332)+SUMIF(Mercado_Receita!$S$2:$S$332,"44378B1Convencional pré-pagamentoResidencialResidencialNão se aplicaNão se aplicaIntermediário",Mercado_Receita!$L$2:$L$332)+SUMIF(Mercado_Receita!$S$2:$S$332,"44378B1Convencional pré-pagamentoResidencialResidencialNão se aplicaNão se aplicaNão se aplica",Mercado_Receita!$L$2:$L$332)</f>
        <v>0</v>
      </c>
      <c r="L22" s="12">
        <f>SUMIF(Mercado_Receita!$S$2:$S$332,"44409B1Convencional pré-pagamentoResidencialResidencialNão se aplicaNão se aplicaPonta",Mercado_Receita!$L$2:$L$332)+SUMIF(Mercado_Receita!$S$2:$S$332,"44409B1Convencional pré-pagamentoResidencialResidencialNão se aplicaNão se aplicaFora ponta",Mercado_Receita!$L$2:$L$332)+SUMIF(Mercado_Receita!$S$2:$S$332,"44409B1Convencional pré-pagamentoResidencialResidencialNão se aplicaNão se aplicaIntermediário",Mercado_Receita!$L$2:$L$332)+SUMIF(Mercado_Receita!$S$2:$S$332,"44409B1Convencional pré-pagamentoResidencialResidencialNão se aplicaNão se aplicaNão se aplica",Mercado_Receita!$L$2:$L$332)</f>
        <v>0</v>
      </c>
      <c r="M22" s="12">
        <f>SUMIF(Mercado_Receita!$S$2:$S$332,"44440B1Convencional pré-pagamentoResidencialResidencialNão se aplicaNão se aplicaPonta",Mercado_Receita!$L$2:$L$332)+SUMIF(Mercado_Receita!$S$2:$S$332,"44440B1Convencional pré-pagamentoResidencialResidencialNão se aplicaNão se aplicaFora ponta",Mercado_Receita!$L$2:$L$332)+SUMIF(Mercado_Receita!$S$2:$S$332,"44440B1Convencional pré-pagamentoResidencialResidencialNão se aplicaNão se aplicaIntermediário",Mercado_Receita!$L$2:$L$332)+SUMIF(Mercado_Receita!$S$2:$S$332,"44440B1Convencional pré-pagamentoResidencialResidencialNão se aplicaNão se aplicaNão se aplica",Mercado_Receita!$L$2:$L$332)</f>
        <v>0</v>
      </c>
      <c r="N22" s="12">
        <f>SUMIF(Mercado_Receita!$S$2:$S$332,"44470B1Convencional pré-pagamentoResidencialResidencialNão se aplicaNão se aplicaPonta",Mercado_Receita!$L$2:$L$332)+SUMIF(Mercado_Receita!$S$2:$S$332,"44470B1Convencional pré-pagamentoResidencialResidencialNão se aplicaNão se aplicaFora ponta",Mercado_Receita!$L$2:$L$332)+SUMIF(Mercado_Receita!$S$2:$S$332,"44470B1Convencional pré-pagamentoResidencialResidencialNão se aplicaNão se aplicaIntermediário",Mercado_Receita!$L$2:$L$332)+SUMIF(Mercado_Receita!$S$2:$S$332,"44470B1Convencional pré-pagamentoResidencialResidencialNão se aplicaNão se aplicaNão se aplica",Mercado_Receita!$L$2:$L$332)</f>
        <v>0</v>
      </c>
      <c r="O22" s="12">
        <f>SUMIF(Mercado_Receita!$S$2:$S$332,"44501B1Convencional pré-pagamentoResidencialResidencialNão se aplicaNão se aplicaPonta",Mercado_Receita!$L$2:$L$332)+SUMIF(Mercado_Receita!$S$2:$S$332,"44501B1Convencional pré-pagamentoResidencialResidencialNão se aplicaNão se aplicaFora ponta",Mercado_Receita!$L$2:$L$332)+SUMIF(Mercado_Receita!$S$2:$S$332,"44501B1Convencional pré-pagamentoResidencialResidencialNão se aplicaNão se aplicaIntermediário",Mercado_Receita!$L$2:$L$332)+SUMIF(Mercado_Receita!$S$2:$S$332,"44501B1Convencional pré-pagamentoResidencialResidencialNão se aplicaNão se aplicaNão se aplica",Mercado_Receita!$L$2:$L$332)</f>
        <v>0</v>
      </c>
      <c r="P22" s="12">
        <f>SUMIF(Mercado_Receita!$S$2:$S$332,"44531B1Convencional pré-pagamentoResidencialResidencialNão se aplicaNão se aplicaPonta",Mercado_Receita!$L$2:$L$332)+SUMIF(Mercado_Receita!$S$2:$S$332,"44531B1Convencional pré-pagamentoResidencialResidencialNão se aplicaNão se aplicaFora ponta",Mercado_Receita!$L$2:$L$332)+SUMIF(Mercado_Receita!$S$2:$S$332,"44531B1Convencional pré-pagamentoResidencialResidencialNão se aplicaNão se aplicaIntermediário",Mercado_Receita!$L$2:$L$332)+SUMIF(Mercado_Receita!$S$2:$S$332,"44531B1Convencional pré-pagamentoResidencialResidencialNão se aplicaNão se aplicaNão se aplica",Mercado_Receita!$L$2:$L$332)</f>
        <v>0</v>
      </c>
      <c r="Q22" s="12">
        <f>SUMIF(Mercado_Receita!$S$2:$S$332,"44562B1Convencional pré-pagamentoResidencialResidencialNão se aplicaNão se aplicaPonta",Mercado_Receita!$L$2:$L$332)+SUMIF(Mercado_Receita!$S$2:$S$332,"44562B1Convencional pré-pagamentoResidencialResidencialNão se aplicaNão se aplicaFora ponta",Mercado_Receita!$L$2:$L$332)+SUMIF(Mercado_Receita!$S$2:$S$332,"44562B1Convencional pré-pagamentoResidencialResidencialNão se aplicaNão se aplicaIntermediário",Mercado_Receita!$L$2:$L$332)+SUMIF(Mercado_Receita!$S$2:$S$332,"44562B1Convencional pré-pagamentoResidencialResidencialNão se aplicaNão se aplicaNão se aplica",Mercado_Receita!$L$2:$L$332)</f>
        <v>0</v>
      </c>
      <c r="R22" s="12">
        <f>SUMIF(Mercado_Receita!$S$2:$S$332,"44593B1Convencional pré-pagamentoResidencialResidencialNão se aplicaNão se aplicaPonta",Mercado_Receita!$L$2:$L$332)+SUMIF(Mercado_Receita!$S$2:$S$332,"44593B1Convencional pré-pagamentoResidencialResidencialNão se aplicaNão se aplicaFora ponta",Mercado_Receita!$L$2:$L$332)+SUMIF(Mercado_Receita!$S$2:$S$332,"44593B1Convencional pré-pagamentoResidencialResidencialNão se aplicaNão se aplicaIntermediário",Mercado_Receita!$L$2:$L$332)+SUMIF(Mercado_Receita!$S$2:$S$332,"44593B1Convencional pré-pagamentoResidencialResidencialNão se aplicaNão se aplicaNão se aplica",Mercado_Receita!$L$2:$L$332)</f>
        <v>0</v>
      </c>
      <c r="S22" s="12">
        <f>SUMIF(Mercado_Receita!$S$2:$S$332,"44621B1Convencional pré-pagamentoResidencialResidencialNão se aplicaNão se aplicaPonta",Mercado_Receita!$L$2:$L$332)+SUMIF(Mercado_Receita!$S$2:$S$332,"44621B1Convencional pré-pagamentoResidencialResidencialNão se aplicaNão se aplicaFora ponta",Mercado_Receita!$L$2:$L$332)+SUMIF(Mercado_Receita!$S$2:$S$332,"44621B1Convencional pré-pagamentoResidencialResidencialNão se aplicaNão se aplicaIntermediário",Mercado_Receita!$L$2:$L$332)+SUMIF(Mercado_Receita!$S$2:$S$332,"44621B1Convencional pré-pagamentoResidencialResidencialNão se aplicaNão se aplicaNão se aplica",Mercado_Receita!$L$2:$L$332)</f>
        <v>0</v>
      </c>
      <c r="T22" s="12">
        <f>SUMIF(Mercado_Receita!$S$2:$S$332,"44652B1Convencional pré-pagamentoResidencialResidencialNão se aplicaNão se aplicaPonta",Mercado_Receita!$L$2:$L$332)+SUMIF(Mercado_Receita!$S$2:$S$332,"44652B1Convencional pré-pagamentoResidencialResidencialNão se aplicaNão se aplicaFora ponta",Mercado_Receita!$L$2:$L$332)+SUMIF(Mercado_Receita!$S$2:$S$332,"44652B1Convencional pré-pagamentoResidencialResidencialNão se aplicaNão se aplicaIntermediário",Mercado_Receita!$L$2:$L$332)+SUMIF(Mercado_Receita!$S$2:$S$332,"44652B1Convencional pré-pagamentoResidencialResidencialNão se aplicaNão se aplicaNão se aplica",Mercado_Receita!$L$2:$L$332)</f>
        <v>0</v>
      </c>
      <c r="U22" s="12">
        <f t="shared" si="0"/>
        <v>0</v>
      </c>
      <c r="V22" s="12"/>
      <c r="W22" s="12"/>
    </row>
    <row r="23" spans="1:23" ht="11.25" customHeight="1" x14ac:dyDescent="0.25">
      <c r="A23" s="114"/>
      <c r="B23" s="114"/>
      <c r="C23" s="114"/>
      <c r="D23" s="13" t="s">
        <v>28</v>
      </c>
      <c r="E23" s="13" t="s">
        <v>25</v>
      </c>
      <c r="F23" s="13" t="s">
        <v>25</v>
      </c>
      <c r="G23" s="12" t="s">
        <v>73</v>
      </c>
      <c r="H23" s="12" t="s">
        <v>69</v>
      </c>
      <c r="I23" s="12">
        <f>SUMIF(Mercado_Receita!$S$2:$S$332,"44317B1Convencional pré-pagamentoResidencialResidencial baixa renda – faixa 01Não se aplicaNão se aplicaPonta",Mercado_Receita!$L$2:$L$332)+SUMIF(Mercado_Receita!$S$2:$S$332,"44317B1Convencional pré-pagamentoResidencialResidencial baixa renda – faixa 01Não se aplicaNão se aplicaFora ponta",Mercado_Receita!$L$2:$L$332)+SUMIF(Mercado_Receita!$S$2:$S$332,"44317B1Convencional pré-pagamentoResidencialResidencial baixa renda – faixa 01Não se aplicaNão se aplicaIntermediário",Mercado_Receita!$L$2:$L$332)+SUMIF(Mercado_Receita!$S$2:$S$332,"44317B1Convencional pré-pagamentoResidencialResidencial baixa renda – faixa 01Não se aplicaNão se aplicaNão se aplica",Mercado_Receita!$L$2:$L$332)</f>
        <v>0</v>
      </c>
      <c r="J23" s="12">
        <f>SUMIF(Mercado_Receita!$S$2:$S$332,"44348B1Convencional pré-pagamentoResidencialResidencial baixa renda – faixa 01Não se aplicaNão se aplicaPonta",Mercado_Receita!$L$2:$L$332)+SUMIF(Mercado_Receita!$S$2:$S$332,"44348B1Convencional pré-pagamentoResidencialResidencial baixa renda – faixa 01Não se aplicaNão se aplicaFora ponta",Mercado_Receita!$L$2:$L$332)+SUMIF(Mercado_Receita!$S$2:$S$332,"44348B1Convencional pré-pagamentoResidencialResidencial baixa renda – faixa 01Não se aplicaNão se aplicaIntermediário",Mercado_Receita!$L$2:$L$332)+SUMIF(Mercado_Receita!$S$2:$S$332,"44348B1Convencional pré-pagamentoResidencialResidencial baixa renda – faixa 01Não se aplicaNão se aplicaNão se aplica",Mercado_Receita!$L$2:$L$332)</f>
        <v>0</v>
      </c>
      <c r="K23" s="12">
        <f>SUMIF(Mercado_Receita!$S$2:$S$332,"44378B1Convencional pré-pagamentoResidencialResidencial baixa renda – faixa 01Não se aplicaNão se aplicaPonta",Mercado_Receita!$L$2:$L$332)+SUMIF(Mercado_Receita!$S$2:$S$332,"44378B1Convencional pré-pagamentoResidencialResidencial baixa renda – faixa 01Não se aplicaNão se aplicaFora ponta",Mercado_Receita!$L$2:$L$332)+SUMIF(Mercado_Receita!$S$2:$S$332,"44378B1Convencional pré-pagamentoResidencialResidencial baixa renda – faixa 01Não se aplicaNão se aplicaIntermediário",Mercado_Receita!$L$2:$L$332)+SUMIF(Mercado_Receita!$S$2:$S$332,"44378B1Convencional pré-pagamentoResidencialResidencial baixa renda – faixa 01Não se aplicaNão se aplicaNão se aplica",Mercado_Receita!$L$2:$L$332)</f>
        <v>0</v>
      </c>
      <c r="L23" s="12">
        <f>SUMIF(Mercado_Receita!$S$2:$S$332,"44409B1Convencional pré-pagamentoResidencialResidencial baixa renda – faixa 01Não se aplicaNão se aplicaPonta",Mercado_Receita!$L$2:$L$332)+SUMIF(Mercado_Receita!$S$2:$S$332,"44409B1Convencional pré-pagamentoResidencialResidencial baixa renda – faixa 01Não se aplicaNão se aplicaFora ponta",Mercado_Receita!$L$2:$L$332)+SUMIF(Mercado_Receita!$S$2:$S$332,"44409B1Convencional pré-pagamentoResidencialResidencial baixa renda – faixa 01Não se aplicaNão se aplicaIntermediário",Mercado_Receita!$L$2:$L$332)+SUMIF(Mercado_Receita!$S$2:$S$332,"44409B1Convencional pré-pagamentoResidencialResidencial baixa renda – faixa 01Não se aplicaNão se aplicaNão se aplica",Mercado_Receita!$L$2:$L$332)</f>
        <v>0</v>
      </c>
      <c r="M23" s="12">
        <f>SUMIF(Mercado_Receita!$S$2:$S$332,"44440B1Convencional pré-pagamentoResidencialResidencial baixa renda – faixa 01Não se aplicaNão se aplicaPonta",Mercado_Receita!$L$2:$L$332)+SUMIF(Mercado_Receita!$S$2:$S$332,"44440B1Convencional pré-pagamentoResidencialResidencial baixa renda – faixa 01Não se aplicaNão se aplicaFora ponta",Mercado_Receita!$L$2:$L$332)+SUMIF(Mercado_Receita!$S$2:$S$332,"44440B1Convencional pré-pagamentoResidencialResidencial baixa renda – faixa 01Não se aplicaNão se aplicaIntermediário",Mercado_Receita!$L$2:$L$332)+SUMIF(Mercado_Receita!$S$2:$S$332,"44440B1Convencional pré-pagamentoResidencialResidencial baixa renda – faixa 01Não se aplicaNão se aplicaNão se aplica",Mercado_Receita!$L$2:$L$332)</f>
        <v>0</v>
      </c>
      <c r="N23" s="12">
        <f>SUMIF(Mercado_Receita!$S$2:$S$332,"44470B1Convencional pré-pagamentoResidencialResidencial baixa renda – faixa 01Não se aplicaNão se aplicaPonta",Mercado_Receita!$L$2:$L$332)+SUMIF(Mercado_Receita!$S$2:$S$332,"44470B1Convencional pré-pagamentoResidencialResidencial baixa renda – faixa 01Não se aplicaNão se aplicaFora ponta",Mercado_Receita!$L$2:$L$332)+SUMIF(Mercado_Receita!$S$2:$S$332,"44470B1Convencional pré-pagamentoResidencialResidencial baixa renda – faixa 01Não se aplicaNão se aplicaIntermediário",Mercado_Receita!$L$2:$L$332)+SUMIF(Mercado_Receita!$S$2:$S$332,"44470B1Convencional pré-pagamentoResidencialResidencial baixa renda – faixa 01Não se aplicaNão se aplicaNão se aplica",Mercado_Receita!$L$2:$L$332)</f>
        <v>0</v>
      </c>
      <c r="O23" s="12">
        <f>SUMIF(Mercado_Receita!$S$2:$S$332,"44501B1Convencional pré-pagamentoResidencialResidencial baixa renda – faixa 01Não se aplicaNão se aplicaPonta",Mercado_Receita!$L$2:$L$332)+SUMIF(Mercado_Receita!$S$2:$S$332,"44501B1Convencional pré-pagamentoResidencialResidencial baixa renda – faixa 01Não se aplicaNão se aplicaFora ponta",Mercado_Receita!$L$2:$L$332)+SUMIF(Mercado_Receita!$S$2:$S$332,"44501B1Convencional pré-pagamentoResidencialResidencial baixa renda – faixa 01Não se aplicaNão se aplicaIntermediário",Mercado_Receita!$L$2:$L$332)+SUMIF(Mercado_Receita!$S$2:$S$332,"44501B1Convencional pré-pagamentoResidencialResidencial baixa renda – faixa 01Não se aplicaNão se aplicaNão se aplica",Mercado_Receita!$L$2:$L$332)</f>
        <v>0</v>
      </c>
      <c r="P23" s="12">
        <f>SUMIF(Mercado_Receita!$S$2:$S$332,"44531B1Convencional pré-pagamentoResidencialResidencial baixa renda – faixa 01Não se aplicaNão se aplicaPonta",Mercado_Receita!$L$2:$L$332)+SUMIF(Mercado_Receita!$S$2:$S$332,"44531B1Convencional pré-pagamentoResidencialResidencial baixa renda – faixa 01Não se aplicaNão se aplicaFora ponta",Mercado_Receita!$L$2:$L$332)+SUMIF(Mercado_Receita!$S$2:$S$332,"44531B1Convencional pré-pagamentoResidencialResidencial baixa renda – faixa 01Não se aplicaNão se aplicaIntermediário",Mercado_Receita!$L$2:$L$332)+SUMIF(Mercado_Receita!$S$2:$S$332,"44531B1Convencional pré-pagamentoResidencialResidencial baixa renda – faixa 01Não se aplicaNão se aplicaNão se aplica",Mercado_Receita!$L$2:$L$332)</f>
        <v>0</v>
      </c>
      <c r="Q23" s="12">
        <f>SUMIF(Mercado_Receita!$S$2:$S$332,"44562B1Convencional pré-pagamentoResidencialResidencial baixa renda – faixa 01Não se aplicaNão se aplicaPonta",Mercado_Receita!$L$2:$L$332)+SUMIF(Mercado_Receita!$S$2:$S$332,"44562B1Convencional pré-pagamentoResidencialResidencial baixa renda – faixa 01Não se aplicaNão se aplicaFora ponta",Mercado_Receita!$L$2:$L$332)+SUMIF(Mercado_Receita!$S$2:$S$332,"44562B1Convencional pré-pagamentoResidencialResidencial baixa renda – faixa 01Não se aplicaNão se aplicaIntermediário",Mercado_Receita!$L$2:$L$332)+SUMIF(Mercado_Receita!$S$2:$S$332,"44562B1Convencional pré-pagamentoResidencialResidencial baixa renda – faixa 01Não se aplicaNão se aplicaNão se aplica",Mercado_Receita!$L$2:$L$332)</f>
        <v>0</v>
      </c>
      <c r="R23" s="12">
        <f>SUMIF(Mercado_Receita!$S$2:$S$332,"44593B1Convencional pré-pagamentoResidencialResidencial baixa renda – faixa 01Não se aplicaNão se aplicaPonta",Mercado_Receita!$L$2:$L$332)+SUMIF(Mercado_Receita!$S$2:$S$332,"44593B1Convencional pré-pagamentoResidencialResidencial baixa renda – faixa 01Não se aplicaNão se aplicaFora ponta",Mercado_Receita!$L$2:$L$332)+SUMIF(Mercado_Receita!$S$2:$S$332,"44593B1Convencional pré-pagamentoResidencialResidencial baixa renda – faixa 01Não se aplicaNão se aplicaIntermediário",Mercado_Receita!$L$2:$L$332)+SUMIF(Mercado_Receita!$S$2:$S$332,"44593B1Convencional pré-pagamentoResidencialResidencial baixa renda – faixa 01Não se aplicaNão se aplicaNão se aplica",Mercado_Receita!$L$2:$L$332)</f>
        <v>0</v>
      </c>
      <c r="S23" s="12">
        <f>SUMIF(Mercado_Receita!$S$2:$S$332,"44621B1Convencional pré-pagamentoResidencialResidencial baixa renda – faixa 01Não se aplicaNão se aplicaPonta",Mercado_Receita!$L$2:$L$332)+SUMIF(Mercado_Receita!$S$2:$S$332,"44621B1Convencional pré-pagamentoResidencialResidencial baixa renda – faixa 01Não se aplicaNão se aplicaFora ponta",Mercado_Receita!$L$2:$L$332)+SUMIF(Mercado_Receita!$S$2:$S$332,"44621B1Convencional pré-pagamentoResidencialResidencial baixa renda – faixa 01Não se aplicaNão se aplicaIntermediário",Mercado_Receita!$L$2:$L$332)+SUMIF(Mercado_Receita!$S$2:$S$332,"44621B1Convencional pré-pagamentoResidencialResidencial baixa renda – faixa 01Não se aplicaNão se aplicaNão se aplica",Mercado_Receita!$L$2:$L$332)</f>
        <v>0</v>
      </c>
      <c r="T23" s="12">
        <f>SUMIF(Mercado_Receita!$S$2:$S$332,"44652B1Convencional pré-pagamentoResidencialResidencial baixa renda – faixa 01Não se aplicaNão se aplicaPonta",Mercado_Receita!$L$2:$L$332)+SUMIF(Mercado_Receita!$S$2:$S$332,"44652B1Convencional pré-pagamentoResidencialResidencial baixa renda – faixa 01Não se aplicaNão se aplicaFora ponta",Mercado_Receita!$L$2:$L$332)+SUMIF(Mercado_Receita!$S$2:$S$332,"44652B1Convencional pré-pagamentoResidencialResidencial baixa renda – faixa 01Não se aplicaNão se aplicaIntermediário",Mercado_Receita!$L$2:$L$332)+SUMIF(Mercado_Receita!$S$2:$S$332,"44652B1Convencional pré-pagamentoResidencialResidencial baixa renda – faixa 01Não se aplicaNão se aplicaNão se aplica",Mercado_Receita!$L$2:$L$332)</f>
        <v>0</v>
      </c>
      <c r="U23" s="12">
        <f t="shared" si="0"/>
        <v>0</v>
      </c>
      <c r="V23" s="12"/>
      <c r="W23" s="12"/>
    </row>
    <row r="24" spans="1:23" ht="11.25" customHeight="1" x14ac:dyDescent="0.25">
      <c r="A24" s="114"/>
      <c r="B24" s="114"/>
      <c r="C24" s="114"/>
      <c r="D24" s="13" t="s">
        <v>29</v>
      </c>
      <c r="E24" s="13" t="s">
        <v>25</v>
      </c>
      <c r="F24" s="13" t="s">
        <v>25</v>
      </c>
      <c r="G24" s="12" t="s">
        <v>73</v>
      </c>
      <c r="H24" s="12" t="s">
        <v>69</v>
      </c>
      <c r="I24" s="12">
        <f>SUMIF(Mercado_Receita!$S$2:$S$332,"44317B1Convencional pré-pagamentoResidencialResidencial baixa renda – faixa 02Não se aplicaNão se aplicaPonta",Mercado_Receita!$L$2:$L$332)+SUMIF(Mercado_Receita!$S$2:$S$332,"44317B1Convencional pré-pagamentoResidencialResidencial baixa renda – faixa 02Não se aplicaNão se aplicaFora ponta",Mercado_Receita!$L$2:$L$332)+SUMIF(Mercado_Receita!$S$2:$S$332,"44317B1Convencional pré-pagamentoResidencialResidencial baixa renda – faixa 02Não se aplicaNão se aplicaIntermediário",Mercado_Receita!$L$2:$L$332)+SUMIF(Mercado_Receita!$S$2:$S$332,"44317B1Convencional pré-pagamentoResidencialResidencial baixa renda – faixa 02Não se aplicaNão se aplicaNão se aplica",Mercado_Receita!$L$2:$L$332)</f>
        <v>0</v>
      </c>
      <c r="J24" s="12">
        <f>SUMIF(Mercado_Receita!$S$2:$S$332,"44348B1Convencional pré-pagamentoResidencialResidencial baixa renda – faixa 02Não se aplicaNão se aplicaPonta",Mercado_Receita!$L$2:$L$332)+SUMIF(Mercado_Receita!$S$2:$S$332,"44348B1Convencional pré-pagamentoResidencialResidencial baixa renda – faixa 02Não se aplicaNão se aplicaFora ponta",Mercado_Receita!$L$2:$L$332)+SUMIF(Mercado_Receita!$S$2:$S$332,"44348B1Convencional pré-pagamentoResidencialResidencial baixa renda – faixa 02Não se aplicaNão se aplicaIntermediário",Mercado_Receita!$L$2:$L$332)+SUMIF(Mercado_Receita!$S$2:$S$332,"44348B1Convencional pré-pagamentoResidencialResidencial baixa renda – faixa 02Não se aplicaNão se aplicaNão se aplica",Mercado_Receita!$L$2:$L$332)</f>
        <v>0</v>
      </c>
      <c r="K24" s="12">
        <f>SUMIF(Mercado_Receita!$S$2:$S$332,"44378B1Convencional pré-pagamentoResidencialResidencial baixa renda – faixa 02Não se aplicaNão se aplicaPonta",Mercado_Receita!$L$2:$L$332)+SUMIF(Mercado_Receita!$S$2:$S$332,"44378B1Convencional pré-pagamentoResidencialResidencial baixa renda – faixa 02Não se aplicaNão se aplicaFora ponta",Mercado_Receita!$L$2:$L$332)+SUMIF(Mercado_Receita!$S$2:$S$332,"44378B1Convencional pré-pagamentoResidencialResidencial baixa renda – faixa 02Não se aplicaNão se aplicaIntermediário",Mercado_Receita!$L$2:$L$332)+SUMIF(Mercado_Receita!$S$2:$S$332,"44378B1Convencional pré-pagamentoResidencialResidencial baixa renda – faixa 02Não se aplicaNão se aplicaNão se aplica",Mercado_Receita!$L$2:$L$332)</f>
        <v>0</v>
      </c>
      <c r="L24" s="12">
        <f>SUMIF(Mercado_Receita!$S$2:$S$332,"44409B1Convencional pré-pagamentoResidencialResidencial baixa renda – faixa 02Não se aplicaNão se aplicaPonta",Mercado_Receita!$L$2:$L$332)+SUMIF(Mercado_Receita!$S$2:$S$332,"44409B1Convencional pré-pagamentoResidencialResidencial baixa renda – faixa 02Não se aplicaNão se aplicaFora ponta",Mercado_Receita!$L$2:$L$332)+SUMIF(Mercado_Receita!$S$2:$S$332,"44409B1Convencional pré-pagamentoResidencialResidencial baixa renda – faixa 02Não se aplicaNão se aplicaIntermediário",Mercado_Receita!$L$2:$L$332)+SUMIF(Mercado_Receita!$S$2:$S$332,"44409B1Convencional pré-pagamentoResidencialResidencial baixa renda – faixa 02Não se aplicaNão se aplicaNão se aplica",Mercado_Receita!$L$2:$L$332)</f>
        <v>0</v>
      </c>
      <c r="M24" s="12">
        <f>SUMIF(Mercado_Receita!$S$2:$S$332,"44440B1Convencional pré-pagamentoResidencialResidencial baixa renda – faixa 02Não se aplicaNão se aplicaPonta",Mercado_Receita!$L$2:$L$332)+SUMIF(Mercado_Receita!$S$2:$S$332,"44440B1Convencional pré-pagamentoResidencialResidencial baixa renda – faixa 02Não se aplicaNão se aplicaFora ponta",Mercado_Receita!$L$2:$L$332)+SUMIF(Mercado_Receita!$S$2:$S$332,"44440B1Convencional pré-pagamentoResidencialResidencial baixa renda – faixa 02Não se aplicaNão se aplicaIntermediário",Mercado_Receita!$L$2:$L$332)+SUMIF(Mercado_Receita!$S$2:$S$332,"44440B1Convencional pré-pagamentoResidencialResidencial baixa renda – faixa 02Não se aplicaNão se aplicaNão se aplica",Mercado_Receita!$L$2:$L$332)</f>
        <v>0</v>
      </c>
      <c r="N24" s="12">
        <f>SUMIF(Mercado_Receita!$S$2:$S$332,"44470B1Convencional pré-pagamentoResidencialResidencial baixa renda – faixa 02Não se aplicaNão se aplicaPonta",Mercado_Receita!$L$2:$L$332)+SUMIF(Mercado_Receita!$S$2:$S$332,"44470B1Convencional pré-pagamentoResidencialResidencial baixa renda – faixa 02Não se aplicaNão se aplicaFora ponta",Mercado_Receita!$L$2:$L$332)+SUMIF(Mercado_Receita!$S$2:$S$332,"44470B1Convencional pré-pagamentoResidencialResidencial baixa renda – faixa 02Não se aplicaNão se aplicaIntermediário",Mercado_Receita!$L$2:$L$332)+SUMIF(Mercado_Receita!$S$2:$S$332,"44470B1Convencional pré-pagamentoResidencialResidencial baixa renda – faixa 02Não se aplicaNão se aplicaNão se aplica",Mercado_Receita!$L$2:$L$332)</f>
        <v>0</v>
      </c>
      <c r="O24" s="12">
        <f>SUMIF(Mercado_Receita!$S$2:$S$332,"44501B1Convencional pré-pagamentoResidencialResidencial baixa renda – faixa 02Não se aplicaNão se aplicaPonta",Mercado_Receita!$L$2:$L$332)+SUMIF(Mercado_Receita!$S$2:$S$332,"44501B1Convencional pré-pagamentoResidencialResidencial baixa renda – faixa 02Não se aplicaNão se aplicaFora ponta",Mercado_Receita!$L$2:$L$332)+SUMIF(Mercado_Receita!$S$2:$S$332,"44501B1Convencional pré-pagamentoResidencialResidencial baixa renda – faixa 02Não se aplicaNão se aplicaIntermediário",Mercado_Receita!$L$2:$L$332)+SUMIF(Mercado_Receita!$S$2:$S$332,"44501B1Convencional pré-pagamentoResidencialResidencial baixa renda – faixa 02Não se aplicaNão se aplicaNão se aplica",Mercado_Receita!$L$2:$L$332)</f>
        <v>0</v>
      </c>
      <c r="P24" s="12">
        <f>SUMIF(Mercado_Receita!$S$2:$S$332,"44531B1Convencional pré-pagamentoResidencialResidencial baixa renda – faixa 02Não se aplicaNão se aplicaPonta",Mercado_Receita!$L$2:$L$332)+SUMIF(Mercado_Receita!$S$2:$S$332,"44531B1Convencional pré-pagamentoResidencialResidencial baixa renda – faixa 02Não se aplicaNão se aplicaFora ponta",Mercado_Receita!$L$2:$L$332)+SUMIF(Mercado_Receita!$S$2:$S$332,"44531B1Convencional pré-pagamentoResidencialResidencial baixa renda – faixa 02Não se aplicaNão se aplicaIntermediário",Mercado_Receita!$L$2:$L$332)+SUMIF(Mercado_Receita!$S$2:$S$332,"44531B1Convencional pré-pagamentoResidencialResidencial baixa renda – faixa 02Não se aplicaNão se aplicaNão se aplica",Mercado_Receita!$L$2:$L$332)</f>
        <v>0</v>
      </c>
      <c r="Q24" s="12">
        <f>SUMIF(Mercado_Receita!$S$2:$S$332,"44562B1Convencional pré-pagamentoResidencialResidencial baixa renda – faixa 02Não se aplicaNão se aplicaPonta",Mercado_Receita!$L$2:$L$332)+SUMIF(Mercado_Receita!$S$2:$S$332,"44562B1Convencional pré-pagamentoResidencialResidencial baixa renda – faixa 02Não se aplicaNão se aplicaFora ponta",Mercado_Receita!$L$2:$L$332)+SUMIF(Mercado_Receita!$S$2:$S$332,"44562B1Convencional pré-pagamentoResidencialResidencial baixa renda – faixa 02Não se aplicaNão se aplicaIntermediário",Mercado_Receita!$L$2:$L$332)+SUMIF(Mercado_Receita!$S$2:$S$332,"44562B1Convencional pré-pagamentoResidencialResidencial baixa renda – faixa 02Não se aplicaNão se aplicaNão se aplica",Mercado_Receita!$L$2:$L$332)</f>
        <v>0</v>
      </c>
      <c r="R24" s="12">
        <f>SUMIF(Mercado_Receita!$S$2:$S$332,"44593B1Convencional pré-pagamentoResidencialResidencial baixa renda – faixa 02Não se aplicaNão se aplicaPonta",Mercado_Receita!$L$2:$L$332)+SUMIF(Mercado_Receita!$S$2:$S$332,"44593B1Convencional pré-pagamentoResidencialResidencial baixa renda – faixa 02Não se aplicaNão se aplicaFora ponta",Mercado_Receita!$L$2:$L$332)+SUMIF(Mercado_Receita!$S$2:$S$332,"44593B1Convencional pré-pagamentoResidencialResidencial baixa renda – faixa 02Não se aplicaNão se aplicaIntermediário",Mercado_Receita!$L$2:$L$332)+SUMIF(Mercado_Receita!$S$2:$S$332,"44593B1Convencional pré-pagamentoResidencialResidencial baixa renda – faixa 02Não se aplicaNão se aplicaNão se aplica",Mercado_Receita!$L$2:$L$332)</f>
        <v>0</v>
      </c>
      <c r="S24" s="12">
        <f>SUMIF(Mercado_Receita!$S$2:$S$332,"44621B1Convencional pré-pagamentoResidencialResidencial baixa renda – faixa 02Não se aplicaNão se aplicaPonta",Mercado_Receita!$L$2:$L$332)+SUMIF(Mercado_Receita!$S$2:$S$332,"44621B1Convencional pré-pagamentoResidencialResidencial baixa renda – faixa 02Não se aplicaNão se aplicaFora ponta",Mercado_Receita!$L$2:$L$332)+SUMIF(Mercado_Receita!$S$2:$S$332,"44621B1Convencional pré-pagamentoResidencialResidencial baixa renda – faixa 02Não se aplicaNão se aplicaIntermediário",Mercado_Receita!$L$2:$L$332)+SUMIF(Mercado_Receita!$S$2:$S$332,"44621B1Convencional pré-pagamentoResidencialResidencial baixa renda – faixa 02Não se aplicaNão se aplicaNão se aplica",Mercado_Receita!$L$2:$L$332)</f>
        <v>0</v>
      </c>
      <c r="T24" s="12">
        <f>SUMIF(Mercado_Receita!$S$2:$S$332,"44652B1Convencional pré-pagamentoResidencialResidencial baixa renda – faixa 02Não se aplicaNão se aplicaPonta",Mercado_Receita!$L$2:$L$332)+SUMIF(Mercado_Receita!$S$2:$S$332,"44652B1Convencional pré-pagamentoResidencialResidencial baixa renda – faixa 02Não se aplicaNão se aplicaFora ponta",Mercado_Receita!$L$2:$L$332)+SUMIF(Mercado_Receita!$S$2:$S$332,"44652B1Convencional pré-pagamentoResidencialResidencial baixa renda – faixa 02Não se aplicaNão se aplicaIntermediário",Mercado_Receita!$L$2:$L$332)+SUMIF(Mercado_Receita!$S$2:$S$332,"44652B1Convencional pré-pagamentoResidencialResidencial baixa renda – faixa 02Não se aplicaNão se aplicaNão se aplica",Mercado_Receita!$L$2:$L$332)</f>
        <v>0</v>
      </c>
      <c r="U24" s="12">
        <f t="shared" si="0"/>
        <v>0</v>
      </c>
      <c r="V24" s="12"/>
      <c r="W24" s="12"/>
    </row>
    <row r="25" spans="1:23" ht="11.25" customHeight="1" x14ac:dyDescent="0.25">
      <c r="A25" s="114"/>
      <c r="B25" s="114"/>
      <c r="C25" s="114"/>
      <c r="D25" s="13" t="s">
        <v>30</v>
      </c>
      <c r="E25" s="13" t="s">
        <v>25</v>
      </c>
      <c r="F25" s="13" t="s">
        <v>25</v>
      </c>
      <c r="G25" s="12" t="s">
        <v>73</v>
      </c>
      <c r="H25" s="12" t="s">
        <v>69</v>
      </c>
      <c r="I25" s="12">
        <f>SUMIF(Mercado_Receita!$S$2:$S$332,"44317B1Convencional pré-pagamentoResidencialResidencial baixa renda – faixa 03Não se aplicaNão se aplicaPonta",Mercado_Receita!$L$2:$L$332)+SUMIF(Mercado_Receita!$S$2:$S$332,"44317B1Convencional pré-pagamentoResidencialResidencial baixa renda – faixa 03Não se aplicaNão se aplicaFora ponta",Mercado_Receita!$L$2:$L$332)+SUMIF(Mercado_Receita!$S$2:$S$332,"44317B1Convencional pré-pagamentoResidencialResidencial baixa renda – faixa 03Não se aplicaNão se aplicaIntermediário",Mercado_Receita!$L$2:$L$332)+SUMIF(Mercado_Receita!$S$2:$S$332,"44317B1Convencional pré-pagamentoResidencialResidencial baixa renda – faixa 03Não se aplicaNão se aplicaNão se aplica",Mercado_Receita!$L$2:$L$332)</f>
        <v>0</v>
      </c>
      <c r="J25" s="12">
        <f>SUMIF(Mercado_Receita!$S$2:$S$332,"44348B1Convencional pré-pagamentoResidencialResidencial baixa renda – faixa 03Não se aplicaNão se aplicaPonta",Mercado_Receita!$L$2:$L$332)+SUMIF(Mercado_Receita!$S$2:$S$332,"44348B1Convencional pré-pagamentoResidencialResidencial baixa renda – faixa 03Não se aplicaNão se aplicaFora ponta",Mercado_Receita!$L$2:$L$332)+SUMIF(Mercado_Receita!$S$2:$S$332,"44348B1Convencional pré-pagamentoResidencialResidencial baixa renda – faixa 03Não se aplicaNão se aplicaIntermediário",Mercado_Receita!$L$2:$L$332)+SUMIF(Mercado_Receita!$S$2:$S$332,"44348B1Convencional pré-pagamentoResidencialResidencial baixa renda – faixa 03Não se aplicaNão se aplicaNão se aplica",Mercado_Receita!$L$2:$L$332)</f>
        <v>0</v>
      </c>
      <c r="K25" s="12">
        <f>SUMIF(Mercado_Receita!$S$2:$S$332,"44378B1Convencional pré-pagamentoResidencialResidencial baixa renda – faixa 03Não se aplicaNão se aplicaPonta",Mercado_Receita!$L$2:$L$332)+SUMIF(Mercado_Receita!$S$2:$S$332,"44378B1Convencional pré-pagamentoResidencialResidencial baixa renda – faixa 03Não se aplicaNão se aplicaFora ponta",Mercado_Receita!$L$2:$L$332)+SUMIF(Mercado_Receita!$S$2:$S$332,"44378B1Convencional pré-pagamentoResidencialResidencial baixa renda – faixa 03Não se aplicaNão se aplicaIntermediário",Mercado_Receita!$L$2:$L$332)+SUMIF(Mercado_Receita!$S$2:$S$332,"44378B1Convencional pré-pagamentoResidencialResidencial baixa renda – faixa 03Não se aplicaNão se aplicaNão se aplica",Mercado_Receita!$L$2:$L$332)</f>
        <v>0</v>
      </c>
      <c r="L25" s="12">
        <f>SUMIF(Mercado_Receita!$S$2:$S$332,"44409B1Convencional pré-pagamentoResidencialResidencial baixa renda – faixa 03Não se aplicaNão se aplicaPonta",Mercado_Receita!$L$2:$L$332)+SUMIF(Mercado_Receita!$S$2:$S$332,"44409B1Convencional pré-pagamentoResidencialResidencial baixa renda – faixa 03Não se aplicaNão se aplicaFora ponta",Mercado_Receita!$L$2:$L$332)+SUMIF(Mercado_Receita!$S$2:$S$332,"44409B1Convencional pré-pagamentoResidencialResidencial baixa renda – faixa 03Não se aplicaNão se aplicaIntermediário",Mercado_Receita!$L$2:$L$332)+SUMIF(Mercado_Receita!$S$2:$S$332,"44409B1Convencional pré-pagamentoResidencialResidencial baixa renda – faixa 03Não se aplicaNão se aplicaNão se aplica",Mercado_Receita!$L$2:$L$332)</f>
        <v>0</v>
      </c>
      <c r="M25" s="12">
        <f>SUMIF(Mercado_Receita!$S$2:$S$332,"44440B1Convencional pré-pagamentoResidencialResidencial baixa renda – faixa 03Não se aplicaNão se aplicaPonta",Mercado_Receita!$L$2:$L$332)+SUMIF(Mercado_Receita!$S$2:$S$332,"44440B1Convencional pré-pagamentoResidencialResidencial baixa renda – faixa 03Não se aplicaNão se aplicaFora ponta",Mercado_Receita!$L$2:$L$332)+SUMIF(Mercado_Receita!$S$2:$S$332,"44440B1Convencional pré-pagamentoResidencialResidencial baixa renda – faixa 03Não se aplicaNão se aplicaIntermediário",Mercado_Receita!$L$2:$L$332)+SUMIF(Mercado_Receita!$S$2:$S$332,"44440B1Convencional pré-pagamentoResidencialResidencial baixa renda – faixa 03Não se aplicaNão se aplicaNão se aplica",Mercado_Receita!$L$2:$L$332)</f>
        <v>0</v>
      </c>
      <c r="N25" s="12">
        <f>SUMIF(Mercado_Receita!$S$2:$S$332,"44470B1Convencional pré-pagamentoResidencialResidencial baixa renda – faixa 03Não se aplicaNão se aplicaPonta",Mercado_Receita!$L$2:$L$332)+SUMIF(Mercado_Receita!$S$2:$S$332,"44470B1Convencional pré-pagamentoResidencialResidencial baixa renda – faixa 03Não se aplicaNão se aplicaFora ponta",Mercado_Receita!$L$2:$L$332)+SUMIF(Mercado_Receita!$S$2:$S$332,"44470B1Convencional pré-pagamentoResidencialResidencial baixa renda – faixa 03Não se aplicaNão se aplicaIntermediário",Mercado_Receita!$L$2:$L$332)+SUMIF(Mercado_Receita!$S$2:$S$332,"44470B1Convencional pré-pagamentoResidencialResidencial baixa renda – faixa 03Não se aplicaNão se aplicaNão se aplica",Mercado_Receita!$L$2:$L$332)</f>
        <v>0</v>
      </c>
      <c r="O25" s="12">
        <f>SUMIF(Mercado_Receita!$S$2:$S$332,"44501B1Convencional pré-pagamentoResidencialResidencial baixa renda – faixa 03Não se aplicaNão se aplicaPonta",Mercado_Receita!$L$2:$L$332)+SUMIF(Mercado_Receita!$S$2:$S$332,"44501B1Convencional pré-pagamentoResidencialResidencial baixa renda – faixa 03Não se aplicaNão se aplicaFora ponta",Mercado_Receita!$L$2:$L$332)+SUMIF(Mercado_Receita!$S$2:$S$332,"44501B1Convencional pré-pagamentoResidencialResidencial baixa renda – faixa 03Não se aplicaNão se aplicaIntermediário",Mercado_Receita!$L$2:$L$332)+SUMIF(Mercado_Receita!$S$2:$S$332,"44501B1Convencional pré-pagamentoResidencialResidencial baixa renda – faixa 03Não se aplicaNão se aplicaNão se aplica",Mercado_Receita!$L$2:$L$332)</f>
        <v>0</v>
      </c>
      <c r="P25" s="12">
        <f>SUMIF(Mercado_Receita!$S$2:$S$332,"44531B1Convencional pré-pagamentoResidencialResidencial baixa renda – faixa 03Não se aplicaNão se aplicaPonta",Mercado_Receita!$L$2:$L$332)+SUMIF(Mercado_Receita!$S$2:$S$332,"44531B1Convencional pré-pagamentoResidencialResidencial baixa renda – faixa 03Não se aplicaNão se aplicaFora ponta",Mercado_Receita!$L$2:$L$332)+SUMIF(Mercado_Receita!$S$2:$S$332,"44531B1Convencional pré-pagamentoResidencialResidencial baixa renda – faixa 03Não se aplicaNão se aplicaIntermediário",Mercado_Receita!$L$2:$L$332)+SUMIF(Mercado_Receita!$S$2:$S$332,"44531B1Convencional pré-pagamentoResidencialResidencial baixa renda – faixa 03Não se aplicaNão se aplicaNão se aplica",Mercado_Receita!$L$2:$L$332)</f>
        <v>0</v>
      </c>
      <c r="Q25" s="12">
        <f>SUMIF(Mercado_Receita!$S$2:$S$332,"44562B1Convencional pré-pagamentoResidencialResidencial baixa renda – faixa 03Não se aplicaNão se aplicaPonta",Mercado_Receita!$L$2:$L$332)+SUMIF(Mercado_Receita!$S$2:$S$332,"44562B1Convencional pré-pagamentoResidencialResidencial baixa renda – faixa 03Não se aplicaNão se aplicaFora ponta",Mercado_Receita!$L$2:$L$332)+SUMIF(Mercado_Receita!$S$2:$S$332,"44562B1Convencional pré-pagamentoResidencialResidencial baixa renda – faixa 03Não se aplicaNão se aplicaIntermediário",Mercado_Receita!$L$2:$L$332)+SUMIF(Mercado_Receita!$S$2:$S$332,"44562B1Convencional pré-pagamentoResidencialResidencial baixa renda – faixa 03Não se aplicaNão se aplicaNão se aplica",Mercado_Receita!$L$2:$L$332)</f>
        <v>0</v>
      </c>
      <c r="R25" s="12">
        <f>SUMIF(Mercado_Receita!$S$2:$S$332,"44593B1Convencional pré-pagamentoResidencialResidencial baixa renda – faixa 03Não se aplicaNão se aplicaPonta",Mercado_Receita!$L$2:$L$332)+SUMIF(Mercado_Receita!$S$2:$S$332,"44593B1Convencional pré-pagamentoResidencialResidencial baixa renda – faixa 03Não se aplicaNão se aplicaFora ponta",Mercado_Receita!$L$2:$L$332)+SUMIF(Mercado_Receita!$S$2:$S$332,"44593B1Convencional pré-pagamentoResidencialResidencial baixa renda – faixa 03Não se aplicaNão se aplicaIntermediário",Mercado_Receita!$L$2:$L$332)+SUMIF(Mercado_Receita!$S$2:$S$332,"44593B1Convencional pré-pagamentoResidencialResidencial baixa renda – faixa 03Não se aplicaNão se aplicaNão se aplica",Mercado_Receita!$L$2:$L$332)</f>
        <v>0</v>
      </c>
      <c r="S25" s="12">
        <f>SUMIF(Mercado_Receita!$S$2:$S$332,"44621B1Convencional pré-pagamentoResidencialResidencial baixa renda – faixa 03Não se aplicaNão se aplicaPonta",Mercado_Receita!$L$2:$L$332)+SUMIF(Mercado_Receita!$S$2:$S$332,"44621B1Convencional pré-pagamentoResidencialResidencial baixa renda – faixa 03Não se aplicaNão se aplicaFora ponta",Mercado_Receita!$L$2:$L$332)+SUMIF(Mercado_Receita!$S$2:$S$332,"44621B1Convencional pré-pagamentoResidencialResidencial baixa renda – faixa 03Não se aplicaNão se aplicaIntermediário",Mercado_Receita!$L$2:$L$332)+SUMIF(Mercado_Receita!$S$2:$S$332,"44621B1Convencional pré-pagamentoResidencialResidencial baixa renda – faixa 03Não se aplicaNão se aplicaNão se aplica",Mercado_Receita!$L$2:$L$332)</f>
        <v>0</v>
      </c>
      <c r="T25" s="12">
        <f>SUMIF(Mercado_Receita!$S$2:$S$332,"44652B1Convencional pré-pagamentoResidencialResidencial baixa renda – faixa 03Não se aplicaNão se aplicaPonta",Mercado_Receita!$L$2:$L$332)+SUMIF(Mercado_Receita!$S$2:$S$332,"44652B1Convencional pré-pagamentoResidencialResidencial baixa renda – faixa 03Não se aplicaNão se aplicaFora ponta",Mercado_Receita!$L$2:$L$332)+SUMIF(Mercado_Receita!$S$2:$S$332,"44652B1Convencional pré-pagamentoResidencialResidencial baixa renda – faixa 03Não se aplicaNão se aplicaIntermediário",Mercado_Receita!$L$2:$L$332)+SUMIF(Mercado_Receita!$S$2:$S$332,"44652B1Convencional pré-pagamentoResidencialResidencial baixa renda – faixa 03Não se aplicaNão se aplicaNão se aplica",Mercado_Receita!$L$2:$L$332)</f>
        <v>0</v>
      </c>
      <c r="U25" s="12">
        <f t="shared" si="0"/>
        <v>0</v>
      </c>
      <c r="V25" s="12"/>
      <c r="W25" s="12"/>
    </row>
    <row r="26" spans="1:23" ht="11.25" customHeight="1" x14ac:dyDescent="0.25">
      <c r="A26" s="114"/>
      <c r="B26" s="114"/>
      <c r="C26" s="114"/>
      <c r="D26" s="13" t="s">
        <v>31</v>
      </c>
      <c r="E26" s="13" t="s">
        <v>25</v>
      </c>
      <c r="F26" s="13" t="s">
        <v>25</v>
      </c>
      <c r="G26" s="12" t="s">
        <v>73</v>
      </c>
      <c r="H26" s="12" t="s">
        <v>69</v>
      </c>
      <c r="I26" s="12">
        <f>SUMIF(Mercado_Receita!$S$2:$S$332,"44317B1Convencional pré-pagamentoResidencialResidencial baixa renda – faixa 04Não se aplicaNão se aplicaPonta",Mercado_Receita!$L$2:$L$332)+SUMIF(Mercado_Receita!$S$2:$S$332,"44317B1Convencional pré-pagamentoResidencialResidencial baixa renda – faixa 04Não se aplicaNão se aplicaFora ponta",Mercado_Receita!$L$2:$L$332)+SUMIF(Mercado_Receita!$S$2:$S$332,"44317B1Convencional pré-pagamentoResidencialResidencial baixa renda – faixa 04Não se aplicaNão se aplicaIntermediário",Mercado_Receita!$L$2:$L$332)+SUMIF(Mercado_Receita!$S$2:$S$332,"44317B1Convencional pré-pagamentoResidencialResidencial baixa renda – faixa 04Não se aplicaNão se aplicaNão se aplica",Mercado_Receita!$L$2:$L$332)</f>
        <v>0</v>
      </c>
      <c r="J26" s="12">
        <f>SUMIF(Mercado_Receita!$S$2:$S$332,"44348B1Convencional pré-pagamentoResidencialResidencial baixa renda – faixa 04Não se aplicaNão se aplicaPonta",Mercado_Receita!$L$2:$L$332)+SUMIF(Mercado_Receita!$S$2:$S$332,"44348B1Convencional pré-pagamentoResidencialResidencial baixa renda – faixa 04Não se aplicaNão se aplicaFora ponta",Mercado_Receita!$L$2:$L$332)+SUMIF(Mercado_Receita!$S$2:$S$332,"44348B1Convencional pré-pagamentoResidencialResidencial baixa renda – faixa 04Não se aplicaNão se aplicaIntermediário",Mercado_Receita!$L$2:$L$332)+SUMIF(Mercado_Receita!$S$2:$S$332,"44348B1Convencional pré-pagamentoResidencialResidencial baixa renda – faixa 04Não se aplicaNão se aplicaNão se aplica",Mercado_Receita!$L$2:$L$332)</f>
        <v>0</v>
      </c>
      <c r="K26" s="12">
        <f>SUMIF(Mercado_Receita!$S$2:$S$332,"44378B1Convencional pré-pagamentoResidencialResidencial baixa renda – faixa 04Não se aplicaNão se aplicaPonta",Mercado_Receita!$L$2:$L$332)+SUMIF(Mercado_Receita!$S$2:$S$332,"44378B1Convencional pré-pagamentoResidencialResidencial baixa renda – faixa 04Não se aplicaNão se aplicaFora ponta",Mercado_Receita!$L$2:$L$332)+SUMIF(Mercado_Receita!$S$2:$S$332,"44378B1Convencional pré-pagamentoResidencialResidencial baixa renda – faixa 04Não se aplicaNão se aplicaIntermediário",Mercado_Receita!$L$2:$L$332)+SUMIF(Mercado_Receita!$S$2:$S$332,"44378B1Convencional pré-pagamentoResidencialResidencial baixa renda – faixa 04Não se aplicaNão se aplicaNão se aplica",Mercado_Receita!$L$2:$L$332)</f>
        <v>0</v>
      </c>
      <c r="L26" s="12">
        <f>SUMIF(Mercado_Receita!$S$2:$S$332,"44409B1Convencional pré-pagamentoResidencialResidencial baixa renda – faixa 04Não se aplicaNão se aplicaPonta",Mercado_Receita!$L$2:$L$332)+SUMIF(Mercado_Receita!$S$2:$S$332,"44409B1Convencional pré-pagamentoResidencialResidencial baixa renda – faixa 04Não se aplicaNão se aplicaFora ponta",Mercado_Receita!$L$2:$L$332)+SUMIF(Mercado_Receita!$S$2:$S$332,"44409B1Convencional pré-pagamentoResidencialResidencial baixa renda – faixa 04Não se aplicaNão se aplicaIntermediário",Mercado_Receita!$L$2:$L$332)+SUMIF(Mercado_Receita!$S$2:$S$332,"44409B1Convencional pré-pagamentoResidencialResidencial baixa renda – faixa 04Não se aplicaNão se aplicaNão se aplica",Mercado_Receita!$L$2:$L$332)</f>
        <v>0</v>
      </c>
      <c r="M26" s="12">
        <f>SUMIF(Mercado_Receita!$S$2:$S$332,"44440B1Convencional pré-pagamentoResidencialResidencial baixa renda – faixa 04Não se aplicaNão se aplicaPonta",Mercado_Receita!$L$2:$L$332)+SUMIF(Mercado_Receita!$S$2:$S$332,"44440B1Convencional pré-pagamentoResidencialResidencial baixa renda – faixa 04Não se aplicaNão se aplicaFora ponta",Mercado_Receita!$L$2:$L$332)+SUMIF(Mercado_Receita!$S$2:$S$332,"44440B1Convencional pré-pagamentoResidencialResidencial baixa renda – faixa 04Não se aplicaNão se aplicaIntermediário",Mercado_Receita!$L$2:$L$332)+SUMIF(Mercado_Receita!$S$2:$S$332,"44440B1Convencional pré-pagamentoResidencialResidencial baixa renda – faixa 04Não se aplicaNão se aplicaNão se aplica",Mercado_Receita!$L$2:$L$332)</f>
        <v>0</v>
      </c>
      <c r="N26" s="12">
        <f>SUMIF(Mercado_Receita!$S$2:$S$332,"44470B1Convencional pré-pagamentoResidencialResidencial baixa renda – faixa 04Não se aplicaNão se aplicaPonta",Mercado_Receita!$L$2:$L$332)+SUMIF(Mercado_Receita!$S$2:$S$332,"44470B1Convencional pré-pagamentoResidencialResidencial baixa renda – faixa 04Não se aplicaNão se aplicaFora ponta",Mercado_Receita!$L$2:$L$332)+SUMIF(Mercado_Receita!$S$2:$S$332,"44470B1Convencional pré-pagamentoResidencialResidencial baixa renda – faixa 04Não se aplicaNão se aplicaIntermediário",Mercado_Receita!$L$2:$L$332)+SUMIF(Mercado_Receita!$S$2:$S$332,"44470B1Convencional pré-pagamentoResidencialResidencial baixa renda – faixa 04Não se aplicaNão se aplicaNão se aplica",Mercado_Receita!$L$2:$L$332)</f>
        <v>0</v>
      </c>
      <c r="O26" s="12">
        <f>SUMIF(Mercado_Receita!$S$2:$S$332,"44501B1Convencional pré-pagamentoResidencialResidencial baixa renda – faixa 04Não se aplicaNão se aplicaPonta",Mercado_Receita!$L$2:$L$332)+SUMIF(Mercado_Receita!$S$2:$S$332,"44501B1Convencional pré-pagamentoResidencialResidencial baixa renda – faixa 04Não se aplicaNão se aplicaFora ponta",Mercado_Receita!$L$2:$L$332)+SUMIF(Mercado_Receita!$S$2:$S$332,"44501B1Convencional pré-pagamentoResidencialResidencial baixa renda – faixa 04Não se aplicaNão se aplicaIntermediário",Mercado_Receita!$L$2:$L$332)+SUMIF(Mercado_Receita!$S$2:$S$332,"44501B1Convencional pré-pagamentoResidencialResidencial baixa renda – faixa 04Não se aplicaNão se aplicaNão se aplica",Mercado_Receita!$L$2:$L$332)</f>
        <v>0</v>
      </c>
      <c r="P26" s="12">
        <f>SUMIF(Mercado_Receita!$S$2:$S$332,"44531B1Convencional pré-pagamentoResidencialResidencial baixa renda – faixa 04Não se aplicaNão se aplicaPonta",Mercado_Receita!$L$2:$L$332)+SUMIF(Mercado_Receita!$S$2:$S$332,"44531B1Convencional pré-pagamentoResidencialResidencial baixa renda – faixa 04Não se aplicaNão se aplicaFora ponta",Mercado_Receita!$L$2:$L$332)+SUMIF(Mercado_Receita!$S$2:$S$332,"44531B1Convencional pré-pagamentoResidencialResidencial baixa renda – faixa 04Não se aplicaNão se aplicaIntermediário",Mercado_Receita!$L$2:$L$332)+SUMIF(Mercado_Receita!$S$2:$S$332,"44531B1Convencional pré-pagamentoResidencialResidencial baixa renda – faixa 04Não se aplicaNão se aplicaNão se aplica",Mercado_Receita!$L$2:$L$332)</f>
        <v>0</v>
      </c>
      <c r="Q26" s="12">
        <f>SUMIF(Mercado_Receita!$S$2:$S$332,"44562B1Convencional pré-pagamentoResidencialResidencial baixa renda – faixa 04Não se aplicaNão se aplicaPonta",Mercado_Receita!$L$2:$L$332)+SUMIF(Mercado_Receita!$S$2:$S$332,"44562B1Convencional pré-pagamentoResidencialResidencial baixa renda – faixa 04Não se aplicaNão se aplicaFora ponta",Mercado_Receita!$L$2:$L$332)+SUMIF(Mercado_Receita!$S$2:$S$332,"44562B1Convencional pré-pagamentoResidencialResidencial baixa renda – faixa 04Não se aplicaNão se aplicaIntermediário",Mercado_Receita!$L$2:$L$332)+SUMIF(Mercado_Receita!$S$2:$S$332,"44562B1Convencional pré-pagamentoResidencialResidencial baixa renda – faixa 04Não se aplicaNão se aplicaNão se aplica",Mercado_Receita!$L$2:$L$332)</f>
        <v>0</v>
      </c>
      <c r="R26" s="12">
        <f>SUMIF(Mercado_Receita!$S$2:$S$332,"44593B1Convencional pré-pagamentoResidencialResidencial baixa renda – faixa 04Não se aplicaNão se aplicaPonta",Mercado_Receita!$L$2:$L$332)+SUMIF(Mercado_Receita!$S$2:$S$332,"44593B1Convencional pré-pagamentoResidencialResidencial baixa renda – faixa 04Não se aplicaNão se aplicaFora ponta",Mercado_Receita!$L$2:$L$332)+SUMIF(Mercado_Receita!$S$2:$S$332,"44593B1Convencional pré-pagamentoResidencialResidencial baixa renda – faixa 04Não se aplicaNão se aplicaIntermediário",Mercado_Receita!$L$2:$L$332)+SUMIF(Mercado_Receita!$S$2:$S$332,"44593B1Convencional pré-pagamentoResidencialResidencial baixa renda – faixa 04Não se aplicaNão se aplicaNão se aplica",Mercado_Receita!$L$2:$L$332)</f>
        <v>0</v>
      </c>
      <c r="S26" s="12">
        <f>SUMIF(Mercado_Receita!$S$2:$S$332,"44621B1Convencional pré-pagamentoResidencialResidencial baixa renda – faixa 04Não se aplicaNão se aplicaPonta",Mercado_Receita!$L$2:$L$332)+SUMIF(Mercado_Receita!$S$2:$S$332,"44621B1Convencional pré-pagamentoResidencialResidencial baixa renda – faixa 04Não se aplicaNão se aplicaFora ponta",Mercado_Receita!$L$2:$L$332)+SUMIF(Mercado_Receita!$S$2:$S$332,"44621B1Convencional pré-pagamentoResidencialResidencial baixa renda – faixa 04Não se aplicaNão se aplicaIntermediário",Mercado_Receita!$L$2:$L$332)+SUMIF(Mercado_Receita!$S$2:$S$332,"44621B1Convencional pré-pagamentoResidencialResidencial baixa renda – faixa 04Não se aplicaNão se aplicaNão se aplica",Mercado_Receita!$L$2:$L$332)</f>
        <v>0</v>
      </c>
      <c r="T26" s="12">
        <f>SUMIF(Mercado_Receita!$S$2:$S$332,"44652B1Convencional pré-pagamentoResidencialResidencial baixa renda – faixa 04Não se aplicaNão se aplicaPonta",Mercado_Receita!$L$2:$L$332)+SUMIF(Mercado_Receita!$S$2:$S$332,"44652B1Convencional pré-pagamentoResidencialResidencial baixa renda – faixa 04Não se aplicaNão se aplicaFora ponta",Mercado_Receita!$L$2:$L$332)+SUMIF(Mercado_Receita!$S$2:$S$332,"44652B1Convencional pré-pagamentoResidencialResidencial baixa renda – faixa 04Não se aplicaNão se aplicaIntermediário",Mercado_Receita!$L$2:$L$332)+SUMIF(Mercado_Receita!$S$2:$S$332,"44652B1Convencional pré-pagamentoResidencialResidencial baixa renda – faixa 04Não se aplicaNão se aplicaNão se aplica",Mercado_Receita!$L$2:$L$332)</f>
        <v>0</v>
      </c>
      <c r="U26" s="12">
        <f t="shared" si="0"/>
        <v>0</v>
      </c>
      <c r="V26" s="12"/>
      <c r="W26" s="12"/>
    </row>
    <row r="27" spans="1:23" ht="11.25" customHeight="1" x14ac:dyDescent="0.25">
      <c r="A27" s="113" t="s">
        <v>41</v>
      </c>
      <c r="B27" s="113" t="s">
        <v>39</v>
      </c>
      <c r="C27" s="113" t="s">
        <v>42</v>
      </c>
      <c r="D27" s="113" t="s">
        <v>25</v>
      </c>
      <c r="E27" s="113" t="s">
        <v>25</v>
      </c>
      <c r="F27" s="113" t="s">
        <v>25</v>
      </c>
      <c r="G27" s="12" t="s">
        <v>70</v>
      </c>
      <c r="H27" s="12" t="s">
        <v>69</v>
      </c>
      <c r="I27" s="12">
        <f>SUMIF(Mercado_Receita!$S$2:$S$332,"44317B2BrancaRuralNão se aplicaNão se aplicaNão se aplicaPonta",Mercado_Receita!$L$2:$L$332)</f>
        <v>0.03</v>
      </c>
      <c r="J27" s="12">
        <f>SUMIF(Mercado_Receita!$S$2:$S$332,"44348B2BrancaRuralNão se aplicaNão se aplicaNão se aplicaPonta",Mercado_Receita!$L$2:$L$332)</f>
        <v>0.03</v>
      </c>
      <c r="K27" s="12">
        <f>SUMIF(Mercado_Receita!$S$2:$S$332,"44378B2BrancaRuralNão se aplicaNão se aplicaNão se aplicaPonta",Mercado_Receita!$L$2:$L$332)</f>
        <v>2.9000000000000001E-2</v>
      </c>
      <c r="L27" s="12">
        <f>SUMIF(Mercado_Receita!$S$2:$S$332,"44409B2BrancaRuralNão se aplicaNão se aplicaNão se aplicaPonta",Mercado_Receita!$L$2:$L$332)</f>
        <v>0.03</v>
      </c>
      <c r="M27" s="12">
        <f>SUMIF(Mercado_Receita!$S$2:$S$332,"44440B2BrancaRuralNão se aplicaNão se aplicaNão se aplicaPonta",Mercado_Receita!$L$2:$L$332)</f>
        <v>2.8000000000000001E-2</v>
      </c>
      <c r="N27" s="12">
        <f>SUMIF(Mercado_Receita!$S$2:$S$332,"44470B2BrancaRuralNão se aplicaNão se aplicaNão se aplicaPonta",Mercado_Receita!$L$2:$L$332)</f>
        <v>1.4E-2</v>
      </c>
      <c r="O27" s="12">
        <f>SUMIF(Mercado_Receita!$S$2:$S$332,"44501B2BrancaRuralNão se aplicaNão se aplicaNão se aplicaPonta",Mercado_Receita!$L$2:$L$332)</f>
        <v>0.01</v>
      </c>
      <c r="P27" s="12">
        <f>SUMIF(Mercado_Receita!$S$2:$S$332,"44531B2BrancaRuralNão se aplicaNão se aplicaNão se aplicaPonta",Mercado_Receita!$L$2:$L$332)</f>
        <v>2.7E-2</v>
      </c>
      <c r="Q27" s="12">
        <f>SUMIF(Mercado_Receita!$S$2:$S$332,"44562B2BrancaRuralNão se aplicaNão se aplicaNão se aplicaPonta",Mercado_Receita!$L$2:$L$332)</f>
        <v>4.2000000000000003E-2</v>
      </c>
      <c r="R27" s="12">
        <f>SUMIF(Mercado_Receita!$S$2:$S$332,"44593B2BrancaRuralNão se aplicaNão se aplicaNão se aplicaPonta",Mercado_Receita!$L$2:$L$332)</f>
        <v>3.6999999999999998E-2</v>
      </c>
      <c r="S27" s="12">
        <f>SUMIF(Mercado_Receita!$S$2:$S$332,"44621B2BrancaRuralNão se aplicaNão se aplicaNão se aplicaPonta",Mercado_Receita!$L$2:$L$332)</f>
        <v>3.6999999999999998E-2</v>
      </c>
      <c r="T27" s="12">
        <f>SUMIF(Mercado_Receita!$S$2:$S$332,"44652B2BrancaRuralNão se aplicaNão se aplicaNão se aplicaPonta",Mercado_Receita!$L$2:$L$332)</f>
        <v>2.7E-2</v>
      </c>
      <c r="U27" s="12">
        <f t="shared" si="0"/>
        <v>0.34100000000000003</v>
      </c>
      <c r="V27" s="12"/>
      <c r="W27" s="12"/>
    </row>
    <row r="28" spans="1:23" ht="11.25" customHeight="1" x14ac:dyDescent="0.25">
      <c r="A28" s="114"/>
      <c r="B28" s="114"/>
      <c r="C28" s="114"/>
      <c r="D28" s="114"/>
      <c r="E28" s="114"/>
      <c r="F28" s="114"/>
      <c r="G28" s="12" t="s">
        <v>83</v>
      </c>
      <c r="H28" s="12" t="s">
        <v>69</v>
      </c>
      <c r="I28" s="12">
        <f>SUMIF(Mercado_Receita!$S$2:$S$332,"44317B2BrancaRuralNão se aplicaNão se aplicaNão se aplicaIntermediário",Mercado_Receita!$L$2:$L$332)</f>
        <v>0.02</v>
      </c>
      <c r="J28" s="12">
        <f>SUMIF(Mercado_Receita!$S$2:$S$332,"44348B2BrancaRuralNão se aplicaNão se aplicaNão se aplicaIntermediário",Mercado_Receita!$L$2:$L$332)</f>
        <v>0.02</v>
      </c>
      <c r="K28" s="12">
        <f>SUMIF(Mercado_Receita!$S$2:$S$332,"44378B2BrancaRuralNão se aplicaNão se aplicaNão se aplicaIntermediário",Mercado_Receita!$L$2:$L$332)</f>
        <v>1.9E-2</v>
      </c>
      <c r="L28" s="12">
        <f>SUMIF(Mercado_Receita!$S$2:$S$332,"44409B2BrancaRuralNão se aplicaNão se aplicaNão se aplicaIntermediário",Mercado_Receita!$L$2:$L$332)</f>
        <v>2.1000000000000001E-2</v>
      </c>
      <c r="M28" s="12">
        <f>SUMIF(Mercado_Receita!$S$2:$S$332,"44440B2BrancaRuralNão se aplicaNão se aplicaNão se aplicaIntermediário",Mercado_Receita!$L$2:$L$332)</f>
        <v>2.5000000000000001E-2</v>
      </c>
      <c r="N28" s="12">
        <f>SUMIF(Mercado_Receita!$S$2:$S$332,"44470B2BrancaRuralNão se aplicaNão se aplicaNão se aplicaIntermediário",Mercado_Receita!$L$2:$L$332)</f>
        <v>3.9E-2</v>
      </c>
      <c r="O28" s="12">
        <f>SUMIF(Mercado_Receita!$S$2:$S$332,"44501B2BrancaRuralNão se aplicaNão se aplicaNão se aplicaIntermediário",Mercado_Receita!$L$2:$L$332)</f>
        <v>5.1999999999999998E-2</v>
      </c>
      <c r="P28" s="12">
        <f>SUMIF(Mercado_Receita!$S$2:$S$332,"44531B2BrancaRuralNão se aplicaNão se aplicaNão se aplicaIntermediário",Mercado_Receita!$L$2:$L$332)</f>
        <v>0.1</v>
      </c>
      <c r="Q28" s="12">
        <f>SUMIF(Mercado_Receita!$S$2:$S$332,"44562B2BrancaRuralNão se aplicaNão se aplicaNão se aplicaIntermediário",Mercado_Receita!$L$2:$L$332)</f>
        <v>4.2000000000000003E-2</v>
      </c>
      <c r="R28" s="12">
        <f>SUMIF(Mercado_Receita!$S$2:$S$332,"44593B2BrancaRuralNão se aplicaNão se aplicaNão se aplicaIntermediário",Mercado_Receita!$L$2:$L$332)</f>
        <v>0.105</v>
      </c>
      <c r="S28" s="12">
        <f>SUMIF(Mercado_Receita!$S$2:$S$332,"44621B2BrancaRuralNão se aplicaNão se aplicaNão se aplicaIntermediário",Mercado_Receita!$L$2:$L$332)</f>
        <v>8.5000000000000006E-2</v>
      </c>
      <c r="T28" s="12">
        <f>SUMIF(Mercado_Receita!$S$2:$S$332,"44652B2BrancaRuralNão se aplicaNão se aplicaNão se aplicaIntermediário",Mercado_Receita!$L$2:$L$332)</f>
        <v>2.7E-2</v>
      </c>
      <c r="U28" s="12">
        <f t="shared" si="0"/>
        <v>0.55500000000000005</v>
      </c>
      <c r="V28" s="12"/>
      <c r="W28" s="12"/>
    </row>
    <row r="29" spans="1:23" ht="11.25" customHeight="1" x14ac:dyDescent="0.25">
      <c r="A29" s="114"/>
      <c r="B29" s="114"/>
      <c r="C29" s="114"/>
      <c r="D29" s="114"/>
      <c r="E29" s="114"/>
      <c r="F29" s="114"/>
      <c r="G29" s="12" t="s">
        <v>71</v>
      </c>
      <c r="H29" s="12" t="s">
        <v>69</v>
      </c>
      <c r="I29" s="12">
        <f>SUMIF(Mercado_Receita!$S$2:$S$332,"44317B2BrancaRuralNão se aplicaNão se aplicaNão se aplicaFora ponta",Mercado_Receita!$L$2:$L$332)</f>
        <v>0.35799999999999998</v>
      </c>
      <c r="J29" s="12">
        <f>SUMIF(Mercado_Receita!$S$2:$S$332,"44348B2BrancaRuralNão se aplicaNão se aplicaNão se aplicaFora ponta",Mercado_Receita!$L$2:$L$332)</f>
        <v>0.311</v>
      </c>
      <c r="K29" s="12">
        <f>SUMIF(Mercado_Receita!$S$2:$S$332,"44378B2BrancaRuralNão se aplicaNão se aplicaNão se aplicaFora ponta",Mercado_Receita!$L$2:$L$332)</f>
        <v>0.41899999999999998</v>
      </c>
      <c r="L29" s="12">
        <f>SUMIF(Mercado_Receita!$S$2:$S$332,"44409B2BrancaRuralNão se aplicaNão se aplicaNão se aplicaFora ponta",Mercado_Receita!$L$2:$L$332)</f>
        <v>0.36899999999999999</v>
      </c>
      <c r="M29" s="12">
        <f>SUMIF(Mercado_Receita!$S$2:$S$332,"44440B2BrancaRuralNão se aplicaNão se aplicaNão se aplicaFora ponta",Mercado_Receita!$L$2:$L$332)</f>
        <v>0.7</v>
      </c>
      <c r="N29" s="12">
        <f>SUMIF(Mercado_Receita!$S$2:$S$332,"44470B2BrancaRuralNão se aplicaNão se aplicaNão se aplicaFora ponta",Mercado_Receita!$L$2:$L$332)</f>
        <v>2.4430000000000001</v>
      </c>
      <c r="O29" s="12">
        <f>SUMIF(Mercado_Receita!$S$2:$S$332,"44501B2BrancaRuralNão se aplicaNão se aplicaNão se aplicaFora ponta",Mercado_Receita!$L$2:$L$332)</f>
        <v>2.0289999999999999</v>
      </c>
      <c r="P29" s="12">
        <f>SUMIF(Mercado_Receita!$S$2:$S$332,"44531B2BrancaRuralNão se aplicaNão se aplicaNão se aplicaFora ponta",Mercado_Receita!$L$2:$L$332)</f>
        <v>2.347</v>
      </c>
      <c r="Q29" s="12">
        <f>SUMIF(Mercado_Receita!$S$2:$S$332,"44562B2BrancaRuralNão se aplicaNão se aplicaNão se aplicaFora ponta",Mercado_Receita!$L$2:$L$332)</f>
        <v>0.98799999999999999</v>
      </c>
      <c r="R29" s="12">
        <f>SUMIF(Mercado_Receita!$S$2:$S$332,"44593B2BrancaRuralNão se aplicaNão se aplicaNão se aplicaFora ponta",Mercado_Receita!$L$2:$L$332)</f>
        <v>2.86</v>
      </c>
      <c r="S29" s="12">
        <f>SUMIF(Mercado_Receita!$S$2:$S$332,"44621B2BrancaRuralNão se aplicaNão se aplicaNão se aplicaFora ponta",Mercado_Receita!$L$2:$L$332)</f>
        <v>2.86</v>
      </c>
      <c r="T29" s="12">
        <f>SUMIF(Mercado_Receita!$S$2:$S$332,"44652B2BrancaRuralNão se aplicaNão se aplicaNão se aplicaFora ponta",Mercado_Receita!$L$2:$L$332)</f>
        <v>0.88200000000000001</v>
      </c>
      <c r="U29" s="12">
        <f t="shared" si="0"/>
        <v>16.565999999999999</v>
      </c>
      <c r="V29" s="12"/>
      <c r="W29" s="12"/>
    </row>
    <row r="30" spans="1:23" ht="11.25" customHeight="1" x14ac:dyDescent="0.25">
      <c r="A30" s="114"/>
      <c r="B30" s="13" t="s">
        <v>23</v>
      </c>
      <c r="C30" s="13" t="s">
        <v>42</v>
      </c>
      <c r="D30" s="13" t="s">
        <v>25</v>
      </c>
      <c r="E30" s="13" t="s">
        <v>25</v>
      </c>
      <c r="F30" s="13" t="s">
        <v>25</v>
      </c>
      <c r="G30" s="12" t="s">
        <v>73</v>
      </c>
      <c r="H30" s="12" t="s">
        <v>69</v>
      </c>
      <c r="I30" s="12">
        <f>SUMIF(Mercado_Receita!$S$2:$S$332,"44317B2ConvencionalRuralNão se aplicaNão se aplicaNão se aplicaPonta",Mercado_Receita!$L$2:$L$332)+SUMIF(Mercado_Receita!$S$2:$S$332,"44317B2ConvencionalRuralNão se aplicaNão se aplicaNão se aplicaFora ponta",Mercado_Receita!$L$2:$L$332)+SUMIF(Mercado_Receita!$S$2:$S$332,"44317B2ConvencionalRuralNão se aplicaNão se aplicaNão se aplicaIntermediário",Mercado_Receita!$L$2:$L$332)+SUMIF(Mercado_Receita!$S$2:$S$332,"44317B2ConvencionalRuralNão se aplicaNão se aplicaNão se aplicaNão se aplica",Mercado_Receita!$L$2:$L$332)</f>
        <v>208.55599999999998</v>
      </c>
      <c r="J30" s="12">
        <f>SUMIF(Mercado_Receita!$S$2:$S$332,"44348B2ConvencionalRuralNão se aplicaNão se aplicaNão se aplicaPonta",Mercado_Receita!$L$2:$L$332)+SUMIF(Mercado_Receita!$S$2:$S$332,"44348B2ConvencionalRuralNão se aplicaNão se aplicaNão se aplicaFora ponta",Mercado_Receita!$L$2:$L$332)+SUMIF(Mercado_Receita!$S$2:$S$332,"44348B2ConvencionalRuralNão se aplicaNão se aplicaNão se aplicaIntermediário",Mercado_Receita!$L$2:$L$332)+SUMIF(Mercado_Receita!$S$2:$S$332,"44348B2ConvencionalRuralNão se aplicaNão se aplicaNão se aplicaNão se aplica",Mercado_Receita!$L$2:$L$332)</f>
        <v>206.21</v>
      </c>
      <c r="K30" s="12">
        <f>SUMIF(Mercado_Receita!$S$2:$S$332,"44378B2ConvencionalRuralNão se aplicaNão se aplicaNão se aplicaPonta",Mercado_Receita!$L$2:$L$332)+SUMIF(Mercado_Receita!$S$2:$S$332,"44378B2ConvencionalRuralNão se aplicaNão se aplicaNão se aplicaFora ponta",Mercado_Receita!$L$2:$L$332)+SUMIF(Mercado_Receita!$S$2:$S$332,"44378B2ConvencionalRuralNão se aplicaNão se aplicaNão se aplicaIntermediário",Mercado_Receita!$L$2:$L$332)+SUMIF(Mercado_Receita!$S$2:$S$332,"44378B2ConvencionalRuralNão se aplicaNão se aplicaNão se aplicaNão se aplica",Mercado_Receita!$L$2:$L$332)</f>
        <v>187.47399999999999</v>
      </c>
      <c r="L30" s="12">
        <f>SUMIF(Mercado_Receita!$S$2:$S$332,"44409B2ConvencionalRuralNão se aplicaNão se aplicaNão se aplicaPonta",Mercado_Receita!$L$2:$L$332)+SUMIF(Mercado_Receita!$S$2:$S$332,"44409B2ConvencionalRuralNão se aplicaNão se aplicaNão se aplicaFora ponta",Mercado_Receita!$L$2:$L$332)+SUMIF(Mercado_Receita!$S$2:$S$332,"44409B2ConvencionalRuralNão se aplicaNão se aplicaNão se aplicaIntermediário",Mercado_Receita!$L$2:$L$332)+SUMIF(Mercado_Receita!$S$2:$S$332,"44409B2ConvencionalRuralNão se aplicaNão se aplicaNão se aplicaNão se aplica",Mercado_Receita!$L$2:$L$332)</f>
        <v>187.39899999999997</v>
      </c>
      <c r="M30" s="12">
        <f>SUMIF(Mercado_Receita!$S$2:$S$332,"44440B2ConvencionalRuralNão se aplicaNão se aplicaNão se aplicaPonta",Mercado_Receita!$L$2:$L$332)+SUMIF(Mercado_Receita!$S$2:$S$332,"44440B2ConvencionalRuralNão se aplicaNão se aplicaNão se aplicaFora ponta",Mercado_Receita!$L$2:$L$332)+SUMIF(Mercado_Receita!$S$2:$S$332,"44440B2ConvencionalRuralNão se aplicaNão se aplicaNão se aplicaIntermediário",Mercado_Receita!$L$2:$L$332)+SUMIF(Mercado_Receita!$S$2:$S$332,"44440B2ConvencionalRuralNão se aplicaNão se aplicaNão se aplicaNão se aplica",Mercado_Receita!$L$2:$L$332)</f>
        <v>196.36199999999999</v>
      </c>
      <c r="N30" s="12">
        <f>SUMIF(Mercado_Receita!$S$2:$S$332,"44470B2ConvencionalRuralNão se aplicaNão se aplicaNão se aplicaPonta",Mercado_Receita!$L$2:$L$332)+SUMIF(Mercado_Receita!$S$2:$S$332,"44470B2ConvencionalRuralNão se aplicaNão se aplicaNão se aplicaFora ponta",Mercado_Receita!$L$2:$L$332)+SUMIF(Mercado_Receita!$S$2:$S$332,"44470B2ConvencionalRuralNão se aplicaNão se aplicaNão se aplicaIntermediário",Mercado_Receita!$L$2:$L$332)+SUMIF(Mercado_Receita!$S$2:$S$332,"44470B2ConvencionalRuralNão se aplicaNão se aplicaNão se aplicaNão se aplica",Mercado_Receita!$L$2:$L$332)</f>
        <v>212.25399999999999</v>
      </c>
      <c r="O30" s="12">
        <f>SUMIF(Mercado_Receita!$S$2:$S$332,"44501B2ConvencionalRuralNão se aplicaNão se aplicaNão se aplicaPonta",Mercado_Receita!$L$2:$L$332)+SUMIF(Mercado_Receita!$S$2:$S$332,"44501B2ConvencionalRuralNão se aplicaNão se aplicaNão se aplicaFora ponta",Mercado_Receita!$L$2:$L$332)+SUMIF(Mercado_Receita!$S$2:$S$332,"44501B2ConvencionalRuralNão se aplicaNão se aplicaNão se aplicaIntermediário",Mercado_Receita!$L$2:$L$332)+SUMIF(Mercado_Receita!$S$2:$S$332,"44501B2ConvencionalRuralNão se aplicaNão se aplicaNão se aplicaNão se aplica",Mercado_Receita!$L$2:$L$332)</f>
        <v>254.43399999999997</v>
      </c>
      <c r="P30" s="12">
        <f>SUMIF(Mercado_Receita!$S$2:$S$332,"44531B2ConvencionalRuralNão se aplicaNão se aplicaNão se aplicaPonta",Mercado_Receita!$L$2:$L$332)+SUMIF(Mercado_Receita!$S$2:$S$332,"44531B2ConvencionalRuralNão se aplicaNão se aplicaNão se aplicaFora ponta",Mercado_Receita!$L$2:$L$332)+SUMIF(Mercado_Receita!$S$2:$S$332,"44531B2ConvencionalRuralNão se aplicaNão se aplicaNão se aplicaIntermediário",Mercado_Receita!$L$2:$L$332)+SUMIF(Mercado_Receita!$S$2:$S$332,"44531B2ConvencionalRuralNão se aplicaNão se aplicaNão se aplicaNão se aplica",Mercado_Receita!$L$2:$L$332)</f>
        <v>226.245</v>
      </c>
      <c r="Q30" s="12">
        <f>SUMIF(Mercado_Receita!$S$2:$S$332,"44562B2ConvencionalRuralNão se aplicaNão se aplicaNão se aplicaPonta",Mercado_Receita!$L$2:$L$332)+SUMIF(Mercado_Receita!$S$2:$S$332,"44562B2ConvencionalRuralNão se aplicaNão se aplicaNão se aplicaFora ponta",Mercado_Receita!$L$2:$L$332)+SUMIF(Mercado_Receita!$S$2:$S$332,"44562B2ConvencionalRuralNão se aplicaNão se aplicaNão se aplicaIntermediário",Mercado_Receita!$L$2:$L$332)+SUMIF(Mercado_Receita!$S$2:$S$332,"44562B2ConvencionalRuralNão se aplicaNão se aplicaNão se aplicaNão se aplica",Mercado_Receita!$L$2:$L$332)</f>
        <v>220.60400000000001</v>
      </c>
      <c r="R30" s="12">
        <f>SUMIF(Mercado_Receita!$S$2:$S$332,"44593B2ConvencionalRuralNão se aplicaNão se aplicaNão se aplicaPonta",Mercado_Receita!$L$2:$L$332)+SUMIF(Mercado_Receita!$S$2:$S$332,"44593B2ConvencionalRuralNão se aplicaNão se aplicaNão se aplicaFora ponta",Mercado_Receita!$L$2:$L$332)+SUMIF(Mercado_Receita!$S$2:$S$332,"44593B2ConvencionalRuralNão se aplicaNão se aplicaNão se aplicaIntermediário",Mercado_Receita!$L$2:$L$332)+SUMIF(Mercado_Receita!$S$2:$S$332,"44593B2ConvencionalRuralNão se aplicaNão se aplicaNão se aplicaNão se aplica",Mercado_Receita!$L$2:$L$332)</f>
        <v>218.423</v>
      </c>
      <c r="S30" s="12">
        <f>SUMIF(Mercado_Receita!$S$2:$S$332,"44621B2ConvencionalRuralNão se aplicaNão se aplicaNão se aplicaPonta",Mercado_Receita!$L$2:$L$332)+SUMIF(Mercado_Receita!$S$2:$S$332,"44621B2ConvencionalRuralNão se aplicaNão se aplicaNão se aplicaFora ponta",Mercado_Receita!$L$2:$L$332)+SUMIF(Mercado_Receita!$S$2:$S$332,"44621B2ConvencionalRuralNão se aplicaNão se aplicaNão se aplicaIntermediário",Mercado_Receita!$L$2:$L$332)+SUMIF(Mercado_Receita!$S$2:$S$332,"44621B2ConvencionalRuralNão se aplicaNão se aplicaNão se aplicaNão se aplica",Mercado_Receita!$L$2:$L$332)</f>
        <v>225.32299999999998</v>
      </c>
      <c r="T30" s="12">
        <f>SUMIF(Mercado_Receita!$S$2:$S$332,"44652B2ConvencionalRuralNão se aplicaNão se aplicaNão se aplicaPonta",Mercado_Receita!$L$2:$L$332)+SUMIF(Mercado_Receita!$S$2:$S$332,"44652B2ConvencionalRuralNão se aplicaNão se aplicaNão se aplicaFora ponta",Mercado_Receita!$L$2:$L$332)+SUMIF(Mercado_Receita!$S$2:$S$332,"44652B2ConvencionalRuralNão se aplicaNão se aplicaNão se aplicaIntermediário",Mercado_Receita!$L$2:$L$332)+SUMIF(Mercado_Receita!$S$2:$S$332,"44652B2ConvencionalRuralNão se aplicaNão se aplicaNão se aplicaNão se aplica",Mercado_Receita!$L$2:$L$332)</f>
        <v>206.32600000000002</v>
      </c>
      <c r="U30" s="12">
        <f t="shared" si="0"/>
        <v>2549.6099999999997</v>
      </c>
      <c r="V30" s="12"/>
      <c r="W30" s="12"/>
    </row>
    <row r="31" spans="1:23" ht="11.25" customHeight="1" x14ac:dyDescent="0.25">
      <c r="A31" s="114"/>
      <c r="B31" s="113" t="s">
        <v>39</v>
      </c>
      <c r="C31" s="113" t="s">
        <v>42</v>
      </c>
      <c r="D31" s="113" t="s">
        <v>86</v>
      </c>
      <c r="E31" s="113" t="s">
        <v>25</v>
      </c>
      <c r="F31" s="113" t="s">
        <v>25</v>
      </c>
      <c r="G31" s="12" t="s">
        <v>70</v>
      </c>
      <c r="H31" s="12" t="s">
        <v>69</v>
      </c>
      <c r="I31" s="12">
        <f>SUMIF(Mercado_Receita!$S$2:$S$332,"44317B2BrancaRuralCooperativa de eletrificação ruralNão se aplicaNão se aplicaPonta",Mercado_Receita!$L$2:$L$332)</f>
        <v>0</v>
      </c>
      <c r="J31" s="12">
        <f>SUMIF(Mercado_Receita!$S$2:$S$332,"44348B2BrancaRuralCooperativa de eletrificação ruralNão se aplicaNão se aplicaPonta",Mercado_Receita!$L$2:$L$332)</f>
        <v>0</v>
      </c>
      <c r="K31" s="12">
        <f>SUMIF(Mercado_Receita!$S$2:$S$332,"44378B2BrancaRuralCooperativa de eletrificação ruralNão se aplicaNão se aplicaPonta",Mercado_Receita!$L$2:$L$332)</f>
        <v>0</v>
      </c>
      <c r="L31" s="12">
        <f>SUMIF(Mercado_Receita!$S$2:$S$332,"44409B2BrancaRuralCooperativa de eletrificação ruralNão se aplicaNão se aplicaPonta",Mercado_Receita!$L$2:$L$332)</f>
        <v>0</v>
      </c>
      <c r="M31" s="12">
        <f>SUMIF(Mercado_Receita!$S$2:$S$332,"44440B2BrancaRuralCooperativa de eletrificação ruralNão se aplicaNão se aplicaPonta",Mercado_Receita!$L$2:$L$332)</f>
        <v>0</v>
      </c>
      <c r="N31" s="12">
        <f>SUMIF(Mercado_Receita!$S$2:$S$332,"44470B2BrancaRuralCooperativa de eletrificação ruralNão se aplicaNão se aplicaPonta",Mercado_Receita!$L$2:$L$332)</f>
        <v>0</v>
      </c>
      <c r="O31" s="12">
        <f>SUMIF(Mercado_Receita!$S$2:$S$332,"44501B2BrancaRuralCooperativa de eletrificação ruralNão se aplicaNão se aplicaPonta",Mercado_Receita!$L$2:$L$332)</f>
        <v>0</v>
      </c>
      <c r="P31" s="12">
        <f>SUMIF(Mercado_Receita!$S$2:$S$332,"44531B2BrancaRuralCooperativa de eletrificação ruralNão se aplicaNão se aplicaPonta",Mercado_Receita!$L$2:$L$332)</f>
        <v>0</v>
      </c>
      <c r="Q31" s="12">
        <f>SUMIF(Mercado_Receita!$S$2:$S$332,"44562B2BrancaRuralCooperativa de eletrificação ruralNão se aplicaNão se aplicaPonta",Mercado_Receita!$L$2:$L$332)</f>
        <v>0</v>
      </c>
      <c r="R31" s="12">
        <f>SUMIF(Mercado_Receita!$S$2:$S$332,"44593B2BrancaRuralCooperativa de eletrificação ruralNão se aplicaNão se aplicaPonta",Mercado_Receita!$L$2:$L$332)</f>
        <v>0</v>
      </c>
      <c r="S31" s="12">
        <f>SUMIF(Mercado_Receita!$S$2:$S$332,"44621B2BrancaRuralCooperativa de eletrificação ruralNão se aplicaNão se aplicaPonta",Mercado_Receita!$L$2:$L$332)</f>
        <v>0</v>
      </c>
      <c r="T31" s="12">
        <f>SUMIF(Mercado_Receita!$S$2:$S$332,"44652B2BrancaRuralCooperativa de eletrificação ruralNão se aplicaNão se aplicaPonta",Mercado_Receita!$L$2:$L$332)</f>
        <v>0</v>
      </c>
      <c r="U31" s="12">
        <f t="shared" si="0"/>
        <v>0</v>
      </c>
      <c r="V31" s="12"/>
      <c r="W31" s="12"/>
    </row>
    <row r="32" spans="1:23" ht="11.25" customHeight="1" x14ac:dyDescent="0.25">
      <c r="A32" s="114"/>
      <c r="B32" s="114"/>
      <c r="C32" s="114"/>
      <c r="D32" s="114"/>
      <c r="E32" s="114"/>
      <c r="F32" s="114"/>
      <c r="G32" s="12" t="s">
        <v>83</v>
      </c>
      <c r="H32" s="12" t="s">
        <v>69</v>
      </c>
      <c r="I32" s="12">
        <f>SUMIF(Mercado_Receita!$S$2:$S$332,"44317B2BrancaRuralCooperativa de eletrificação ruralNão se aplicaNão se aplicaIntermediário",Mercado_Receita!$L$2:$L$332)</f>
        <v>0</v>
      </c>
      <c r="J32" s="12">
        <f>SUMIF(Mercado_Receita!$S$2:$S$332,"44348B2BrancaRuralCooperativa de eletrificação ruralNão se aplicaNão se aplicaIntermediário",Mercado_Receita!$L$2:$L$332)</f>
        <v>0</v>
      </c>
      <c r="K32" s="12">
        <f>SUMIF(Mercado_Receita!$S$2:$S$332,"44378B2BrancaRuralCooperativa de eletrificação ruralNão se aplicaNão se aplicaIntermediário",Mercado_Receita!$L$2:$L$332)</f>
        <v>0</v>
      </c>
      <c r="L32" s="12">
        <f>SUMIF(Mercado_Receita!$S$2:$S$332,"44409B2BrancaRuralCooperativa de eletrificação ruralNão se aplicaNão se aplicaIntermediário",Mercado_Receita!$L$2:$L$332)</f>
        <v>0</v>
      </c>
      <c r="M32" s="12">
        <f>SUMIF(Mercado_Receita!$S$2:$S$332,"44440B2BrancaRuralCooperativa de eletrificação ruralNão se aplicaNão se aplicaIntermediário",Mercado_Receita!$L$2:$L$332)</f>
        <v>0</v>
      </c>
      <c r="N32" s="12">
        <f>SUMIF(Mercado_Receita!$S$2:$S$332,"44470B2BrancaRuralCooperativa de eletrificação ruralNão se aplicaNão se aplicaIntermediário",Mercado_Receita!$L$2:$L$332)</f>
        <v>0</v>
      </c>
      <c r="O32" s="12">
        <f>SUMIF(Mercado_Receita!$S$2:$S$332,"44501B2BrancaRuralCooperativa de eletrificação ruralNão se aplicaNão se aplicaIntermediário",Mercado_Receita!$L$2:$L$332)</f>
        <v>0</v>
      </c>
      <c r="P32" s="12">
        <f>SUMIF(Mercado_Receita!$S$2:$S$332,"44531B2BrancaRuralCooperativa de eletrificação ruralNão se aplicaNão se aplicaIntermediário",Mercado_Receita!$L$2:$L$332)</f>
        <v>0</v>
      </c>
      <c r="Q32" s="12">
        <f>SUMIF(Mercado_Receita!$S$2:$S$332,"44562B2BrancaRuralCooperativa de eletrificação ruralNão se aplicaNão se aplicaIntermediário",Mercado_Receita!$L$2:$L$332)</f>
        <v>0</v>
      </c>
      <c r="R32" s="12">
        <f>SUMIF(Mercado_Receita!$S$2:$S$332,"44593B2BrancaRuralCooperativa de eletrificação ruralNão se aplicaNão se aplicaIntermediário",Mercado_Receita!$L$2:$L$332)</f>
        <v>0</v>
      </c>
      <c r="S32" s="12">
        <f>SUMIF(Mercado_Receita!$S$2:$S$332,"44621B2BrancaRuralCooperativa de eletrificação ruralNão se aplicaNão se aplicaIntermediário",Mercado_Receita!$L$2:$L$332)</f>
        <v>0</v>
      </c>
      <c r="T32" s="12">
        <f>SUMIF(Mercado_Receita!$S$2:$S$332,"44652B2BrancaRuralCooperativa de eletrificação ruralNão se aplicaNão se aplicaIntermediário",Mercado_Receita!$L$2:$L$332)</f>
        <v>0</v>
      </c>
      <c r="U32" s="12">
        <f t="shared" si="0"/>
        <v>0</v>
      </c>
      <c r="V32" s="12"/>
      <c r="W32" s="12"/>
    </row>
    <row r="33" spans="1:23" ht="11.25" customHeight="1" x14ac:dyDescent="0.25">
      <c r="A33" s="114"/>
      <c r="B33" s="114"/>
      <c r="C33" s="114"/>
      <c r="D33" s="114"/>
      <c r="E33" s="114"/>
      <c r="F33" s="114"/>
      <c r="G33" s="12" t="s">
        <v>71</v>
      </c>
      <c r="H33" s="12" t="s">
        <v>69</v>
      </c>
      <c r="I33" s="12">
        <f>SUMIF(Mercado_Receita!$S$2:$S$332,"44317B2BrancaRuralCooperativa de eletrificação ruralNão se aplicaNão se aplicaFora ponta",Mercado_Receita!$L$2:$L$332)</f>
        <v>0</v>
      </c>
      <c r="J33" s="12">
        <f>SUMIF(Mercado_Receita!$S$2:$S$332,"44348B2BrancaRuralCooperativa de eletrificação ruralNão se aplicaNão se aplicaFora ponta",Mercado_Receita!$L$2:$L$332)</f>
        <v>0</v>
      </c>
      <c r="K33" s="12">
        <f>SUMIF(Mercado_Receita!$S$2:$S$332,"44378B2BrancaRuralCooperativa de eletrificação ruralNão se aplicaNão se aplicaFora ponta",Mercado_Receita!$L$2:$L$332)</f>
        <v>0</v>
      </c>
      <c r="L33" s="12">
        <f>SUMIF(Mercado_Receita!$S$2:$S$332,"44409B2BrancaRuralCooperativa de eletrificação ruralNão se aplicaNão se aplicaFora ponta",Mercado_Receita!$L$2:$L$332)</f>
        <v>0</v>
      </c>
      <c r="M33" s="12">
        <f>SUMIF(Mercado_Receita!$S$2:$S$332,"44440B2BrancaRuralCooperativa de eletrificação ruralNão se aplicaNão se aplicaFora ponta",Mercado_Receita!$L$2:$L$332)</f>
        <v>0</v>
      </c>
      <c r="N33" s="12">
        <f>SUMIF(Mercado_Receita!$S$2:$S$332,"44470B2BrancaRuralCooperativa de eletrificação ruralNão se aplicaNão se aplicaFora ponta",Mercado_Receita!$L$2:$L$332)</f>
        <v>0</v>
      </c>
      <c r="O33" s="12">
        <f>SUMIF(Mercado_Receita!$S$2:$S$332,"44501B2BrancaRuralCooperativa de eletrificação ruralNão se aplicaNão se aplicaFora ponta",Mercado_Receita!$L$2:$L$332)</f>
        <v>0</v>
      </c>
      <c r="P33" s="12">
        <f>SUMIF(Mercado_Receita!$S$2:$S$332,"44531B2BrancaRuralCooperativa de eletrificação ruralNão se aplicaNão se aplicaFora ponta",Mercado_Receita!$L$2:$L$332)</f>
        <v>0</v>
      </c>
      <c r="Q33" s="12">
        <f>SUMIF(Mercado_Receita!$S$2:$S$332,"44562B2BrancaRuralCooperativa de eletrificação ruralNão se aplicaNão se aplicaFora ponta",Mercado_Receita!$L$2:$L$332)</f>
        <v>0</v>
      </c>
      <c r="R33" s="12">
        <f>SUMIF(Mercado_Receita!$S$2:$S$332,"44593B2BrancaRuralCooperativa de eletrificação ruralNão se aplicaNão se aplicaFora ponta",Mercado_Receita!$L$2:$L$332)</f>
        <v>0</v>
      </c>
      <c r="S33" s="12">
        <f>SUMIF(Mercado_Receita!$S$2:$S$332,"44621B2BrancaRuralCooperativa de eletrificação ruralNão se aplicaNão se aplicaFora ponta",Mercado_Receita!$L$2:$L$332)</f>
        <v>0</v>
      </c>
      <c r="T33" s="12">
        <f>SUMIF(Mercado_Receita!$S$2:$S$332,"44652B2BrancaRuralCooperativa de eletrificação ruralNão se aplicaNão se aplicaFora ponta",Mercado_Receita!$L$2:$L$332)</f>
        <v>0</v>
      </c>
      <c r="U33" s="12">
        <f t="shared" si="0"/>
        <v>0</v>
      </c>
      <c r="V33" s="12"/>
      <c r="W33" s="12"/>
    </row>
    <row r="34" spans="1:23" ht="11.25" customHeight="1" x14ac:dyDescent="0.25">
      <c r="A34" s="114"/>
      <c r="B34" s="13" t="s">
        <v>23</v>
      </c>
      <c r="C34" s="13" t="s">
        <v>42</v>
      </c>
      <c r="D34" s="13" t="s">
        <v>86</v>
      </c>
      <c r="E34" s="13" t="s">
        <v>25</v>
      </c>
      <c r="F34" s="13" t="s">
        <v>25</v>
      </c>
      <c r="G34" s="12" t="s">
        <v>73</v>
      </c>
      <c r="H34" s="12" t="s">
        <v>69</v>
      </c>
      <c r="I34" s="12">
        <f>SUMIF(Mercado_Receita!$S$2:$S$332,"44317B2ConvencionalRuralCooperativa de eletrificação ruralNão se aplicaNão se aplicaPonta",Mercado_Receita!$L$2:$L$332)+SUMIF(Mercado_Receita!$S$2:$S$332,"44317B2ConvencionalRuralCooperativa de eletrificação ruralNão se aplicaNão se aplicaFora ponta",Mercado_Receita!$L$2:$L$332)+SUMIF(Mercado_Receita!$S$2:$S$332,"44317B2ConvencionalRuralCooperativa de eletrificação ruralNão se aplicaNão se aplicaIntermediário",Mercado_Receita!$L$2:$L$332)+SUMIF(Mercado_Receita!$S$2:$S$332,"44317B2ConvencionalRuralCooperativa de eletrificação ruralNão se aplicaNão se aplicaNão se aplica",Mercado_Receita!$L$2:$L$332)</f>
        <v>0</v>
      </c>
      <c r="J34" s="12">
        <f>SUMIF(Mercado_Receita!$S$2:$S$332,"44348B2ConvencionalRuralCooperativa de eletrificação ruralNão se aplicaNão se aplicaPonta",Mercado_Receita!$L$2:$L$332)+SUMIF(Mercado_Receita!$S$2:$S$332,"44348B2ConvencionalRuralCooperativa de eletrificação ruralNão se aplicaNão se aplicaFora ponta",Mercado_Receita!$L$2:$L$332)+SUMIF(Mercado_Receita!$S$2:$S$332,"44348B2ConvencionalRuralCooperativa de eletrificação ruralNão se aplicaNão se aplicaIntermediário",Mercado_Receita!$L$2:$L$332)+SUMIF(Mercado_Receita!$S$2:$S$332,"44348B2ConvencionalRuralCooperativa de eletrificação ruralNão se aplicaNão se aplicaNão se aplica",Mercado_Receita!$L$2:$L$332)</f>
        <v>0</v>
      </c>
      <c r="K34" s="12">
        <f>SUMIF(Mercado_Receita!$S$2:$S$332,"44378B2ConvencionalRuralCooperativa de eletrificação ruralNão se aplicaNão se aplicaPonta",Mercado_Receita!$L$2:$L$332)+SUMIF(Mercado_Receita!$S$2:$S$332,"44378B2ConvencionalRuralCooperativa de eletrificação ruralNão se aplicaNão se aplicaFora ponta",Mercado_Receita!$L$2:$L$332)+SUMIF(Mercado_Receita!$S$2:$S$332,"44378B2ConvencionalRuralCooperativa de eletrificação ruralNão se aplicaNão se aplicaIntermediário",Mercado_Receita!$L$2:$L$332)+SUMIF(Mercado_Receita!$S$2:$S$332,"44378B2ConvencionalRuralCooperativa de eletrificação ruralNão se aplicaNão se aplicaNão se aplica",Mercado_Receita!$L$2:$L$332)</f>
        <v>0</v>
      </c>
      <c r="L34" s="12">
        <f>SUMIF(Mercado_Receita!$S$2:$S$332,"44409B2ConvencionalRuralCooperativa de eletrificação ruralNão se aplicaNão se aplicaPonta",Mercado_Receita!$L$2:$L$332)+SUMIF(Mercado_Receita!$S$2:$S$332,"44409B2ConvencionalRuralCooperativa de eletrificação ruralNão se aplicaNão se aplicaFora ponta",Mercado_Receita!$L$2:$L$332)+SUMIF(Mercado_Receita!$S$2:$S$332,"44409B2ConvencionalRuralCooperativa de eletrificação ruralNão se aplicaNão se aplicaIntermediário",Mercado_Receita!$L$2:$L$332)+SUMIF(Mercado_Receita!$S$2:$S$332,"44409B2ConvencionalRuralCooperativa de eletrificação ruralNão se aplicaNão se aplicaNão se aplica",Mercado_Receita!$L$2:$L$332)</f>
        <v>0</v>
      </c>
      <c r="M34" s="12">
        <f>SUMIF(Mercado_Receita!$S$2:$S$332,"44440B2ConvencionalRuralCooperativa de eletrificação ruralNão se aplicaNão se aplicaPonta",Mercado_Receita!$L$2:$L$332)+SUMIF(Mercado_Receita!$S$2:$S$332,"44440B2ConvencionalRuralCooperativa de eletrificação ruralNão se aplicaNão se aplicaFora ponta",Mercado_Receita!$L$2:$L$332)+SUMIF(Mercado_Receita!$S$2:$S$332,"44440B2ConvencionalRuralCooperativa de eletrificação ruralNão se aplicaNão se aplicaIntermediário",Mercado_Receita!$L$2:$L$332)+SUMIF(Mercado_Receita!$S$2:$S$332,"44440B2ConvencionalRuralCooperativa de eletrificação ruralNão se aplicaNão se aplicaNão se aplica",Mercado_Receita!$L$2:$L$332)</f>
        <v>0</v>
      </c>
      <c r="N34" s="12">
        <f>SUMIF(Mercado_Receita!$S$2:$S$332,"44470B2ConvencionalRuralCooperativa de eletrificação ruralNão se aplicaNão se aplicaPonta",Mercado_Receita!$L$2:$L$332)+SUMIF(Mercado_Receita!$S$2:$S$332,"44470B2ConvencionalRuralCooperativa de eletrificação ruralNão se aplicaNão se aplicaFora ponta",Mercado_Receita!$L$2:$L$332)+SUMIF(Mercado_Receita!$S$2:$S$332,"44470B2ConvencionalRuralCooperativa de eletrificação ruralNão se aplicaNão se aplicaIntermediário",Mercado_Receita!$L$2:$L$332)+SUMIF(Mercado_Receita!$S$2:$S$332,"44470B2ConvencionalRuralCooperativa de eletrificação ruralNão se aplicaNão se aplicaNão se aplica",Mercado_Receita!$L$2:$L$332)</f>
        <v>0</v>
      </c>
      <c r="O34" s="12">
        <f>SUMIF(Mercado_Receita!$S$2:$S$332,"44501B2ConvencionalRuralCooperativa de eletrificação ruralNão se aplicaNão se aplicaPonta",Mercado_Receita!$L$2:$L$332)+SUMIF(Mercado_Receita!$S$2:$S$332,"44501B2ConvencionalRuralCooperativa de eletrificação ruralNão se aplicaNão se aplicaFora ponta",Mercado_Receita!$L$2:$L$332)+SUMIF(Mercado_Receita!$S$2:$S$332,"44501B2ConvencionalRuralCooperativa de eletrificação ruralNão se aplicaNão se aplicaIntermediário",Mercado_Receita!$L$2:$L$332)+SUMIF(Mercado_Receita!$S$2:$S$332,"44501B2ConvencionalRuralCooperativa de eletrificação ruralNão se aplicaNão se aplicaNão se aplica",Mercado_Receita!$L$2:$L$332)</f>
        <v>0</v>
      </c>
      <c r="P34" s="12">
        <f>SUMIF(Mercado_Receita!$S$2:$S$332,"44531B2ConvencionalRuralCooperativa de eletrificação ruralNão se aplicaNão se aplicaPonta",Mercado_Receita!$L$2:$L$332)+SUMIF(Mercado_Receita!$S$2:$S$332,"44531B2ConvencionalRuralCooperativa de eletrificação ruralNão se aplicaNão se aplicaFora ponta",Mercado_Receita!$L$2:$L$332)+SUMIF(Mercado_Receita!$S$2:$S$332,"44531B2ConvencionalRuralCooperativa de eletrificação ruralNão se aplicaNão se aplicaIntermediário",Mercado_Receita!$L$2:$L$332)+SUMIF(Mercado_Receita!$S$2:$S$332,"44531B2ConvencionalRuralCooperativa de eletrificação ruralNão se aplicaNão se aplicaNão se aplica",Mercado_Receita!$L$2:$L$332)</f>
        <v>0</v>
      </c>
      <c r="Q34" s="12">
        <f>SUMIF(Mercado_Receita!$S$2:$S$332,"44562B2ConvencionalRuralCooperativa de eletrificação ruralNão se aplicaNão se aplicaPonta",Mercado_Receita!$L$2:$L$332)+SUMIF(Mercado_Receita!$S$2:$S$332,"44562B2ConvencionalRuralCooperativa de eletrificação ruralNão se aplicaNão se aplicaFora ponta",Mercado_Receita!$L$2:$L$332)+SUMIF(Mercado_Receita!$S$2:$S$332,"44562B2ConvencionalRuralCooperativa de eletrificação ruralNão se aplicaNão se aplicaIntermediário",Mercado_Receita!$L$2:$L$332)+SUMIF(Mercado_Receita!$S$2:$S$332,"44562B2ConvencionalRuralCooperativa de eletrificação ruralNão se aplicaNão se aplicaNão se aplica",Mercado_Receita!$L$2:$L$332)</f>
        <v>0</v>
      </c>
      <c r="R34" s="12">
        <f>SUMIF(Mercado_Receita!$S$2:$S$332,"44593B2ConvencionalRuralCooperativa de eletrificação ruralNão se aplicaNão se aplicaPonta",Mercado_Receita!$L$2:$L$332)+SUMIF(Mercado_Receita!$S$2:$S$332,"44593B2ConvencionalRuralCooperativa de eletrificação ruralNão se aplicaNão se aplicaFora ponta",Mercado_Receita!$L$2:$L$332)+SUMIF(Mercado_Receita!$S$2:$S$332,"44593B2ConvencionalRuralCooperativa de eletrificação ruralNão se aplicaNão se aplicaIntermediário",Mercado_Receita!$L$2:$L$332)+SUMIF(Mercado_Receita!$S$2:$S$332,"44593B2ConvencionalRuralCooperativa de eletrificação ruralNão se aplicaNão se aplicaNão se aplica",Mercado_Receita!$L$2:$L$332)</f>
        <v>0</v>
      </c>
      <c r="S34" s="12">
        <f>SUMIF(Mercado_Receita!$S$2:$S$332,"44621B2ConvencionalRuralCooperativa de eletrificação ruralNão se aplicaNão se aplicaPonta",Mercado_Receita!$L$2:$L$332)+SUMIF(Mercado_Receita!$S$2:$S$332,"44621B2ConvencionalRuralCooperativa de eletrificação ruralNão se aplicaNão se aplicaFora ponta",Mercado_Receita!$L$2:$L$332)+SUMIF(Mercado_Receita!$S$2:$S$332,"44621B2ConvencionalRuralCooperativa de eletrificação ruralNão se aplicaNão se aplicaIntermediário",Mercado_Receita!$L$2:$L$332)+SUMIF(Mercado_Receita!$S$2:$S$332,"44621B2ConvencionalRuralCooperativa de eletrificação ruralNão se aplicaNão se aplicaNão se aplica",Mercado_Receita!$L$2:$L$332)</f>
        <v>0</v>
      </c>
      <c r="T34" s="12">
        <f>SUMIF(Mercado_Receita!$S$2:$S$332,"44652B2ConvencionalRuralCooperativa de eletrificação ruralNão se aplicaNão se aplicaPonta",Mercado_Receita!$L$2:$L$332)+SUMIF(Mercado_Receita!$S$2:$S$332,"44652B2ConvencionalRuralCooperativa de eletrificação ruralNão se aplicaNão se aplicaFora ponta",Mercado_Receita!$L$2:$L$332)+SUMIF(Mercado_Receita!$S$2:$S$332,"44652B2ConvencionalRuralCooperativa de eletrificação ruralNão se aplicaNão se aplicaIntermediário",Mercado_Receita!$L$2:$L$332)+SUMIF(Mercado_Receita!$S$2:$S$332,"44652B2ConvencionalRuralCooperativa de eletrificação ruralNão se aplicaNão se aplicaNão se aplica",Mercado_Receita!$L$2:$L$332)</f>
        <v>0</v>
      </c>
      <c r="U34" s="12">
        <f t="shared" si="0"/>
        <v>0</v>
      </c>
      <c r="V34" s="12"/>
      <c r="W34" s="12"/>
    </row>
    <row r="35" spans="1:23" ht="11.25" customHeight="1" x14ac:dyDescent="0.25">
      <c r="A35" s="114"/>
      <c r="B35" s="113" t="s">
        <v>39</v>
      </c>
      <c r="C35" s="113" t="s">
        <v>42</v>
      </c>
      <c r="D35" s="113" t="s">
        <v>87</v>
      </c>
      <c r="E35" s="113" t="s">
        <v>25</v>
      </c>
      <c r="F35" s="113" t="s">
        <v>25</v>
      </c>
      <c r="G35" s="12" t="s">
        <v>70</v>
      </c>
      <c r="H35" s="12" t="s">
        <v>69</v>
      </c>
      <c r="I35" s="12">
        <f>SUMIF(Mercado_Receita!$S$2:$S$332,"44317B2BrancaRuralServiço público de irrigação ruralNão se aplicaNão se aplicaPonta",Mercado_Receita!$L$2:$L$332)</f>
        <v>0</v>
      </c>
      <c r="J35" s="12">
        <f>SUMIF(Mercado_Receita!$S$2:$S$332,"44348B2BrancaRuralServiço público de irrigação ruralNão se aplicaNão se aplicaPonta",Mercado_Receita!$L$2:$L$332)</f>
        <v>0</v>
      </c>
      <c r="K35" s="12">
        <f>SUMIF(Mercado_Receita!$S$2:$S$332,"44378B2BrancaRuralServiço público de irrigação ruralNão se aplicaNão se aplicaPonta",Mercado_Receita!$L$2:$L$332)</f>
        <v>0</v>
      </c>
      <c r="L35" s="12">
        <f>SUMIF(Mercado_Receita!$S$2:$S$332,"44409B2BrancaRuralServiço público de irrigação ruralNão se aplicaNão se aplicaPonta",Mercado_Receita!$L$2:$L$332)</f>
        <v>0</v>
      </c>
      <c r="M35" s="12">
        <f>SUMIF(Mercado_Receita!$S$2:$S$332,"44440B2BrancaRuralServiço público de irrigação ruralNão se aplicaNão se aplicaPonta",Mercado_Receita!$L$2:$L$332)</f>
        <v>0</v>
      </c>
      <c r="N35" s="12">
        <f>SUMIF(Mercado_Receita!$S$2:$S$332,"44470B2BrancaRuralServiço público de irrigação ruralNão se aplicaNão se aplicaPonta",Mercado_Receita!$L$2:$L$332)</f>
        <v>0</v>
      </c>
      <c r="O35" s="12">
        <f>SUMIF(Mercado_Receita!$S$2:$S$332,"44501B2BrancaRuralServiço público de irrigação ruralNão se aplicaNão se aplicaPonta",Mercado_Receita!$L$2:$L$332)</f>
        <v>0</v>
      </c>
      <c r="P35" s="12">
        <f>SUMIF(Mercado_Receita!$S$2:$S$332,"44531B2BrancaRuralServiço público de irrigação ruralNão se aplicaNão se aplicaPonta",Mercado_Receita!$L$2:$L$332)</f>
        <v>0</v>
      </c>
      <c r="Q35" s="12">
        <f>SUMIF(Mercado_Receita!$S$2:$S$332,"44562B2BrancaRuralServiço público de irrigação ruralNão se aplicaNão se aplicaPonta",Mercado_Receita!$L$2:$L$332)</f>
        <v>0</v>
      </c>
      <c r="R35" s="12">
        <f>SUMIF(Mercado_Receita!$S$2:$S$332,"44593B2BrancaRuralServiço público de irrigação ruralNão se aplicaNão se aplicaPonta",Mercado_Receita!$L$2:$L$332)</f>
        <v>0</v>
      </c>
      <c r="S35" s="12">
        <f>SUMIF(Mercado_Receita!$S$2:$S$332,"44621B2BrancaRuralServiço público de irrigação ruralNão se aplicaNão se aplicaPonta",Mercado_Receita!$L$2:$L$332)</f>
        <v>0</v>
      </c>
      <c r="T35" s="12">
        <f>SUMIF(Mercado_Receita!$S$2:$S$332,"44652B2BrancaRuralServiço público de irrigação ruralNão se aplicaNão se aplicaPonta",Mercado_Receita!$L$2:$L$332)</f>
        <v>0</v>
      </c>
      <c r="U35" s="12">
        <f t="shared" si="0"/>
        <v>0</v>
      </c>
      <c r="V35" s="12"/>
      <c r="W35" s="12"/>
    </row>
    <row r="36" spans="1:23" ht="11.25" customHeight="1" x14ac:dyDescent="0.25">
      <c r="A36" s="114"/>
      <c r="B36" s="114"/>
      <c r="C36" s="114"/>
      <c r="D36" s="114"/>
      <c r="E36" s="114"/>
      <c r="F36" s="114"/>
      <c r="G36" s="12" t="s">
        <v>83</v>
      </c>
      <c r="H36" s="12" t="s">
        <v>69</v>
      </c>
      <c r="I36" s="12">
        <f>SUMIF(Mercado_Receita!$S$2:$S$332,"44317B2BrancaRuralServiço público de irrigação ruralNão se aplicaNão se aplicaIntermediário",Mercado_Receita!$L$2:$L$332)</f>
        <v>0</v>
      </c>
      <c r="J36" s="12">
        <f>SUMIF(Mercado_Receita!$S$2:$S$332,"44348B2BrancaRuralServiço público de irrigação ruralNão se aplicaNão se aplicaIntermediário",Mercado_Receita!$L$2:$L$332)</f>
        <v>0</v>
      </c>
      <c r="K36" s="12">
        <f>SUMIF(Mercado_Receita!$S$2:$S$332,"44378B2BrancaRuralServiço público de irrigação ruralNão se aplicaNão se aplicaIntermediário",Mercado_Receita!$L$2:$L$332)</f>
        <v>0</v>
      </c>
      <c r="L36" s="12">
        <f>SUMIF(Mercado_Receita!$S$2:$S$332,"44409B2BrancaRuralServiço público de irrigação ruralNão se aplicaNão se aplicaIntermediário",Mercado_Receita!$L$2:$L$332)</f>
        <v>0</v>
      </c>
      <c r="M36" s="12">
        <f>SUMIF(Mercado_Receita!$S$2:$S$332,"44440B2BrancaRuralServiço público de irrigação ruralNão se aplicaNão se aplicaIntermediário",Mercado_Receita!$L$2:$L$332)</f>
        <v>0</v>
      </c>
      <c r="N36" s="12">
        <f>SUMIF(Mercado_Receita!$S$2:$S$332,"44470B2BrancaRuralServiço público de irrigação ruralNão se aplicaNão se aplicaIntermediário",Mercado_Receita!$L$2:$L$332)</f>
        <v>0</v>
      </c>
      <c r="O36" s="12">
        <f>SUMIF(Mercado_Receita!$S$2:$S$332,"44501B2BrancaRuralServiço público de irrigação ruralNão se aplicaNão se aplicaIntermediário",Mercado_Receita!$L$2:$L$332)</f>
        <v>0</v>
      </c>
      <c r="P36" s="12">
        <f>SUMIF(Mercado_Receita!$S$2:$S$332,"44531B2BrancaRuralServiço público de irrigação ruralNão se aplicaNão se aplicaIntermediário",Mercado_Receita!$L$2:$L$332)</f>
        <v>0</v>
      </c>
      <c r="Q36" s="12">
        <f>SUMIF(Mercado_Receita!$S$2:$S$332,"44562B2BrancaRuralServiço público de irrigação ruralNão se aplicaNão se aplicaIntermediário",Mercado_Receita!$L$2:$L$332)</f>
        <v>0</v>
      </c>
      <c r="R36" s="12">
        <f>SUMIF(Mercado_Receita!$S$2:$S$332,"44593B2BrancaRuralServiço público de irrigação ruralNão se aplicaNão se aplicaIntermediário",Mercado_Receita!$L$2:$L$332)</f>
        <v>0</v>
      </c>
      <c r="S36" s="12">
        <f>SUMIF(Mercado_Receita!$S$2:$S$332,"44621B2BrancaRuralServiço público de irrigação ruralNão se aplicaNão se aplicaIntermediário",Mercado_Receita!$L$2:$L$332)</f>
        <v>0</v>
      </c>
      <c r="T36" s="12">
        <f>SUMIF(Mercado_Receita!$S$2:$S$332,"44652B2BrancaRuralServiço público de irrigação ruralNão se aplicaNão se aplicaIntermediário",Mercado_Receita!$L$2:$L$332)</f>
        <v>0</v>
      </c>
      <c r="U36" s="12">
        <f t="shared" si="0"/>
        <v>0</v>
      </c>
      <c r="V36" s="12"/>
      <c r="W36" s="12"/>
    </row>
    <row r="37" spans="1:23" ht="11.25" customHeight="1" x14ac:dyDescent="0.25">
      <c r="A37" s="114"/>
      <c r="B37" s="114"/>
      <c r="C37" s="114"/>
      <c r="D37" s="114"/>
      <c r="E37" s="114"/>
      <c r="F37" s="114"/>
      <c r="G37" s="12" t="s">
        <v>71</v>
      </c>
      <c r="H37" s="12" t="s">
        <v>69</v>
      </c>
      <c r="I37" s="12">
        <f>SUMIF(Mercado_Receita!$S$2:$S$332,"44317B2BrancaRuralServiço público de irrigação ruralNão se aplicaNão se aplicaFora ponta",Mercado_Receita!$L$2:$L$332)</f>
        <v>0</v>
      </c>
      <c r="J37" s="12">
        <f>SUMIF(Mercado_Receita!$S$2:$S$332,"44348B2BrancaRuralServiço público de irrigação ruralNão se aplicaNão se aplicaFora ponta",Mercado_Receita!$L$2:$L$332)</f>
        <v>0</v>
      </c>
      <c r="K37" s="12">
        <f>SUMIF(Mercado_Receita!$S$2:$S$332,"44378B2BrancaRuralServiço público de irrigação ruralNão se aplicaNão se aplicaFora ponta",Mercado_Receita!$L$2:$L$332)</f>
        <v>0</v>
      </c>
      <c r="L37" s="12">
        <f>SUMIF(Mercado_Receita!$S$2:$S$332,"44409B2BrancaRuralServiço público de irrigação ruralNão se aplicaNão se aplicaFora ponta",Mercado_Receita!$L$2:$L$332)</f>
        <v>0</v>
      </c>
      <c r="M37" s="12">
        <f>SUMIF(Mercado_Receita!$S$2:$S$332,"44440B2BrancaRuralServiço público de irrigação ruralNão se aplicaNão se aplicaFora ponta",Mercado_Receita!$L$2:$L$332)</f>
        <v>0</v>
      </c>
      <c r="N37" s="12">
        <f>SUMIF(Mercado_Receita!$S$2:$S$332,"44470B2BrancaRuralServiço público de irrigação ruralNão se aplicaNão se aplicaFora ponta",Mercado_Receita!$L$2:$L$332)</f>
        <v>0</v>
      </c>
      <c r="O37" s="12">
        <f>SUMIF(Mercado_Receita!$S$2:$S$332,"44501B2BrancaRuralServiço público de irrigação ruralNão se aplicaNão se aplicaFora ponta",Mercado_Receita!$L$2:$L$332)</f>
        <v>0</v>
      </c>
      <c r="P37" s="12">
        <f>SUMIF(Mercado_Receita!$S$2:$S$332,"44531B2BrancaRuralServiço público de irrigação ruralNão se aplicaNão se aplicaFora ponta",Mercado_Receita!$L$2:$L$332)</f>
        <v>0</v>
      </c>
      <c r="Q37" s="12">
        <f>SUMIF(Mercado_Receita!$S$2:$S$332,"44562B2BrancaRuralServiço público de irrigação ruralNão se aplicaNão se aplicaFora ponta",Mercado_Receita!$L$2:$L$332)</f>
        <v>0</v>
      </c>
      <c r="R37" s="12">
        <f>SUMIF(Mercado_Receita!$S$2:$S$332,"44593B2BrancaRuralServiço público de irrigação ruralNão se aplicaNão se aplicaFora ponta",Mercado_Receita!$L$2:$L$332)</f>
        <v>0</v>
      </c>
      <c r="S37" s="12">
        <f>SUMIF(Mercado_Receita!$S$2:$S$332,"44621B2BrancaRuralServiço público de irrigação ruralNão se aplicaNão se aplicaFora ponta",Mercado_Receita!$L$2:$L$332)</f>
        <v>0</v>
      </c>
      <c r="T37" s="12">
        <f>SUMIF(Mercado_Receita!$S$2:$S$332,"44652B2BrancaRuralServiço público de irrigação ruralNão se aplicaNão se aplicaFora ponta",Mercado_Receita!$L$2:$L$332)</f>
        <v>0</v>
      </c>
      <c r="U37" s="12">
        <f t="shared" si="0"/>
        <v>0</v>
      </c>
      <c r="V37" s="12"/>
      <c r="W37" s="12"/>
    </row>
    <row r="38" spans="1:23" ht="11.25" customHeight="1" x14ac:dyDescent="0.25">
      <c r="A38" s="114"/>
      <c r="B38" s="13" t="s">
        <v>23</v>
      </c>
      <c r="C38" s="13" t="s">
        <v>42</v>
      </c>
      <c r="D38" s="13" t="s">
        <v>87</v>
      </c>
      <c r="E38" s="13" t="s">
        <v>25</v>
      </c>
      <c r="F38" s="13" t="s">
        <v>25</v>
      </c>
      <c r="G38" s="12" t="s">
        <v>73</v>
      </c>
      <c r="H38" s="12" t="s">
        <v>69</v>
      </c>
      <c r="I38" s="12">
        <f>SUMIF(Mercado_Receita!$S$2:$S$332,"44317B2ConvencionalRuralServiço público de irrigação ruralNão se aplicaNão se aplicaPonta",Mercado_Receita!$L$2:$L$332)+SUMIF(Mercado_Receita!$S$2:$S$332,"44317B2ConvencionalRuralServiço público de irrigação ruralNão se aplicaNão se aplicaFora ponta",Mercado_Receita!$L$2:$L$332)+SUMIF(Mercado_Receita!$S$2:$S$332,"44317B2ConvencionalRuralServiço público de irrigação ruralNão se aplicaNão se aplicaIntermediário",Mercado_Receita!$L$2:$L$332)+SUMIF(Mercado_Receita!$S$2:$S$332,"44317B2ConvencionalRuralServiço público de irrigação ruralNão se aplicaNão se aplicaNão se aplica",Mercado_Receita!$L$2:$L$332)</f>
        <v>0</v>
      </c>
      <c r="J38" s="12">
        <f>SUMIF(Mercado_Receita!$S$2:$S$332,"44348B2ConvencionalRuralServiço público de irrigação ruralNão se aplicaNão se aplicaPonta",Mercado_Receita!$L$2:$L$332)+SUMIF(Mercado_Receita!$S$2:$S$332,"44348B2ConvencionalRuralServiço público de irrigação ruralNão se aplicaNão se aplicaFora ponta",Mercado_Receita!$L$2:$L$332)+SUMIF(Mercado_Receita!$S$2:$S$332,"44348B2ConvencionalRuralServiço público de irrigação ruralNão se aplicaNão se aplicaIntermediário",Mercado_Receita!$L$2:$L$332)+SUMIF(Mercado_Receita!$S$2:$S$332,"44348B2ConvencionalRuralServiço público de irrigação ruralNão se aplicaNão se aplicaNão se aplica",Mercado_Receita!$L$2:$L$332)</f>
        <v>0</v>
      </c>
      <c r="K38" s="12">
        <f>SUMIF(Mercado_Receita!$S$2:$S$332,"44378B2ConvencionalRuralServiço público de irrigação ruralNão se aplicaNão se aplicaPonta",Mercado_Receita!$L$2:$L$332)+SUMIF(Mercado_Receita!$S$2:$S$332,"44378B2ConvencionalRuralServiço público de irrigação ruralNão se aplicaNão se aplicaFora ponta",Mercado_Receita!$L$2:$L$332)+SUMIF(Mercado_Receita!$S$2:$S$332,"44378B2ConvencionalRuralServiço público de irrigação ruralNão se aplicaNão se aplicaIntermediário",Mercado_Receita!$L$2:$L$332)+SUMIF(Mercado_Receita!$S$2:$S$332,"44378B2ConvencionalRuralServiço público de irrigação ruralNão se aplicaNão se aplicaNão se aplica",Mercado_Receita!$L$2:$L$332)</f>
        <v>0</v>
      </c>
      <c r="L38" s="12">
        <f>SUMIF(Mercado_Receita!$S$2:$S$332,"44409B2ConvencionalRuralServiço público de irrigação ruralNão se aplicaNão se aplicaPonta",Mercado_Receita!$L$2:$L$332)+SUMIF(Mercado_Receita!$S$2:$S$332,"44409B2ConvencionalRuralServiço público de irrigação ruralNão se aplicaNão se aplicaFora ponta",Mercado_Receita!$L$2:$L$332)+SUMIF(Mercado_Receita!$S$2:$S$332,"44409B2ConvencionalRuralServiço público de irrigação ruralNão se aplicaNão se aplicaIntermediário",Mercado_Receita!$L$2:$L$332)+SUMIF(Mercado_Receita!$S$2:$S$332,"44409B2ConvencionalRuralServiço público de irrigação ruralNão se aplicaNão se aplicaNão se aplica",Mercado_Receita!$L$2:$L$332)</f>
        <v>0</v>
      </c>
      <c r="M38" s="12">
        <f>SUMIF(Mercado_Receita!$S$2:$S$332,"44440B2ConvencionalRuralServiço público de irrigação ruralNão se aplicaNão se aplicaPonta",Mercado_Receita!$L$2:$L$332)+SUMIF(Mercado_Receita!$S$2:$S$332,"44440B2ConvencionalRuralServiço público de irrigação ruralNão se aplicaNão se aplicaFora ponta",Mercado_Receita!$L$2:$L$332)+SUMIF(Mercado_Receita!$S$2:$S$332,"44440B2ConvencionalRuralServiço público de irrigação ruralNão se aplicaNão se aplicaIntermediário",Mercado_Receita!$L$2:$L$332)+SUMIF(Mercado_Receita!$S$2:$S$332,"44440B2ConvencionalRuralServiço público de irrigação ruralNão se aplicaNão se aplicaNão se aplica",Mercado_Receita!$L$2:$L$332)</f>
        <v>0</v>
      </c>
      <c r="N38" s="12">
        <f>SUMIF(Mercado_Receita!$S$2:$S$332,"44470B2ConvencionalRuralServiço público de irrigação ruralNão se aplicaNão se aplicaPonta",Mercado_Receita!$L$2:$L$332)+SUMIF(Mercado_Receita!$S$2:$S$332,"44470B2ConvencionalRuralServiço público de irrigação ruralNão se aplicaNão se aplicaFora ponta",Mercado_Receita!$L$2:$L$332)+SUMIF(Mercado_Receita!$S$2:$S$332,"44470B2ConvencionalRuralServiço público de irrigação ruralNão se aplicaNão se aplicaIntermediário",Mercado_Receita!$L$2:$L$332)+SUMIF(Mercado_Receita!$S$2:$S$332,"44470B2ConvencionalRuralServiço público de irrigação ruralNão se aplicaNão se aplicaNão se aplica",Mercado_Receita!$L$2:$L$332)</f>
        <v>0</v>
      </c>
      <c r="O38" s="12">
        <f>SUMIF(Mercado_Receita!$S$2:$S$332,"44501B2ConvencionalRuralServiço público de irrigação ruralNão se aplicaNão se aplicaPonta",Mercado_Receita!$L$2:$L$332)+SUMIF(Mercado_Receita!$S$2:$S$332,"44501B2ConvencionalRuralServiço público de irrigação ruralNão se aplicaNão se aplicaFora ponta",Mercado_Receita!$L$2:$L$332)+SUMIF(Mercado_Receita!$S$2:$S$332,"44501B2ConvencionalRuralServiço público de irrigação ruralNão se aplicaNão se aplicaIntermediário",Mercado_Receita!$L$2:$L$332)+SUMIF(Mercado_Receita!$S$2:$S$332,"44501B2ConvencionalRuralServiço público de irrigação ruralNão se aplicaNão se aplicaNão se aplica",Mercado_Receita!$L$2:$L$332)</f>
        <v>0</v>
      </c>
      <c r="P38" s="12">
        <f>SUMIF(Mercado_Receita!$S$2:$S$332,"44531B2ConvencionalRuralServiço público de irrigação ruralNão se aplicaNão se aplicaPonta",Mercado_Receita!$L$2:$L$332)+SUMIF(Mercado_Receita!$S$2:$S$332,"44531B2ConvencionalRuralServiço público de irrigação ruralNão se aplicaNão se aplicaFora ponta",Mercado_Receita!$L$2:$L$332)+SUMIF(Mercado_Receita!$S$2:$S$332,"44531B2ConvencionalRuralServiço público de irrigação ruralNão se aplicaNão se aplicaIntermediário",Mercado_Receita!$L$2:$L$332)+SUMIF(Mercado_Receita!$S$2:$S$332,"44531B2ConvencionalRuralServiço público de irrigação ruralNão se aplicaNão se aplicaNão se aplica",Mercado_Receita!$L$2:$L$332)</f>
        <v>0</v>
      </c>
      <c r="Q38" s="12">
        <f>SUMIF(Mercado_Receita!$S$2:$S$332,"44562B2ConvencionalRuralServiço público de irrigação ruralNão se aplicaNão se aplicaPonta",Mercado_Receita!$L$2:$L$332)+SUMIF(Mercado_Receita!$S$2:$S$332,"44562B2ConvencionalRuralServiço público de irrigação ruralNão se aplicaNão se aplicaFora ponta",Mercado_Receita!$L$2:$L$332)+SUMIF(Mercado_Receita!$S$2:$S$332,"44562B2ConvencionalRuralServiço público de irrigação ruralNão se aplicaNão se aplicaIntermediário",Mercado_Receita!$L$2:$L$332)+SUMIF(Mercado_Receita!$S$2:$S$332,"44562B2ConvencionalRuralServiço público de irrigação ruralNão se aplicaNão se aplicaNão se aplica",Mercado_Receita!$L$2:$L$332)</f>
        <v>0</v>
      </c>
      <c r="R38" s="12">
        <f>SUMIF(Mercado_Receita!$S$2:$S$332,"44593B2ConvencionalRuralServiço público de irrigação ruralNão se aplicaNão se aplicaPonta",Mercado_Receita!$L$2:$L$332)+SUMIF(Mercado_Receita!$S$2:$S$332,"44593B2ConvencionalRuralServiço público de irrigação ruralNão se aplicaNão se aplicaFora ponta",Mercado_Receita!$L$2:$L$332)+SUMIF(Mercado_Receita!$S$2:$S$332,"44593B2ConvencionalRuralServiço público de irrigação ruralNão se aplicaNão se aplicaIntermediário",Mercado_Receita!$L$2:$L$332)+SUMIF(Mercado_Receita!$S$2:$S$332,"44593B2ConvencionalRuralServiço público de irrigação ruralNão se aplicaNão se aplicaNão se aplica",Mercado_Receita!$L$2:$L$332)</f>
        <v>0</v>
      </c>
      <c r="S38" s="12">
        <f>SUMIF(Mercado_Receita!$S$2:$S$332,"44621B2ConvencionalRuralServiço público de irrigação ruralNão se aplicaNão se aplicaPonta",Mercado_Receita!$L$2:$L$332)+SUMIF(Mercado_Receita!$S$2:$S$332,"44621B2ConvencionalRuralServiço público de irrigação ruralNão se aplicaNão se aplicaFora ponta",Mercado_Receita!$L$2:$L$332)+SUMIF(Mercado_Receita!$S$2:$S$332,"44621B2ConvencionalRuralServiço público de irrigação ruralNão se aplicaNão se aplicaIntermediário",Mercado_Receita!$L$2:$L$332)+SUMIF(Mercado_Receita!$S$2:$S$332,"44621B2ConvencionalRuralServiço público de irrigação ruralNão se aplicaNão se aplicaNão se aplica",Mercado_Receita!$L$2:$L$332)</f>
        <v>0</v>
      </c>
      <c r="T38" s="12">
        <f>SUMIF(Mercado_Receita!$S$2:$S$332,"44652B2ConvencionalRuralServiço público de irrigação ruralNão se aplicaNão se aplicaPonta",Mercado_Receita!$L$2:$L$332)+SUMIF(Mercado_Receita!$S$2:$S$332,"44652B2ConvencionalRuralServiço público de irrigação ruralNão se aplicaNão se aplicaFora ponta",Mercado_Receita!$L$2:$L$332)+SUMIF(Mercado_Receita!$S$2:$S$332,"44652B2ConvencionalRuralServiço público de irrigação ruralNão se aplicaNão se aplicaIntermediário",Mercado_Receita!$L$2:$L$332)+SUMIF(Mercado_Receita!$S$2:$S$332,"44652B2ConvencionalRuralServiço público de irrigação ruralNão se aplicaNão se aplicaNão se aplica",Mercado_Receita!$L$2:$L$332)</f>
        <v>0</v>
      </c>
      <c r="U38" s="12">
        <f t="shared" si="0"/>
        <v>0</v>
      </c>
      <c r="V38" s="12"/>
      <c r="W38" s="12"/>
    </row>
    <row r="39" spans="1:23" ht="11.25" customHeight="1" x14ac:dyDescent="0.25">
      <c r="A39" s="114"/>
      <c r="B39" s="113" t="s">
        <v>85</v>
      </c>
      <c r="C39" s="113" t="s">
        <v>42</v>
      </c>
      <c r="D39" s="13" t="s">
        <v>25</v>
      </c>
      <c r="E39" s="13" t="s">
        <v>25</v>
      </c>
      <c r="F39" s="13" t="s">
        <v>25</v>
      </c>
      <c r="G39" s="12" t="s">
        <v>73</v>
      </c>
      <c r="H39" s="12" t="s">
        <v>69</v>
      </c>
      <c r="I39" s="12">
        <f>SUMIF(Mercado_Receita!$S$2:$S$332,"44317B2Convencional pré-pagamentoRuralNão se aplicaNão se aplicaNão se aplicaPonta",Mercado_Receita!$L$2:$L$332)+SUMIF(Mercado_Receita!$S$2:$S$332,"44317B2Convencional pré-pagamentoRuralNão se aplicaNão se aplicaNão se aplicaFora ponta",Mercado_Receita!$L$2:$L$332)+SUMIF(Mercado_Receita!$S$2:$S$332,"44317B2Convencional pré-pagamentoRuralNão se aplicaNão se aplicaNão se aplicaIntermediário",Mercado_Receita!$L$2:$L$332)+SUMIF(Mercado_Receita!$S$2:$S$332,"44317B2Convencional pré-pagamentoRuralNão se aplicaNão se aplicaNão se aplicaNão se aplica",Mercado_Receita!$L$2:$L$332)</f>
        <v>0</v>
      </c>
      <c r="J39" s="12">
        <f>SUMIF(Mercado_Receita!$S$2:$S$332,"44348B2Convencional pré-pagamentoRuralNão se aplicaNão se aplicaNão se aplicaPonta",Mercado_Receita!$L$2:$L$332)+SUMIF(Mercado_Receita!$S$2:$S$332,"44348B2Convencional pré-pagamentoRuralNão se aplicaNão se aplicaNão se aplicaFora ponta",Mercado_Receita!$L$2:$L$332)+SUMIF(Mercado_Receita!$S$2:$S$332,"44348B2Convencional pré-pagamentoRuralNão se aplicaNão se aplicaNão se aplicaIntermediário",Mercado_Receita!$L$2:$L$332)+SUMIF(Mercado_Receita!$S$2:$S$332,"44348B2Convencional pré-pagamentoRuralNão se aplicaNão se aplicaNão se aplicaNão se aplica",Mercado_Receita!$L$2:$L$332)</f>
        <v>0</v>
      </c>
      <c r="K39" s="12">
        <f>SUMIF(Mercado_Receita!$S$2:$S$332,"44378B2Convencional pré-pagamentoRuralNão se aplicaNão se aplicaNão se aplicaPonta",Mercado_Receita!$L$2:$L$332)+SUMIF(Mercado_Receita!$S$2:$S$332,"44378B2Convencional pré-pagamentoRuralNão se aplicaNão se aplicaNão se aplicaFora ponta",Mercado_Receita!$L$2:$L$332)+SUMIF(Mercado_Receita!$S$2:$S$332,"44378B2Convencional pré-pagamentoRuralNão se aplicaNão se aplicaNão se aplicaIntermediário",Mercado_Receita!$L$2:$L$332)+SUMIF(Mercado_Receita!$S$2:$S$332,"44378B2Convencional pré-pagamentoRuralNão se aplicaNão se aplicaNão se aplicaNão se aplica",Mercado_Receita!$L$2:$L$332)</f>
        <v>0</v>
      </c>
      <c r="L39" s="12">
        <f>SUMIF(Mercado_Receita!$S$2:$S$332,"44409B2Convencional pré-pagamentoRuralNão se aplicaNão se aplicaNão se aplicaPonta",Mercado_Receita!$L$2:$L$332)+SUMIF(Mercado_Receita!$S$2:$S$332,"44409B2Convencional pré-pagamentoRuralNão se aplicaNão se aplicaNão se aplicaFora ponta",Mercado_Receita!$L$2:$L$332)+SUMIF(Mercado_Receita!$S$2:$S$332,"44409B2Convencional pré-pagamentoRuralNão se aplicaNão se aplicaNão se aplicaIntermediário",Mercado_Receita!$L$2:$L$332)+SUMIF(Mercado_Receita!$S$2:$S$332,"44409B2Convencional pré-pagamentoRuralNão se aplicaNão se aplicaNão se aplicaNão se aplica",Mercado_Receita!$L$2:$L$332)</f>
        <v>0</v>
      </c>
      <c r="M39" s="12">
        <f>SUMIF(Mercado_Receita!$S$2:$S$332,"44440B2Convencional pré-pagamentoRuralNão se aplicaNão se aplicaNão se aplicaPonta",Mercado_Receita!$L$2:$L$332)+SUMIF(Mercado_Receita!$S$2:$S$332,"44440B2Convencional pré-pagamentoRuralNão se aplicaNão se aplicaNão se aplicaFora ponta",Mercado_Receita!$L$2:$L$332)+SUMIF(Mercado_Receita!$S$2:$S$332,"44440B2Convencional pré-pagamentoRuralNão se aplicaNão se aplicaNão se aplicaIntermediário",Mercado_Receita!$L$2:$L$332)+SUMIF(Mercado_Receita!$S$2:$S$332,"44440B2Convencional pré-pagamentoRuralNão se aplicaNão se aplicaNão se aplicaNão se aplica",Mercado_Receita!$L$2:$L$332)</f>
        <v>0</v>
      </c>
      <c r="N39" s="12">
        <f>SUMIF(Mercado_Receita!$S$2:$S$332,"44470B2Convencional pré-pagamentoRuralNão se aplicaNão se aplicaNão se aplicaPonta",Mercado_Receita!$L$2:$L$332)+SUMIF(Mercado_Receita!$S$2:$S$332,"44470B2Convencional pré-pagamentoRuralNão se aplicaNão se aplicaNão se aplicaFora ponta",Mercado_Receita!$L$2:$L$332)+SUMIF(Mercado_Receita!$S$2:$S$332,"44470B2Convencional pré-pagamentoRuralNão se aplicaNão se aplicaNão se aplicaIntermediário",Mercado_Receita!$L$2:$L$332)+SUMIF(Mercado_Receita!$S$2:$S$332,"44470B2Convencional pré-pagamentoRuralNão se aplicaNão se aplicaNão se aplicaNão se aplica",Mercado_Receita!$L$2:$L$332)</f>
        <v>0</v>
      </c>
      <c r="O39" s="12">
        <f>SUMIF(Mercado_Receita!$S$2:$S$332,"44501B2Convencional pré-pagamentoRuralNão se aplicaNão se aplicaNão se aplicaPonta",Mercado_Receita!$L$2:$L$332)+SUMIF(Mercado_Receita!$S$2:$S$332,"44501B2Convencional pré-pagamentoRuralNão se aplicaNão se aplicaNão se aplicaFora ponta",Mercado_Receita!$L$2:$L$332)+SUMIF(Mercado_Receita!$S$2:$S$332,"44501B2Convencional pré-pagamentoRuralNão se aplicaNão se aplicaNão se aplicaIntermediário",Mercado_Receita!$L$2:$L$332)+SUMIF(Mercado_Receita!$S$2:$S$332,"44501B2Convencional pré-pagamentoRuralNão se aplicaNão se aplicaNão se aplicaNão se aplica",Mercado_Receita!$L$2:$L$332)</f>
        <v>0</v>
      </c>
      <c r="P39" s="12">
        <f>SUMIF(Mercado_Receita!$S$2:$S$332,"44531B2Convencional pré-pagamentoRuralNão se aplicaNão se aplicaNão se aplicaPonta",Mercado_Receita!$L$2:$L$332)+SUMIF(Mercado_Receita!$S$2:$S$332,"44531B2Convencional pré-pagamentoRuralNão se aplicaNão se aplicaNão se aplicaFora ponta",Mercado_Receita!$L$2:$L$332)+SUMIF(Mercado_Receita!$S$2:$S$332,"44531B2Convencional pré-pagamentoRuralNão se aplicaNão se aplicaNão se aplicaIntermediário",Mercado_Receita!$L$2:$L$332)+SUMIF(Mercado_Receita!$S$2:$S$332,"44531B2Convencional pré-pagamentoRuralNão se aplicaNão se aplicaNão se aplicaNão se aplica",Mercado_Receita!$L$2:$L$332)</f>
        <v>0</v>
      </c>
      <c r="Q39" s="12">
        <f>SUMIF(Mercado_Receita!$S$2:$S$332,"44562B2Convencional pré-pagamentoRuralNão se aplicaNão se aplicaNão se aplicaPonta",Mercado_Receita!$L$2:$L$332)+SUMIF(Mercado_Receita!$S$2:$S$332,"44562B2Convencional pré-pagamentoRuralNão se aplicaNão se aplicaNão se aplicaFora ponta",Mercado_Receita!$L$2:$L$332)+SUMIF(Mercado_Receita!$S$2:$S$332,"44562B2Convencional pré-pagamentoRuralNão se aplicaNão se aplicaNão se aplicaIntermediário",Mercado_Receita!$L$2:$L$332)+SUMIF(Mercado_Receita!$S$2:$S$332,"44562B2Convencional pré-pagamentoRuralNão se aplicaNão se aplicaNão se aplicaNão se aplica",Mercado_Receita!$L$2:$L$332)</f>
        <v>0</v>
      </c>
      <c r="R39" s="12">
        <f>SUMIF(Mercado_Receita!$S$2:$S$332,"44593B2Convencional pré-pagamentoRuralNão se aplicaNão se aplicaNão se aplicaPonta",Mercado_Receita!$L$2:$L$332)+SUMIF(Mercado_Receita!$S$2:$S$332,"44593B2Convencional pré-pagamentoRuralNão se aplicaNão se aplicaNão se aplicaFora ponta",Mercado_Receita!$L$2:$L$332)+SUMIF(Mercado_Receita!$S$2:$S$332,"44593B2Convencional pré-pagamentoRuralNão se aplicaNão se aplicaNão se aplicaIntermediário",Mercado_Receita!$L$2:$L$332)+SUMIF(Mercado_Receita!$S$2:$S$332,"44593B2Convencional pré-pagamentoRuralNão se aplicaNão se aplicaNão se aplicaNão se aplica",Mercado_Receita!$L$2:$L$332)</f>
        <v>0</v>
      </c>
      <c r="S39" s="12">
        <f>SUMIF(Mercado_Receita!$S$2:$S$332,"44621B2Convencional pré-pagamentoRuralNão se aplicaNão se aplicaNão se aplicaPonta",Mercado_Receita!$L$2:$L$332)+SUMIF(Mercado_Receita!$S$2:$S$332,"44621B2Convencional pré-pagamentoRuralNão se aplicaNão se aplicaNão se aplicaFora ponta",Mercado_Receita!$L$2:$L$332)+SUMIF(Mercado_Receita!$S$2:$S$332,"44621B2Convencional pré-pagamentoRuralNão se aplicaNão se aplicaNão se aplicaIntermediário",Mercado_Receita!$L$2:$L$332)+SUMIF(Mercado_Receita!$S$2:$S$332,"44621B2Convencional pré-pagamentoRuralNão se aplicaNão se aplicaNão se aplicaNão se aplica",Mercado_Receita!$L$2:$L$332)</f>
        <v>0</v>
      </c>
      <c r="T39" s="12">
        <f>SUMIF(Mercado_Receita!$S$2:$S$332,"44652B2Convencional pré-pagamentoRuralNão se aplicaNão se aplicaNão se aplicaPonta",Mercado_Receita!$L$2:$L$332)+SUMIF(Mercado_Receita!$S$2:$S$332,"44652B2Convencional pré-pagamentoRuralNão se aplicaNão se aplicaNão se aplicaFora ponta",Mercado_Receita!$L$2:$L$332)+SUMIF(Mercado_Receita!$S$2:$S$332,"44652B2Convencional pré-pagamentoRuralNão se aplicaNão se aplicaNão se aplicaIntermediário",Mercado_Receita!$L$2:$L$332)+SUMIF(Mercado_Receita!$S$2:$S$332,"44652B2Convencional pré-pagamentoRuralNão se aplicaNão se aplicaNão se aplicaNão se aplica",Mercado_Receita!$L$2:$L$332)</f>
        <v>0</v>
      </c>
      <c r="U39" s="12">
        <f t="shared" si="0"/>
        <v>0</v>
      </c>
      <c r="V39" s="12"/>
      <c r="W39" s="12"/>
    </row>
    <row r="40" spans="1:23" ht="11.25" customHeight="1" x14ac:dyDescent="0.25">
      <c r="A40" s="114"/>
      <c r="B40" s="114"/>
      <c r="C40" s="114"/>
      <c r="D40" s="13" t="s">
        <v>86</v>
      </c>
      <c r="E40" s="13" t="s">
        <v>25</v>
      </c>
      <c r="F40" s="13" t="s">
        <v>25</v>
      </c>
      <c r="G40" s="12" t="s">
        <v>73</v>
      </c>
      <c r="H40" s="12" t="s">
        <v>69</v>
      </c>
      <c r="I40" s="12">
        <f>SUMIF(Mercado_Receita!$S$2:$S$332,"44317B2Convencional pré-pagamentoRuralCooperativa de eletrificação ruralNão se aplicaNão se aplicaPonta",Mercado_Receita!$L$2:$L$332)+SUMIF(Mercado_Receita!$S$2:$S$332,"44317B2Convencional pré-pagamentoRuralCooperativa de eletrificação ruralNão se aplicaNão se aplicaFora ponta",Mercado_Receita!$L$2:$L$332)+SUMIF(Mercado_Receita!$S$2:$S$332,"44317B2Convencional pré-pagamentoRuralCooperativa de eletrificação ruralNão se aplicaNão se aplicaIntermediário",Mercado_Receita!$L$2:$L$332)+SUMIF(Mercado_Receita!$S$2:$S$332,"44317B2Convencional pré-pagamentoRuralCooperativa de eletrificação ruralNão se aplicaNão se aplicaNão se aplica",Mercado_Receita!$L$2:$L$332)</f>
        <v>0</v>
      </c>
      <c r="J40" s="12">
        <f>SUMIF(Mercado_Receita!$S$2:$S$332,"44348B2Convencional pré-pagamentoRuralCooperativa de eletrificação ruralNão se aplicaNão se aplicaPonta",Mercado_Receita!$L$2:$L$332)+SUMIF(Mercado_Receita!$S$2:$S$332,"44348B2Convencional pré-pagamentoRuralCooperativa de eletrificação ruralNão se aplicaNão se aplicaFora ponta",Mercado_Receita!$L$2:$L$332)+SUMIF(Mercado_Receita!$S$2:$S$332,"44348B2Convencional pré-pagamentoRuralCooperativa de eletrificação ruralNão se aplicaNão se aplicaIntermediário",Mercado_Receita!$L$2:$L$332)+SUMIF(Mercado_Receita!$S$2:$S$332,"44348B2Convencional pré-pagamentoRuralCooperativa de eletrificação ruralNão se aplicaNão se aplicaNão se aplica",Mercado_Receita!$L$2:$L$332)</f>
        <v>0</v>
      </c>
      <c r="K40" s="12">
        <f>SUMIF(Mercado_Receita!$S$2:$S$332,"44378B2Convencional pré-pagamentoRuralCooperativa de eletrificação ruralNão se aplicaNão se aplicaPonta",Mercado_Receita!$L$2:$L$332)+SUMIF(Mercado_Receita!$S$2:$S$332,"44378B2Convencional pré-pagamentoRuralCooperativa de eletrificação ruralNão se aplicaNão se aplicaFora ponta",Mercado_Receita!$L$2:$L$332)+SUMIF(Mercado_Receita!$S$2:$S$332,"44378B2Convencional pré-pagamentoRuralCooperativa de eletrificação ruralNão se aplicaNão se aplicaIntermediário",Mercado_Receita!$L$2:$L$332)+SUMIF(Mercado_Receita!$S$2:$S$332,"44378B2Convencional pré-pagamentoRuralCooperativa de eletrificação ruralNão se aplicaNão se aplicaNão se aplica",Mercado_Receita!$L$2:$L$332)</f>
        <v>0</v>
      </c>
      <c r="L40" s="12">
        <f>SUMIF(Mercado_Receita!$S$2:$S$332,"44409B2Convencional pré-pagamentoRuralCooperativa de eletrificação ruralNão se aplicaNão se aplicaPonta",Mercado_Receita!$L$2:$L$332)+SUMIF(Mercado_Receita!$S$2:$S$332,"44409B2Convencional pré-pagamentoRuralCooperativa de eletrificação ruralNão se aplicaNão se aplicaFora ponta",Mercado_Receita!$L$2:$L$332)+SUMIF(Mercado_Receita!$S$2:$S$332,"44409B2Convencional pré-pagamentoRuralCooperativa de eletrificação ruralNão se aplicaNão se aplicaIntermediário",Mercado_Receita!$L$2:$L$332)+SUMIF(Mercado_Receita!$S$2:$S$332,"44409B2Convencional pré-pagamentoRuralCooperativa de eletrificação ruralNão se aplicaNão se aplicaNão se aplica",Mercado_Receita!$L$2:$L$332)</f>
        <v>0</v>
      </c>
      <c r="M40" s="12">
        <f>SUMIF(Mercado_Receita!$S$2:$S$332,"44440B2Convencional pré-pagamentoRuralCooperativa de eletrificação ruralNão se aplicaNão se aplicaPonta",Mercado_Receita!$L$2:$L$332)+SUMIF(Mercado_Receita!$S$2:$S$332,"44440B2Convencional pré-pagamentoRuralCooperativa de eletrificação ruralNão se aplicaNão se aplicaFora ponta",Mercado_Receita!$L$2:$L$332)+SUMIF(Mercado_Receita!$S$2:$S$332,"44440B2Convencional pré-pagamentoRuralCooperativa de eletrificação ruralNão se aplicaNão se aplicaIntermediário",Mercado_Receita!$L$2:$L$332)+SUMIF(Mercado_Receita!$S$2:$S$332,"44440B2Convencional pré-pagamentoRuralCooperativa de eletrificação ruralNão se aplicaNão se aplicaNão se aplica",Mercado_Receita!$L$2:$L$332)</f>
        <v>0</v>
      </c>
      <c r="N40" s="12">
        <f>SUMIF(Mercado_Receita!$S$2:$S$332,"44470B2Convencional pré-pagamentoRuralCooperativa de eletrificação ruralNão se aplicaNão se aplicaPonta",Mercado_Receita!$L$2:$L$332)+SUMIF(Mercado_Receita!$S$2:$S$332,"44470B2Convencional pré-pagamentoRuralCooperativa de eletrificação ruralNão se aplicaNão se aplicaFora ponta",Mercado_Receita!$L$2:$L$332)+SUMIF(Mercado_Receita!$S$2:$S$332,"44470B2Convencional pré-pagamentoRuralCooperativa de eletrificação ruralNão se aplicaNão se aplicaIntermediário",Mercado_Receita!$L$2:$L$332)+SUMIF(Mercado_Receita!$S$2:$S$332,"44470B2Convencional pré-pagamentoRuralCooperativa de eletrificação ruralNão se aplicaNão se aplicaNão se aplica",Mercado_Receita!$L$2:$L$332)</f>
        <v>0</v>
      </c>
      <c r="O40" s="12">
        <f>SUMIF(Mercado_Receita!$S$2:$S$332,"44501B2Convencional pré-pagamentoRuralCooperativa de eletrificação ruralNão se aplicaNão se aplicaPonta",Mercado_Receita!$L$2:$L$332)+SUMIF(Mercado_Receita!$S$2:$S$332,"44501B2Convencional pré-pagamentoRuralCooperativa de eletrificação ruralNão se aplicaNão se aplicaFora ponta",Mercado_Receita!$L$2:$L$332)+SUMIF(Mercado_Receita!$S$2:$S$332,"44501B2Convencional pré-pagamentoRuralCooperativa de eletrificação ruralNão se aplicaNão se aplicaIntermediário",Mercado_Receita!$L$2:$L$332)+SUMIF(Mercado_Receita!$S$2:$S$332,"44501B2Convencional pré-pagamentoRuralCooperativa de eletrificação ruralNão se aplicaNão se aplicaNão se aplica",Mercado_Receita!$L$2:$L$332)</f>
        <v>0</v>
      </c>
      <c r="P40" s="12">
        <f>SUMIF(Mercado_Receita!$S$2:$S$332,"44531B2Convencional pré-pagamentoRuralCooperativa de eletrificação ruralNão se aplicaNão se aplicaPonta",Mercado_Receita!$L$2:$L$332)+SUMIF(Mercado_Receita!$S$2:$S$332,"44531B2Convencional pré-pagamentoRuralCooperativa de eletrificação ruralNão se aplicaNão se aplicaFora ponta",Mercado_Receita!$L$2:$L$332)+SUMIF(Mercado_Receita!$S$2:$S$332,"44531B2Convencional pré-pagamentoRuralCooperativa de eletrificação ruralNão se aplicaNão se aplicaIntermediário",Mercado_Receita!$L$2:$L$332)+SUMIF(Mercado_Receita!$S$2:$S$332,"44531B2Convencional pré-pagamentoRuralCooperativa de eletrificação ruralNão se aplicaNão se aplicaNão se aplica",Mercado_Receita!$L$2:$L$332)</f>
        <v>0</v>
      </c>
      <c r="Q40" s="12">
        <f>SUMIF(Mercado_Receita!$S$2:$S$332,"44562B2Convencional pré-pagamentoRuralCooperativa de eletrificação ruralNão se aplicaNão se aplicaPonta",Mercado_Receita!$L$2:$L$332)+SUMIF(Mercado_Receita!$S$2:$S$332,"44562B2Convencional pré-pagamentoRuralCooperativa de eletrificação ruralNão se aplicaNão se aplicaFora ponta",Mercado_Receita!$L$2:$L$332)+SUMIF(Mercado_Receita!$S$2:$S$332,"44562B2Convencional pré-pagamentoRuralCooperativa de eletrificação ruralNão se aplicaNão se aplicaIntermediário",Mercado_Receita!$L$2:$L$332)+SUMIF(Mercado_Receita!$S$2:$S$332,"44562B2Convencional pré-pagamentoRuralCooperativa de eletrificação ruralNão se aplicaNão se aplicaNão se aplica",Mercado_Receita!$L$2:$L$332)</f>
        <v>0</v>
      </c>
      <c r="R40" s="12">
        <f>SUMIF(Mercado_Receita!$S$2:$S$332,"44593B2Convencional pré-pagamentoRuralCooperativa de eletrificação ruralNão se aplicaNão se aplicaPonta",Mercado_Receita!$L$2:$L$332)+SUMIF(Mercado_Receita!$S$2:$S$332,"44593B2Convencional pré-pagamentoRuralCooperativa de eletrificação ruralNão se aplicaNão se aplicaFora ponta",Mercado_Receita!$L$2:$L$332)+SUMIF(Mercado_Receita!$S$2:$S$332,"44593B2Convencional pré-pagamentoRuralCooperativa de eletrificação ruralNão se aplicaNão se aplicaIntermediário",Mercado_Receita!$L$2:$L$332)+SUMIF(Mercado_Receita!$S$2:$S$332,"44593B2Convencional pré-pagamentoRuralCooperativa de eletrificação ruralNão se aplicaNão se aplicaNão se aplica",Mercado_Receita!$L$2:$L$332)</f>
        <v>0</v>
      </c>
      <c r="S40" s="12">
        <f>SUMIF(Mercado_Receita!$S$2:$S$332,"44621B2Convencional pré-pagamentoRuralCooperativa de eletrificação ruralNão se aplicaNão se aplicaPonta",Mercado_Receita!$L$2:$L$332)+SUMIF(Mercado_Receita!$S$2:$S$332,"44621B2Convencional pré-pagamentoRuralCooperativa de eletrificação ruralNão se aplicaNão se aplicaFora ponta",Mercado_Receita!$L$2:$L$332)+SUMIF(Mercado_Receita!$S$2:$S$332,"44621B2Convencional pré-pagamentoRuralCooperativa de eletrificação ruralNão se aplicaNão se aplicaIntermediário",Mercado_Receita!$L$2:$L$332)+SUMIF(Mercado_Receita!$S$2:$S$332,"44621B2Convencional pré-pagamentoRuralCooperativa de eletrificação ruralNão se aplicaNão se aplicaNão se aplica",Mercado_Receita!$L$2:$L$332)</f>
        <v>0</v>
      </c>
      <c r="T40" s="12">
        <f>SUMIF(Mercado_Receita!$S$2:$S$332,"44652B2Convencional pré-pagamentoRuralCooperativa de eletrificação ruralNão se aplicaNão se aplicaPonta",Mercado_Receita!$L$2:$L$332)+SUMIF(Mercado_Receita!$S$2:$S$332,"44652B2Convencional pré-pagamentoRuralCooperativa de eletrificação ruralNão se aplicaNão se aplicaFora ponta",Mercado_Receita!$L$2:$L$332)+SUMIF(Mercado_Receita!$S$2:$S$332,"44652B2Convencional pré-pagamentoRuralCooperativa de eletrificação ruralNão se aplicaNão se aplicaIntermediário",Mercado_Receita!$L$2:$L$332)+SUMIF(Mercado_Receita!$S$2:$S$332,"44652B2Convencional pré-pagamentoRuralCooperativa de eletrificação ruralNão se aplicaNão se aplicaNão se aplica",Mercado_Receita!$L$2:$L$332)</f>
        <v>0</v>
      </c>
      <c r="U40" s="12">
        <f t="shared" si="0"/>
        <v>0</v>
      </c>
      <c r="V40" s="12"/>
      <c r="W40" s="12"/>
    </row>
    <row r="41" spans="1:23" ht="11.25" customHeight="1" x14ac:dyDescent="0.25">
      <c r="A41" s="114"/>
      <c r="B41" s="114"/>
      <c r="C41" s="114"/>
      <c r="D41" s="13" t="s">
        <v>87</v>
      </c>
      <c r="E41" s="13" t="s">
        <v>25</v>
      </c>
      <c r="F41" s="13" t="s">
        <v>25</v>
      </c>
      <c r="G41" s="12" t="s">
        <v>73</v>
      </c>
      <c r="H41" s="12" t="s">
        <v>69</v>
      </c>
      <c r="I41" s="12">
        <f>SUMIF(Mercado_Receita!$S$2:$S$332,"44317B2Convencional pré-pagamentoRuralServiço público de irrigação ruralNão se aplicaNão se aplicaPonta",Mercado_Receita!$L$2:$L$332)+SUMIF(Mercado_Receita!$S$2:$S$332,"44317B2Convencional pré-pagamentoRuralServiço público de irrigação ruralNão se aplicaNão se aplicaFora ponta",Mercado_Receita!$L$2:$L$332)+SUMIF(Mercado_Receita!$S$2:$S$332,"44317B2Convencional pré-pagamentoRuralServiço público de irrigação ruralNão se aplicaNão se aplicaIntermediário",Mercado_Receita!$L$2:$L$332)+SUMIF(Mercado_Receita!$S$2:$S$332,"44317B2Convencional pré-pagamentoRuralServiço público de irrigação ruralNão se aplicaNão se aplicaNão se aplica",Mercado_Receita!$L$2:$L$332)</f>
        <v>0</v>
      </c>
      <c r="J41" s="12">
        <f>SUMIF(Mercado_Receita!$S$2:$S$332,"44348B2Convencional pré-pagamentoRuralServiço público de irrigação ruralNão se aplicaNão se aplicaPonta",Mercado_Receita!$L$2:$L$332)+SUMIF(Mercado_Receita!$S$2:$S$332,"44348B2Convencional pré-pagamentoRuralServiço público de irrigação ruralNão se aplicaNão se aplicaFora ponta",Mercado_Receita!$L$2:$L$332)+SUMIF(Mercado_Receita!$S$2:$S$332,"44348B2Convencional pré-pagamentoRuralServiço público de irrigação ruralNão se aplicaNão se aplicaIntermediário",Mercado_Receita!$L$2:$L$332)+SUMIF(Mercado_Receita!$S$2:$S$332,"44348B2Convencional pré-pagamentoRuralServiço público de irrigação ruralNão se aplicaNão se aplicaNão se aplica",Mercado_Receita!$L$2:$L$332)</f>
        <v>0</v>
      </c>
      <c r="K41" s="12">
        <f>SUMIF(Mercado_Receita!$S$2:$S$332,"44378B2Convencional pré-pagamentoRuralServiço público de irrigação ruralNão se aplicaNão se aplicaPonta",Mercado_Receita!$L$2:$L$332)+SUMIF(Mercado_Receita!$S$2:$S$332,"44378B2Convencional pré-pagamentoRuralServiço público de irrigação ruralNão se aplicaNão se aplicaFora ponta",Mercado_Receita!$L$2:$L$332)+SUMIF(Mercado_Receita!$S$2:$S$332,"44378B2Convencional pré-pagamentoRuralServiço público de irrigação ruralNão se aplicaNão se aplicaIntermediário",Mercado_Receita!$L$2:$L$332)+SUMIF(Mercado_Receita!$S$2:$S$332,"44378B2Convencional pré-pagamentoRuralServiço público de irrigação ruralNão se aplicaNão se aplicaNão se aplica",Mercado_Receita!$L$2:$L$332)</f>
        <v>0</v>
      </c>
      <c r="L41" s="12">
        <f>SUMIF(Mercado_Receita!$S$2:$S$332,"44409B2Convencional pré-pagamentoRuralServiço público de irrigação ruralNão se aplicaNão se aplicaPonta",Mercado_Receita!$L$2:$L$332)+SUMIF(Mercado_Receita!$S$2:$S$332,"44409B2Convencional pré-pagamentoRuralServiço público de irrigação ruralNão se aplicaNão se aplicaFora ponta",Mercado_Receita!$L$2:$L$332)+SUMIF(Mercado_Receita!$S$2:$S$332,"44409B2Convencional pré-pagamentoRuralServiço público de irrigação ruralNão se aplicaNão se aplicaIntermediário",Mercado_Receita!$L$2:$L$332)+SUMIF(Mercado_Receita!$S$2:$S$332,"44409B2Convencional pré-pagamentoRuralServiço público de irrigação ruralNão se aplicaNão se aplicaNão se aplica",Mercado_Receita!$L$2:$L$332)</f>
        <v>0</v>
      </c>
      <c r="M41" s="12">
        <f>SUMIF(Mercado_Receita!$S$2:$S$332,"44440B2Convencional pré-pagamentoRuralServiço público de irrigação ruralNão se aplicaNão se aplicaPonta",Mercado_Receita!$L$2:$L$332)+SUMIF(Mercado_Receita!$S$2:$S$332,"44440B2Convencional pré-pagamentoRuralServiço público de irrigação ruralNão se aplicaNão se aplicaFora ponta",Mercado_Receita!$L$2:$L$332)+SUMIF(Mercado_Receita!$S$2:$S$332,"44440B2Convencional pré-pagamentoRuralServiço público de irrigação ruralNão se aplicaNão se aplicaIntermediário",Mercado_Receita!$L$2:$L$332)+SUMIF(Mercado_Receita!$S$2:$S$332,"44440B2Convencional pré-pagamentoRuralServiço público de irrigação ruralNão se aplicaNão se aplicaNão se aplica",Mercado_Receita!$L$2:$L$332)</f>
        <v>0</v>
      </c>
      <c r="N41" s="12">
        <f>SUMIF(Mercado_Receita!$S$2:$S$332,"44470B2Convencional pré-pagamentoRuralServiço público de irrigação ruralNão se aplicaNão se aplicaPonta",Mercado_Receita!$L$2:$L$332)+SUMIF(Mercado_Receita!$S$2:$S$332,"44470B2Convencional pré-pagamentoRuralServiço público de irrigação ruralNão se aplicaNão se aplicaFora ponta",Mercado_Receita!$L$2:$L$332)+SUMIF(Mercado_Receita!$S$2:$S$332,"44470B2Convencional pré-pagamentoRuralServiço público de irrigação ruralNão se aplicaNão se aplicaIntermediário",Mercado_Receita!$L$2:$L$332)+SUMIF(Mercado_Receita!$S$2:$S$332,"44470B2Convencional pré-pagamentoRuralServiço público de irrigação ruralNão se aplicaNão se aplicaNão se aplica",Mercado_Receita!$L$2:$L$332)</f>
        <v>0</v>
      </c>
      <c r="O41" s="12">
        <f>SUMIF(Mercado_Receita!$S$2:$S$332,"44501B2Convencional pré-pagamentoRuralServiço público de irrigação ruralNão se aplicaNão se aplicaPonta",Mercado_Receita!$L$2:$L$332)+SUMIF(Mercado_Receita!$S$2:$S$332,"44501B2Convencional pré-pagamentoRuralServiço público de irrigação ruralNão se aplicaNão se aplicaFora ponta",Mercado_Receita!$L$2:$L$332)+SUMIF(Mercado_Receita!$S$2:$S$332,"44501B2Convencional pré-pagamentoRuralServiço público de irrigação ruralNão se aplicaNão se aplicaIntermediário",Mercado_Receita!$L$2:$L$332)+SUMIF(Mercado_Receita!$S$2:$S$332,"44501B2Convencional pré-pagamentoRuralServiço público de irrigação ruralNão se aplicaNão se aplicaNão se aplica",Mercado_Receita!$L$2:$L$332)</f>
        <v>0</v>
      </c>
      <c r="P41" s="12">
        <f>SUMIF(Mercado_Receita!$S$2:$S$332,"44531B2Convencional pré-pagamentoRuralServiço público de irrigação ruralNão se aplicaNão se aplicaPonta",Mercado_Receita!$L$2:$L$332)+SUMIF(Mercado_Receita!$S$2:$S$332,"44531B2Convencional pré-pagamentoRuralServiço público de irrigação ruralNão se aplicaNão se aplicaFora ponta",Mercado_Receita!$L$2:$L$332)+SUMIF(Mercado_Receita!$S$2:$S$332,"44531B2Convencional pré-pagamentoRuralServiço público de irrigação ruralNão se aplicaNão se aplicaIntermediário",Mercado_Receita!$L$2:$L$332)+SUMIF(Mercado_Receita!$S$2:$S$332,"44531B2Convencional pré-pagamentoRuralServiço público de irrigação ruralNão se aplicaNão se aplicaNão se aplica",Mercado_Receita!$L$2:$L$332)</f>
        <v>0</v>
      </c>
      <c r="Q41" s="12">
        <f>SUMIF(Mercado_Receita!$S$2:$S$332,"44562B2Convencional pré-pagamentoRuralServiço público de irrigação ruralNão se aplicaNão se aplicaPonta",Mercado_Receita!$L$2:$L$332)+SUMIF(Mercado_Receita!$S$2:$S$332,"44562B2Convencional pré-pagamentoRuralServiço público de irrigação ruralNão se aplicaNão se aplicaFora ponta",Mercado_Receita!$L$2:$L$332)+SUMIF(Mercado_Receita!$S$2:$S$332,"44562B2Convencional pré-pagamentoRuralServiço público de irrigação ruralNão se aplicaNão se aplicaIntermediário",Mercado_Receita!$L$2:$L$332)+SUMIF(Mercado_Receita!$S$2:$S$332,"44562B2Convencional pré-pagamentoRuralServiço público de irrigação ruralNão se aplicaNão se aplicaNão se aplica",Mercado_Receita!$L$2:$L$332)</f>
        <v>0</v>
      </c>
      <c r="R41" s="12">
        <f>SUMIF(Mercado_Receita!$S$2:$S$332,"44593B2Convencional pré-pagamentoRuralServiço público de irrigação ruralNão se aplicaNão se aplicaPonta",Mercado_Receita!$L$2:$L$332)+SUMIF(Mercado_Receita!$S$2:$S$332,"44593B2Convencional pré-pagamentoRuralServiço público de irrigação ruralNão se aplicaNão se aplicaFora ponta",Mercado_Receita!$L$2:$L$332)+SUMIF(Mercado_Receita!$S$2:$S$332,"44593B2Convencional pré-pagamentoRuralServiço público de irrigação ruralNão se aplicaNão se aplicaIntermediário",Mercado_Receita!$L$2:$L$332)+SUMIF(Mercado_Receita!$S$2:$S$332,"44593B2Convencional pré-pagamentoRuralServiço público de irrigação ruralNão se aplicaNão se aplicaNão se aplica",Mercado_Receita!$L$2:$L$332)</f>
        <v>0</v>
      </c>
      <c r="S41" s="12">
        <f>SUMIF(Mercado_Receita!$S$2:$S$332,"44621B2Convencional pré-pagamentoRuralServiço público de irrigação ruralNão se aplicaNão se aplicaPonta",Mercado_Receita!$L$2:$L$332)+SUMIF(Mercado_Receita!$S$2:$S$332,"44621B2Convencional pré-pagamentoRuralServiço público de irrigação ruralNão se aplicaNão se aplicaFora ponta",Mercado_Receita!$L$2:$L$332)+SUMIF(Mercado_Receita!$S$2:$S$332,"44621B2Convencional pré-pagamentoRuralServiço público de irrigação ruralNão se aplicaNão se aplicaIntermediário",Mercado_Receita!$L$2:$L$332)+SUMIF(Mercado_Receita!$S$2:$S$332,"44621B2Convencional pré-pagamentoRuralServiço público de irrigação ruralNão se aplicaNão se aplicaNão se aplica",Mercado_Receita!$L$2:$L$332)</f>
        <v>0</v>
      </c>
      <c r="T41" s="12">
        <f>SUMIF(Mercado_Receita!$S$2:$S$332,"44652B2Convencional pré-pagamentoRuralServiço público de irrigação ruralNão se aplicaNão se aplicaPonta",Mercado_Receita!$L$2:$L$332)+SUMIF(Mercado_Receita!$S$2:$S$332,"44652B2Convencional pré-pagamentoRuralServiço público de irrigação ruralNão se aplicaNão se aplicaFora ponta",Mercado_Receita!$L$2:$L$332)+SUMIF(Mercado_Receita!$S$2:$S$332,"44652B2Convencional pré-pagamentoRuralServiço público de irrigação ruralNão se aplicaNão se aplicaIntermediário",Mercado_Receita!$L$2:$L$332)+SUMIF(Mercado_Receita!$S$2:$S$332,"44652B2Convencional pré-pagamentoRuralServiço público de irrigação ruralNão se aplicaNão se aplicaNão se aplica",Mercado_Receita!$L$2:$L$332)</f>
        <v>0</v>
      </c>
      <c r="U41" s="12">
        <f t="shared" si="0"/>
        <v>0</v>
      </c>
      <c r="V41" s="12"/>
      <c r="W41" s="12"/>
    </row>
    <row r="42" spans="1:23" ht="11.25" customHeight="1" x14ac:dyDescent="0.25">
      <c r="A42" s="113" t="s">
        <v>32</v>
      </c>
      <c r="B42" s="113" t="s">
        <v>39</v>
      </c>
      <c r="C42" s="113" t="s">
        <v>25</v>
      </c>
      <c r="D42" s="113" t="s">
        <v>25</v>
      </c>
      <c r="E42" s="113" t="s">
        <v>25</v>
      </c>
      <c r="F42" s="113" t="s">
        <v>25</v>
      </c>
      <c r="G42" s="12" t="s">
        <v>70</v>
      </c>
      <c r="H42" s="12" t="s">
        <v>69</v>
      </c>
      <c r="I42" s="12">
        <f>SUMIF(Mercado_Receita!$S$2:$S$332,"44317B3BrancaNão se aplicaNão se aplicaNão se aplicaNão se aplicaPonta",Mercado_Receita!$L$2:$L$332)</f>
        <v>8.9999999999999993E-3</v>
      </c>
      <c r="J42" s="12">
        <f>SUMIF(Mercado_Receita!$S$2:$S$332,"44348B3BrancaNão se aplicaNão se aplicaNão se aplicaNão se aplicaPonta",Mercado_Receita!$L$2:$L$332)</f>
        <v>1.2E-2</v>
      </c>
      <c r="K42" s="12">
        <f>SUMIF(Mercado_Receita!$S$2:$S$332,"44378B3BrancaNão se aplicaNão se aplicaNão se aplicaNão se aplicaPonta",Mercado_Receita!$L$2:$L$332)</f>
        <v>1.4E-2</v>
      </c>
      <c r="L42" s="12">
        <f>SUMIF(Mercado_Receita!$S$2:$S$332,"44409B3BrancaNão se aplicaNão se aplicaNão se aplicaNão se aplicaPonta",Mercado_Receita!$L$2:$L$332)</f>
        <v>1.4999999999999999E-2</v>
      </c>
      <c r="M42" s="12">
        <f>SUMIF(Mercado_Receita!$S$2:$S$332,"44440B3BrancaNão se aplicaNão se aplicaNão se aplicaNão se aplicaPonta",Mercado_Receita!$L$2:$L$332)</f>
        <v>1.2E-2</v>
      </c>
      <c r="N42" s="12">
        <f>SUMIF(Mercado_Receita!$S$2:$S$332,"44470B3BrancaNão se aplicaNão se aplicaNão se aplicaNão se aplicaPonta",Mercado_Receita!$L$2:$L$332)</f>
        <v>1.2999999999999999E-2</v>
      </c>
      <c r="O42" s="12">
        <f>SUMIF(Mercado_Receita!$S$2:$S$332,"44501B3BrancaNão se aplicaNão se aplicaNão se aplicaNão se aplicaPonta",Mercado_Receita!$L$2:$L$332)</f>
        <v>1.2E-2</v>
      </c>
      <c r="P42" s="12">
        <f>SUMIF(Mercado_Receita!$S$2:$S$332,"44531B3BrancaNão se aplicaNão se aplicaNão se aplicaNão se aplicaPonta",Mercado_Receita!$L$2:$L$332)</f>
        <v>1.7000000000000001E-2</v>
      </c>
      <c r="Q42" s="12">
        <f>SUMIF(Mercado_Receita!$S$2:$S$332,"44562B3BrancaNão se aplicaNão se aplicaNão se aplicaNão se aplicaPonta",Mercado_Receita!$L$2:$L$332)</f>
        <v>7.0000000000000001E-3</v>
      </c>
      <c r="R42" s="12">
        <f>SUMIF(Mercado_Receita!$S$2:$S$332,"44593B3BrancaNão se aplicaNão se aplicaNão se aplicaNão se aplicaPonta",Mercado_Receita!$L$2:$L$332)</f>
        <v>5.0000000000000001E-3</v>
      </c>
      <c r="S42" s="12">
        <f>SUMIF(Mercado_Receita!$S$2:$S$332,"44621B3BrancaNão se aplicaNão se aplicaNão se aplicaNão se aplicaPonta",Mercado_Receita!$L$2:$L$332)</f>
        <v>1.2E-2</v>
      </c>
      <c r="T42" s="12">
        <f>SUMIF(Mercado_Receita!$S$2:$S$332,"44652B3BrancaNão se aplicaNão se aplicaNão se aplicaNão se aplicaPonta",Mercado_Receita!$L$2:$L$332)</f>
        <v>8.0000000000000002E-3</v>
      </c>
      <c r="U42" s="12">
        <f t="shared" si="0"/>
        <v>0.13600000000000001</v>
      </c>
      <c r="V42" s="12"/>
      <c r="W42" s="12"/>
    </row>
    <row r="43" spans="1:23" ht="11.25" customHeight="1" x14ac:dyDescent="0.25">
      <c r="A43" s="114"/>
      <c r="B43" s="114"/>
      <c r="C43" s="114"/>
      <c r="D43" s="114"/>
      <c r="E43" s="114"/>
      <c r="F43" s="114"/>
      <c r="G43" s="12" t="s">
        <v>83</v>
      </c>
      <c r="H43" s="12" t="s">
        <v>69</v>
      </c>
      <c r="I43" s="12">
        <f>SUMIF(Mercado_Receita!$S$2:$S$332,"44317B3BrancaNão se aplicaNão se aplicaNão se aplicaNão se aplicaIntermediário",Mercado_Receita!$L$2:$L$332)</f>
        <v>1.0999999999999999E-2</v>
      </c>
      <c r="J43" s="12">
        <f>SUMIF(Mercado_Receita!$S$2:$S$332,"44348B3BrancaNão se aplicaNão se aplicaNão se aplicaNão se aplicaIntermediário",Mercado_Receita!$L$2:$L$332)</f>
        <v>8.9999999999999993E-3</v>
      </c>
      <c r="K43" s="12">
        <f>SUMIF(Mercado_Receita!$S$2:$S$332,"44378B3BrancaNão se aplicaNão se aplicaNão se aplicaNão se aplicaIntermediário",Mercado_Receita!$L$2:$L$332)</f>
        <v>1.9E-2</v>
      </c>
      <c r="L43" s="12">
        <f>SUMIF(Mercado_Receita!$S$2:$S$332,"44409B3BrancaNão se aplicaNão se aplicaNão se aplicaNão se aplicaIntermediário",Mercado_Receita!$L$2:$L$332)</f>
        <v>1.2999999999999999E-2</v>
      </c>
      <c r="M43" s="12">
        <f>SUMIF(Mercado_Receita!$S$2:$S$332,"44440B3BrancaNão se aplicaNão se aplicaNão se aplicaNão se aplicaIntermediário",Mercado_Receita!$L$2:$L$332)</f>
        <v>1.2E-2</v>
      </c>
      <c r="N43" s="12">
        <f>SUMIF(Mercado_Receita!$S$2:$S$332,"44470B3BrancaNão se aplicaNão se aplicaNão se aplicaNão se aplicaIntermediário",Mercado_Receita!$L$2:$L$332)</f>
        <v>1.0999999999999999E-2</v>
      </c>
      <c r="O43" s="12">
        <f>SUMIF(Mercado_Receita!$S$2:$S$332,"44501B3BrancaNão se aplicaNão se aplicaNão se aplicaNão se aplicaIntermediário",Mercado_Receita!$L$2:$L$332)</f>
        <v>1.9E-2</v>
      </c>
      <c r="P43" s="12">
        <f>SUMIF(Mercado_Receita!$S$2:$S$332,"44531B3BrancaNão se aplicaNão se aplicaNão se aplicaNão se aplicaIntermediário",Mercado_Receita!$L$2:$L$332)</f>
        <v>0.02</v>
      </c>
      <c r="Q43" s="12">
        <f>SUMIF(Mercado_Receita!$S$2:$S$332,"44562B3BrancaNão se aplicaNão se aplicaNão se aplicaNão se aplicaIntermediário",Mercado_Receita!$L$2:$L$332)</f>
        <v>1.2999999999999999E-2</v>
      </c>
      <c r="R43" s="12">
        <f>SUMIF(Mercado_Receita!$S$2:$S$332,"44593B3BrancaNão se aplicaNão se aplicaNão se aplicaNão se aplicaIntermediário",Mercado_Receita!$L$2:$L$332)</f>
        <v>1.2E-2</v>
      </c>
      <c r="S43" s="12">
        <f>SUMIF(Mercado_Receita!$S$2:$S$332,"44621B3BrancaNão se aplicaNão se aplicaNão se aplicaNão se aplicaIntermediário",Mercado_Receita!$L$2:$L$332)</f>
        <v>1.4E-2</v>
      </c>
      <c r="T43" s="12">
        <f>SUMIF(Mercado_Receita!$S$2:$S$332,"44652B3BrancaNão se aplicaNão se aplicaNão se aplicaNão se aplicaIntermediário",Mercado_Receita!$L$2:$L$332)</f>
        <v>1.0999999999999999E-2</v>
      </c>
      <c r="U43" s="12">
        <f t="shared" si="0"/>
        <v>0.16400000000000003</v>
      </c>
      <c r="V43" s="12"/>
      <c r="W43" s="12"/>
    </row>
    <row r="44" spans="1:23" ht="11.25" customHeight="1" x14ac:dyDescent="0.25">
      <c r="A44" s="114"/>
      <c r="B44" s="114"/>
      <c r="C44" s="114"/>
      <c r="D44" s="114"/>
      <c r="E44" s="114"/>
      <c r="F44" s="114"/>
      <c r="G44" s="12" t="s">
        <v>71</v>
      </c>
      <c r="H44" s="12" t="s">
        <v>69</v>
      </c>
      <c r="I44" s="12">
        <f>SUMIF(Mercado_Receita!$S$2:$S$332,"44317B3BrancaNão se aplicaNão se aplicaNão se aplicaNão se aplicaFora ponta",Mercado_Receita!$L$2:$L$332)</f>
        <v>0.32700000000000001</v>
      </c>
      <c r="J44" s="12">
        <f>SUMIF(Mercado_Receita!$S$2:$S$332,"44348B3BrancaNão se aplicaNão se aplicaNão se aplicaNão se aplicaFora ponta",Mercado_Receita!$L$2:$L$332)</f>
        <v>0.25700000000000001</v>
      </c>
      <c r="K44" s="12">
        <f>SUMIF(Mercado_Receita!$S$2:$S$332,"44378B3BrancaNão se aplicaNão se aplicaNão se aplicaNão se aplicaFora ponta",Mercado_Receita!$L$2:$L$332)</f>
        <v>0.34399999999999997</v>
      </c>
      <c r="L44" s="12">
        <f>SUMIF(Mercado_Receita!$S$2:$S$332,"44409B3BrancaNão se aplicaNão se aplicaNão se aplicaNão se aplicaFora ponta",Mercado_Receita!$L$2:$L$332)</f>
        <v>0.47299999999999998</v>
      </c>
      <c r="M44" s="12">
        <f>SUMIF(Mercado_Receita!$S$2:$S$332,"44440B3BrancaNão se aplicaNão se aplicaNão se aplicaNão se aplicaFora ponta",Mercado_Receita!$L$2:$L$332)</f>
        <v>0.52200000000000002</v>
      </c>
      <c r="N44" s="12">
        <f>SUMIF(Mercado_Receita!$S$2:$S$332,"44470B3BrancaNão se aplicaNão se aplicaNão se aplicaNão se aplicaFora ponta",Mercado_Receita!$L$2:$L$332)</f>
        <v>0.501</v>
      </c>
      <c r="O44" s="12">
        <f>SUMIF(Mercado_Receita!$S$2:$S$332,"44501B3BrancaNão se aplicaNão se aplicaNão se aplicaNão se aplicaFora ponta",Mercado_Receita!$L$2:$L$332)</f>
        <v>0.53900000000000003</v>
      </c>
      <c r="P44" s="12">
        <f>SUMIF(Mercado_Receita!$S$2:$S$332,"44531B3BrancaNão se aplicaNão se aplicaNão se aplicaNão se aplicaFora ponta",Mercado_Receita!$L$2:$L$332)</f>
        <v>0.56599999999999995</v>
      </c>
      <c r="Q44" s="12">
        <f>SUMIF(Mercado_Receita!$S$2:$S$332,"44562B3BrancaNão se aplicaNão se aplicaNão se aplicaNão se aplicaFora ponta",Mercado_Receita!$L$2:$L$332)</f>
        <v>0.39500000000000002</v>
      </c>
      <c r="R44" s="12">
        <f>SUMIF(Mercado_Receita!$S$2:$S$332,"44593B3BrancaNão se aplicaNão se aplicaNão se aplicaNão se aplicaFora ponta",Mercado_Receita!$L$2:$L$332)</f>
        <v>0.35899999999999999</v>
      </c>
      <c r="S44" s="12">
        <f>SUMIF(Mercado_Receita!$S$2:$S$332,"44621B3BrancaNão se aplicaNão se aplicaNão se aplicaNão se aplicaFora ponta",Mercado_Receita!$L$2:$L$332)</f>
        <v>0.41099999999999998</v>
      </c>
      <c r="T44" s="12">
        <f>SUMIF(Mercado_Receita!$S$2:$S$332,"44652B3BrancaNão se aplicaNão se aplicaNão se aplicaNão se aplicaFora ponta",Mercado_Receita!$L$2:$L$332)</f>
        <v>0.378</v>
      </c>
      <c r="U44" s="12">
        <f t="shared" si="0"/>
        <v>5.0719999999999992</v>
      </c>
      <c r="V44" s="12"/>
      <c r="W44" s="12"/>
    </row>
    <row r="45" spans="1:23" ht="11.25" customHeight="1" x14ac:dyDescent="0.25">
      <c r="A45" s="114"/>
      <c r="B45" s="13" t="s">
        <v>23</v>
      </c>
      <c r="C45" s="13" t="s">
        <v>25</v>
      </c>
      <c r="D45" s="13" t="s">
        <v>25</v>
      </c>
      <c r="E45" s="13" t="s">
        <v>25</v>
      </c>
      <c r="F45" s="13" t="s">
        <v>25</v>
      </c>
      <c r="G45" s="12" t="s">
        <v>73</v>
      </c>
      <c r="H45" s="12" t="s">
        <v>69</v>
      </c>
      <c r="I45" s="12">
        <f>SUMIF(Mercado_Receita!$S$2:$S$332,"44317B3ConvencionalNão se aplicaNão se aplicaNão se aplicaNão se aplicaPonta",Mercado_Receita!$L$2:$L$332)+SUMIF(Mercado_Receita!$S$2:$S$332,"44317B3ConvencionalNão se aplicaNão se aplicaNão se aplicaNão se aplicaFora ponta",Mercado_Receita!$L$2:$L$332)+SUMIF(Mercado_Receita!$S$2:$S$332,"44317B3ConvencionalNão se aplicaNão se aplicaNão se aplicaNão se aplicaIntermediário",Mercado_Receita!$L$2:$L$332)+SUMIF(Mercado_Receita!$S$2:$S$332,"44317B3ConvencionalNão se aplicaNão se aplicaNão se aplicaNão se aplicaNão se aplica",Mercado_Receita!$L$2:$L$332)</f>
        <v>146.35399999999998</v>
      </c>
      <c r="J45" s="12">
        <f>SUMIF(Mercado_Receita!$S$2:$S$332,"44348B3ConvencionalNão se aplicaNão se aplicaNão se aplicaNão se aplicaPonta",Mercado_Receita!$L$2:$L$332)+SUMIF(Mercado_Receita!$S$2:$S$332,"44348B3ConvencionalNão se aplicaNão se aplicaNão se aplicaNão se aplicaFora ponta",Mercado_Receita!$L$2:$L$332)+SUMIF(Mercado_Receita!$S$2:$S$332,"44348B3ConvencionalNão se aplicaNão se aplicaNão se aplicaNão se aplicaIntermediário",Mercado_Receita!$L$2:$L$332)+SUMIF(Mercado_Receita!$S$2:$S$332,"44348B3ConvencionalNão se aplicaNão se aplicaNão se aplicaNão se aplicaNão se aplica",Mercado_Receita!$L$2:$L$332)</f>
        <v>141.184</v>
      </c>
      <c r="K45" s="12">
        <f>SUMIF(Mercado_Receita!$S$2:$S$332,"44378B3ConvencionalNão se aplicaNão se aplicaNão se aplicaNão se aplicaPonta",Mercado_Receita!$L$2:$L$332)+SUMIF(Mercado_Receita!$S$2:$S$332,"44378B3ConvencionalNão se aplicaNão se aplicaNão se aplicaNão se aplicaFora ponta",Mercado_Receita!$L$2:$L$332)+SUMIF(Mercado_Receita!$S$2:$S$332,"44378B3ConvencionalNão se aplicaNão se aplicaNão se aplicaNão se aplicaIntermediário",Mercado_Receita!$L$2:$L$332)+SUMIF(Mercado_Receita!$S$2:$S$332,"44378B3ConvencionalNão se aplicaNão se aplicaNão se aplicaNão se aplicaNão se aplica",Mercado_Receita!$L$2:$L$332)</f>
        <v>137.56</v>
      </c>
      <c r="L45" s="12">
        <f>SUMIF(Mercado_Receita!$S$2:$S$332,"44409B3ConvencionalNão se aplicaNão se aplicaNão se aplicaNão se aplicaPonta",Mercado_Receita!$L$2:$L$332)+SUMIF(Mercado_Receita!$S$2:$S$332,"44409B3ConvencionalNão se aplicaNão se aplicaNão se aplicaNão se aplicaFora ponta",Mercado_Receita!$L$2:$L$332)+SUMIF(Mercado_Receita!$S$2:$S$332,"44409B3ConvencionalNão se aplicaNão se aplicaNão se aplicaNão se aplicaIntermediário",Mercado_Receita!$L$2:$L$332)+SUMIF(Mercado_Receita!$S$2:$S$332,"44409B3ConvencionalNão se aplicaNão se aplicaNão se aplicaNão se aplicaNão se aplica",Mercado_Receita!$L$2:$L$332)</f>
        <v>133.22899999999998</v>
      </c>
      <c r="M45" s="12">
        <f>SUMIF(Mercado_Receita!$S$2:$S$332,"44440B3ConvencionalNão se aplicaNão se aplicaNão se aplicaNão se aplicaPonta",Mercado_Receita!$L$2:$L$332)+SUMIF(Mercado_Receita!$S$2:$S$332,"44440B3ConvencionalNão se aplicaNão se aplicaNão se aplicaNão se aplicaFora ponta",Mercado_Receita!$L$2:$L$332)+SUMIF(Mercado_Receita!$S$2:$S$332,"44440B3ConvencionalNão se aplicaNão se aplicaNão se aplicaNão se aplicaIntermediário",Mercado_Receita!$L$2:$L$332)+SUMIF(Mercado_Receita!$S$2:$S$332,"44440B3ConvencionalNão se aplicaNão se aplicaNão se aplicaNão se aplicaNão se aplica",Mercado_Receita!$L$2:$L$332)</f>
        <v>145.09199999999998</v>
      </c>
      <c r="N45" s="12">
        <f>SUMIF(Mercado_Receita!$S$2:$S$332,"44470B3ConvencionalNão se aplicaNão se aplicaNão se aplicaNão se aplicaPonta",Mercado_Receita!$L$2:$L$332)+SUMIF(Mercado_Receita!$S$2:$S$332,"44470B3ConvencionalNão se aplicaNão se aplicaNão se aplicaNão se aplicaFora ponta",Mercado_Receita!$L$2:$L$332)+SUMIF(Mercado_Receita!$S$2:$S$332,"44470B3ConvencionalNão se aplicaNão se aplicaNão se aplicaNão se aplicaIntermediário",Mercado_Receita!$L$2:$L$332)+SUMIF(Mercado_Receita!$S$2:$S$332,"44470B3ConvencionalNão se aplicaNão se aplicaNão se aplicaNão se aplicaNão se aplica",Mercado_Receita!$L$2:$L$332)</f>
        <v>140.17700000000002</v>
      </c>
      <c r="O45" s="12">
        <f>SUMIF(Mercado_Receita!$S$2:$S$332,"44501B3ConvencionalNão se aplicaNão se aplicaNão se aplicaNão se aplicaPonta",Mercado_Receita!$L$2:$L$332)+SUMIF(Mercado_Receita!$S$2:$S$332,"44501B3ConvencionalNão se aplicaNão se aplicaNão se aplicaNão se aplicaFora ponta",Mercado_Receita!$L$2:$L$332)+SUMIF(Mercado_Receita!$S$2:$S$332,"44501B3ConvencionalNão se aplicaNão se aplicaNão se aplicaNão se aplicaIntermediário",Mercado_Receita!$L$2:$L$332)+SUMIF(Mercado_Receita!$S$2:$S$332,"44501B3ConvencionalNão se aplicaNão se aplicaNão se aplicaNão se aplicaNão se aplica",Mercado_Receita!$L$2:$L$332)</f>
        <v>164.37</v>
      </c>
      <c r="P45" s="12">
        <f>SUMIF(Mercado_Receita!$S$2:$S$332,"44531B3ConvencionalNão se aplicaNão se aplicaNão se aplicaNão se aplicaPonta",Mercado_Receita!$L$2:$L$332)+SUMIF(Mercado_Receita!$S$2:$S$332,"44531B3ConvencionalNão se aplicaNão se aplicaNão se aplicaNão se aplicaFora ponta",Mercado_Receita!$L$2:$L$332)+SUMIF(Mercado_Receita!$S$2:$S$332,"44531B3ConvencionalNão se aplicaNão se aplicaNão se aplicaNão se aplicaIntermediário",Mercado_Receita!$L$2:$L$332)+SUMIF(Mercado_Receita!$S$2:$S$332,"44531B3ConvencionalNão se aplicaNão se aplicaNão se aplicaNão se aplicaNão se aplica",Mercado_Receita!$L$2:$L$332)</f>
        <v>161.24700000000001</v>
      </c>
      <c r="Q45" s="12">
        <f>SUMIF(Mercado_Receita!$S$2:$S$332,"44562B3ConvencionalNão se aplicaNão se aplicaNão se aplicaNão se aplicaPonta",Mercado_Receita!$L$2:$L$332)+SUMIF(Mercado_Receita!$S$2:$S$332,"44562B3ConvencionalNão se aplicaNão se aplicaNão se aplicaNão se aplicaFora ponta",Mercado_Receita!$L$2:$L$332)+SUMIF(Mercado_Receita!$S$2:$S$332,"44562B3ConvencionalNão se aplicaNão se aplicaNão se aplicaNão se aplicaIntermediário",Mercado_Receita!$L$2:$L$332)+SUMIF(Mercado_Receita!$S$2:$S$332,"44562B3ConvencionalNão se aplicaNão se aplicaNão se aplicaNão se aplicaNão se aplica",Mercado_Receita!$L$2:$L$332)</f>
        <v>152.13999999999999</v>
      </c>
      <c r="R45" s="12">
        <f>SUMIF(Mercado_Receita!$S$2:$S$332,"44593B3ConvencionalNão se aplicaNão se aplicaNão se aplicaNão se aplicaPonta",Mercado_Receita!$L$2:$L$332)+SUMIF(Mercado_Receita!$S$2:$S$332,"44593B3ConvencionalNão se aplicaNão se aplicaNão se aplicaNão se aplicaFora ponta",Mercado_Receita!$L$2:$L$332)+SUMIF(Mercado_Receita!$S$2:$S$332,"44593B3ConvencionalNão se aplicaNão se aplicaNão se aplicaNão se aplicaIntermediário",Mercado_Receita!$L$2:$L$332)+SUMIF(Mercado_Receita!$S$2:$S$332,"44593B3ConvencionalNão se aplicaNão se aplicaNão se aplicaNão se aplicaNão se aplica",Mercado_Receita!$L$2:$L$332)</f>
        <v>145.59899999999999</v>
      </c>
      <c r="S45" s="12">
        <f>SUMIF(Mercado_Receita!$S$2:$S$332,"44621B3ConvencionalNão se aplicaNão se aplicaNão se aplicaNão se aplicaPonta",Mercado_Receita!$L$2:$L$332)+SUMIF(Mercado_Receita!$S$2:$S$332,"44621B3ConvencionalNão se aplicaNão se aplicaNão se aplicaNão se aplicaFora ponta",Mercado_Receita!$L$2:$L$332)+SUMIF(Mercado_Receita!$S$2:$S$332,"44621B3ConvencionalNão se aplicaNão se aplicaNão se aplicaNão se aplicaIntermediário",Mercado_Receita!$L$2:$L$332)+SUMIF(Mercado_Receita!$S$2:$S$332,"44621B3ConvencionalNão se aplicaNão se aplicaNão se aplicaNão se aplicaNão se aplica",Mercado_Receita!$L$2:$L$332)</f>
        <v>159.203</v>
      </c>
      <c r="T45" s="12">
        <f>SUMIF(Mercado_Receita!$S$2:$S$332,"44652B3ConvencionalNão se aplicaNão se aplicaNão se aplicaNão se aplicaPonta",Mercado_Receita!$L$2:$L$332)+SUMIF(Mercado_Receita!$S$2:$S$332,"44652B3ConvencionalNão se aplicaNão se aplicaNão se aplicaNão se aplicaFora ponta",Mercado_Receita!$L$2:$L$332)+SUMIF(Mercado_Receita!$S$2:$S$332,"44652B3ConvencionalNão se aplicaNão se aplicaNão se aplicaNão se aplicaIntermediário",Mercado_Receita!$L$2:$L$332)+SUMIF(Mercado_Receita!$S$2:$S$332,"44652B3ConvencionalNão se aplicaNão se aplicaNão se aplicaNão se aplicaNão se aplica",Mercado_Receita!$L$2:$L$332)</f>
        <v>165.267</v>
      </c>
      <c r="U45" s="12">
        <f t="shared" si="0"/>
        <v>1791.422</v>
      </c>
      <c r="V45" s="12"/>
      <c r="W45" s="12"/>
    </row>
    <row r="46" spans="1:23" ht="11.25" customHeight="1" x14ac:dyDescent="0.25">
      <c r="A46" s="114"/>
      <c r="B46" s="13" t="s">
        <v>85</v>
      </c>
      <c r="C46" s="13" t="s">
        <v>25</v>
      </c>
      <c r="D46" s="13" t="s">
        <v>25</v>
      </c>
      <c r="E46" s="13" t="s">
        <v>25</v>
      </c>
      <c r="F46" s="13" t="s">
        <v>25</v>
      </c>
      <c r="G46" s="12" t="s">
        <v>73</v>
      </c>
      <c r="H46" s="12" t="s">
        <v>69</v>
      </c>
      <c r="I46" s="12">
        <f>SUMIF(Mercado_Receita!$S$2:$S$332,"44317B3Convencional pré-pagamentoNão se aplicaNão se aplicaNão se aplicaNão se aplicaPonta",Mercado_Receita!$L$2:$L$332)+SUMIF(Mercado_Receita!$S$2:$S$332,"44317B3Convencional pré-pagamentoNão se aplicaNão se aplicaNão se aplicaNão se aplicaFora ponta",Mercado_Receita!$L$2:$L$332)+SUMIF(Mercado_Receita!$S$2:$S$332,"44317B3Convencional pré-pagamentoNão se aplicaNão se aplicaNão se aplicaNão se aplicaIntermediário",Mercado_Receita!$L$2:$L$332)+SUMIF(Mercado_Receita!$S$2:$S$332,"44317B3Convencional pré-pagamentoNão se aplicaNão se aplicaNão se aplicaNão se aplicaNão se aplica",Mercado_Receita!$L$2:$L$332)</f>
        <v>0</v>
      </c>
      <c r="J46" s="12">
        <f>SUMIF(Mercado_Receita!$S$2:$S$332,"44348B3Convencional pré-pagamentoNão se aplicaNão se aplicaNão se aplicaNão se aplicaPonta",Mercado_Receita!$L$2:$L$332)+SUMIF(Mercado_Receita!$S$2:$S$332,"44348B3Convencional pré-pagamentoNão se aplicaNão se aplicaNão se aplicaNão se aplicaFora ponta",Mercado_Receita!$L$2:$L$332)+SUMIF(Mercado_Receita!$S$2:$S$332,"44348B3Convencional pré-pagamentoNão se aplicaNão se aplicaNão se aplicaNão se aplicaIntermediário",Mercado_Receita!$L$2:$L$332)+SUMIF(Mercado_Receita!$S$2:$S$332,"44348B3Convencional pré-pagamentoNão se aplicaNão se aplicaNão se aplicaNão se aplicaNão se aplica",Mercado_Receita!$L$2:$L$332)</f>
        <v>0</v>
      </c>
      <c r="K46" s="12">
        <f>SUMIF(Mercado_Receita!$S$2:$S$332,"44378B3Convencional pré-pagamentoNão se aplicaNão se aplicaNão se aplicaNão se aplicaPonta",Mercado_Receita!$L$2:$L$332)+SUMIF(Mercado_Receita!$S$2:$S$332,"44378B3Convencional pré-pagamentoNão se aplicaNão se aplicaNão se aplicaNão se aplicaFora ponta",Mercado_Receita!$L$2:$L$332)+SUMIF(Mercado_Receita!$S$2:$S$332,"44378B3Convencional pré-pagamentoNão se aplicaNão se aplicaNão se aplicaNão se aplicaIntermediário",Mercado_Receita!$L$2:$L$332)+SUMIF(Mercado_Receita!$S$2:$S$332,"44378B3Convencional pré-pagamentoNão se aplicaNão se aplicaNão se aplicaNão se aplicaNão se aplica",Mercado_Receita!$L$2:$L$332)</f>
        <v>0</v>
      </c>
      <c r="L46" s="12">
        <f>SUMIF(Mercado_Receita!$S$2:$S$332,"44409B3Convencional pré-pagamentoNão se aplicaNão se aplicaNão se aplicaNão se aplicaPonta",Mercado_Receita!$L$2:$L$332)+SUMIF(Mercado_Receita!$S$2:$S$332,"44409B3Convencional pré-pagamentoNão se aplicaNão se aplicaNão se aplicaNão se aplicaFora ponta",Mercado_Receita!$L$2:$L$332)+SUMIF(Mercado_Receita!$S$2:$S$332,"44409B3Convencional pré-pagamentoNão se aplicaNão se aplicaNão se aplicaNão se aplicaIntermediário",Mercado_Receita!$L$2:$L$332)+SUMIF(Mercado_Receita!$S$2:$S$332,"44409B3Convencional pré-pagamentoNão se aplicaNão se aplicaNão se aplicaNão se aplicaNão se aplica",Mercado_Receita!$L$2:$L$332)</f>
        <v>0</v>
      </c>
      <c r="M46" s="12">
        <f>SUMIF(Mercado_Receita!$S$2:$S$332,"44440B3Convencional pré-pagamentoNão se aplicaNão se aplicaNão se aplicaNão se aplicaPonta",Mercado_Receita!$L$2:$L$332)+SUMIF(Mercado_Receita!$S$2:$S$332,"44440B3Convencional pré-pagamentoNão se aplicaNão se aplicaNão se aplicaNão se aplicaFora ponta",Mercado_Receita!$L$2:$L$332)+SUMIF(Mercado_Receita!$S$2:$S$332,"44440B3Convencional pré-pagamentoNão se aplicaNão se aplicaNão se aplicaNão se aplicaIntermediário",Mercado_Receita!$L$2:$L$332)+SUMIF(Mercado_Receita!$S$2:$S$332,"44440B3Convencional pré-pagamentoNão se aplicaNão se aplicaNão se aplicaNão se aplicaNão se aplica",Mercado_Receita!$L$2:$L$332)</f>
        <v>0</v>
      </c>
      <c r="N46" s="12">
        <f>SUMIF(Mercado_Receita!$S$2:$S$332,"44470B3Convencional pré-pagamentoNão se aplicaNão se aplicaNão se aplicaNão se aplicaPonta",Mercado_Receita!$L$2:$L$332)+SUMIF(Mercado_Receita!$S$2:$S$332,"44470B3Convencional pré-pagamentoNão se aplicaNão se aplicaNão se aplicaNão se aplicaFora ponta",Mercado_Receita!$L$2:$L$332)+SUMIF(Mercado_Receita!$S$2:$S$332,"44470B3Convencional pré-pagamentoNão se aplicaNão se aplicaNão se aplicaNão se aplicaIntermediário",Mercado_Receita!$L$2:$L$332)+SUMIF(Mercado_Receita!$S$2:$S$332,"44470B3Convencional pré-pagamentoNão se aplicaNão se aplicaNão se aplicaNão se aplicaNão se aplica",Mercado_Receita!$L$2:$L$332)</f>
        <v>0</v>
      </c>
      <c r="O46" s="12">
        <f>SUMIF(Mercado_Receita!$S$2:$S$332,"44501B3Convencional pré-pagamentoNão se aplicaNão se aplicaNão se aplicaNão se aplicaPonta",Mercado_Receita!$L$2:$L$332)+SUMIF(Mercado_Receita!$S$2:$S$332,"44501B3Convencional pré-pagamentoNão se aplicaNão se aplicaNão se aplicaNão se aplicaFora ponta",Mercado_Receita!$L$2:$L$332)+SUMIF(Mercado_Receita!$S$2:$S$332,"44501B3Convencional pré-pagamentoNão se aplicaNão se aplicaNão se aplicaNão se aplicaIntermediário",Mercado_Receita!$L$2:$L$332)+SUMIF(Mercado_Receita!$S$2:$S$332,"44501B3Convencional pré-pagamentoNão se aplicaNão se aplicaNão se aplicaNão se aplicaNão se aplica",Mercado_Receita!$L$2:$L$332)</f>
        <v>0</v>
      </c>
      <c r="P46" s="12">
        <f>SUMIF(Mercado_Receita!$S$2:$S$332,"44531B3Convencional pré-pagamentoNão se aplicaNão se aplicaNão se aplicaNão se aplicaPonta",Mercado_Receita!$L$2:$L$332)+SUMIF(Mercado_Receita!$S$2:$S$332,"44531B3Convencional pré-pagamentoNão se aplicaNão se aplicaNão se aplicaNão se aplicaFora ponta",Mercado_Receita!$L$2:$L$332)+SUMIF(Mercado_Receita!$S$2:$S$332,"44531B3Convencional pré-pagamentoNão se aplicaNão se aplicaNão se aplicaNão se aplicaIntermediário",Mercado_Receita!$L$2:$L$332)+SUMIF(Mercado_Receita!$S$2:$S$332,"44531B3Convencional pré-pagamentoNão se aplicaNão se aplicaNão se aplicaNão se aplicaNão se aplica",Mercado_Receita!$L$2:$L$332)</f>
        <v>0</v>
      </c>
      <c r="Q46" s="12">
        <f>SUMIF(Mercado_Receita!$S$2:$S$332,"44562B3Convencional pré-pagamentoNão se aplicaNão se aplicaNão se aplicaNão se aplicaPonta",Mercado_Receita!$L$2:$L$332)+SUMIF(Mercado_Receita!$S$2:$S$332,"44562B3Convencional pré-pagamentoNão se aplicaNão se aplicaNão se aplicaNão se aplicaFora ponta",Mercado_Receita!$L$2:$L$332)+SUMIF(Mercado_Receita!$S$2:$S$332,"44562B3Convencional pré-pagamentoNão se aplicaNão se aplicaNão se aplicaNão se aplicaIntermediário",Mercado_Receita!$L$2:$L$332)+SUMIF(Mercado_Receita!$S$2:$S$332,"44562B3Convencional pré-pagamentoNão se aplicaNão se aplicaNão se aplicaNão se aplicaNão se aplica",Mercado_Receita!$L$2:$L$332)</f>
        <v>0</v>
      </c>
      <c r="R46" s="12">
        <f>SUMIF(Mercado_Receita!$S$2:$S$332,"44593B3Convencional pré-pagamentoNão se aplicaNão se aplicaNão se aplicaNão se aplicaPonta",Mercado_Receita!$L$2:$L$332)+SUMIF(Mercado_Receita!$S$2:$S$332,"44593B3Convencional pré-pagamentoNão se aplicaNão se aplicaNão se aplicaNão se aplicaFora ponta",Mercado_Receita!$L$2:$L$332)+SUMIF(Mercado_Receita!$S$2:$S$332,"44593B3Convencional pré-pagamentoNão se aplicaNão se aplicaNão se aplicaNão se aplicaIntermediário",Mercado_Receita!$L$2:$L$332)+SUMIF(Mercado_Receita!$S$2:$S$332,"44593B3Convencional pré-pagamentoNão se aplicaNão se aplicaNão se aplicaNão se aplicaNão se aplica",Mercado_Receita!$L$2:$L$332)</f>
        <v>0</v>
      </c>
      <c r="S46" s="12">
        <f>SUMIF(Mercado_Receita!$S$2:$S$332,"44621B3Convencional pré-pagamentoNão se aplicaNão se aplicaNão se aplicaNão se aplicaPonta",Mercado_Receita!$L$2:$L$332)+SUMIF(Mercado_Receita!$S$2:$S$332,"44621B3Convencional pré-pagamentoNão se aplicaNão se aplicaNão se aplicaNão se aplicaFora ponta",Mercado_Receita!$L$2:$L$332)+SUMIF(Mercado_Receita!$S$2:$S$332,"44621B3Convencional pré-pagamentoNão se aplicaNão se aplicaNão se aplicaNão se aplicaIntermediário",Mercado_Receita!$L$2:$L$332)+SUMIF(Mercado_Receita!$S$2:$S$332,"44621B3Convencional pré-pagamentoNão se aplicaNão se aplicaNão se aplicaNão se aplicaNão se aplica",Mercado_Receita!$L$2:$L$332)</f>
        <v>0</v>
      </c>
      <c r="T46" s="12">
        <f>SUMIF(Mercado_Receita!$S$2:$S$332,"44652B3Convencional pré-pagamentoNão se aplicaNão se aplicaNão se aplicaNão se aplicaPonta",Mercado_Receita!$L$2:$L$332)+SUMIF(Mercado_Receita!$S$2:$S$332,"44652B3Convencional pré-pagamentoNão se aplicaNão se aplicaNão se aplicaNão se aplicaFora ponta",Mercado_Receita!$L$2:$L$332)+SUMIF(Mercado_Receita!$S$2:$S$332,"44652B3Convencional pré-pagamentoNão se aplicaNão se aplicaNão se aplicaNão se aplicaIntermediário",Mercado_Receita!$L$2:$L$332)+SUMIF(Mercado_Receita!$S$2:$S$332,"44652B3Convencional pré-pagamentoNão se aplicaNão se aplicaNão se aplicaNão se aplicaNão se aplica",Mercado_Receita!$L$2:$L$332)</f>
        <v>0</v>
      </c>
      <c r="U46" s="12">
        <f t="shared" si="0"/>
        <v>0</v>
      </c>
      <c r="V46" s="12"/>
      <c r="W46" s="12"/>
    </row>
    <row r="47" spans="1:23" ht="11.25" customHeight="1" x14ac:dyDescent="0.25">
      <c r="A47" s="113" t="s">
        <v>44</v>
      </c>
      <c r="B47" s="113" t="s">
        <v>23</v>
      </c>
      <c r="C47" s="113" t="s">
        <v>45</v>
      </c>
      <c r="D47" s="13" t="s">
        <v>46</v>
      </c>
      <c r="E47" s="13" t="s">
        <v>25</v>
      </c>
      <c r="F47" s="13" t="s">
        <v>25</v>
      </c>
      <c r="G47" s="12" t="s">
        <v>73</v>
      </c>
      <c r="H47" s="12" t="s">
        <v>69</v>
      </c>
      <c r="I47" s="12">
        <f>SUMIF(Mercado_Receita!$S$2:$S$332,"44317B4ConvencionalIluminação públicaIluminação pública – B4aNão se aplicaNão se aplicaPonta",Mercado_Receita!$L$2:$L$332)+SUMIF(Mercado_Receita!$S$2:$S$332,"44317B4ConvencionalIluminação públicaIluminação pública – B4aNão se aplicaNão se aplicaFora ponta",Mercado_Receita!$L$2:$L$332)+SUMIF(Mercado_Receita!$S$2:$S$332,"44317B4ConvencionalIluminação públicaIluminação pública – B4aNão se aplicaNão se aplicaIntermediário",Mercado_Receita!$L$2:$L$332)+SUMIF(Mercado_Receita!$S$2:$S$332,"44317B4ConvencionalIluminação públicaIluminação pública – B4aNão se aplicaNão se aplicaNão se aplica",Mercado_Receita!$L$2:$L$332)</f>
        <v>132.27799999999999</v>
      </c>
      <c r="J47" s="12">
        <f>SUMIF(Mercado_Receita!$S$2:$S$332,"44348B4ConvencionalIluminação públicaIluminação pública – B4aNão se aplicaNão se aplicaPonta",Mercado_Receita!$L$2:$L$332)+SUMIF(Mercado_Receita!$S$2:$S$332,"44348B4ConvencionalIluminação públicaIluminação pública – B4aNão se aplicaNão se aplicaFora ponta",Mercado_Receita!$L$2:$L$332)+SUMIF(Mercado_Receita!$S$2:$S$332,"44348B4ConvencionalIluminação públicaIluminação pública – B4aNão se aplicaNão se aplicaIntermediário",Mercado_Receita!$L$2:$L$332)+SUMIF(Mercado_Receita!$S$2:$S$332,"44348B4ConvencionalIluminação públicaIluminação pública – B4aNão se aplicaNão se aplicaNão se aplica",Mercado_Receita!$L$2:$L$332)</f>
        <v>124.815</v>
      </c>
      <c r="K47" s="12">
        <f>SUMIF(Mercado_Receita!$S$2:$S$332,"44378B4ConvencionalIluminação públicaIluminação pública – B4aNão se aplicaNão se aplicaPonta",Mercado_Receita!$L$2:$L$332)+SUMIF(Mercado_Receita!$S$2:$S$332,"44378B4ConvencionalIluminação públicaIluminação pública – B4aNão se aplicaNão se aplicaFora ponta",Mercado_Receita!$L$2:$L$332)+SUMIF(Mercado_Receita!$S$2:$S$332,"44378B4ConvencionalIluminação públicaIluminação pública – B4aNão se aplicaNão se aplicaIntermediário",Mercado_Receita!$L$2:$L$332)+SUMIF(Mercado_Receita!$S$2:$S$332,"44378B4ConvencionalIluminação públicaIluminação pública – B4aNão se aplicaNão se aplicaNão se aplica",Mercado_Receita!$L$2:$L$332)</f>
        <v>135.209</v>
      </c>
      <c r="L47" s="12">
        <f>SUMIF(Mercado_Receita!$S$2:$S$332,"44409B4ConvencionalIluminação públicaIluminação pública – B4aNão se aplicaNão se aplicaPonta",Mercado_Receita!$L$2:$L$332)+SUMIF(Mercado_Receita!$S$2:$S$332,"44409B4ConvencionalIluminação públicaIluminação pública – B4aNão se aplicaNão se aplicaFora ponta",Mercado_Receita!$L$2:$L$332)+SUMIF(Mercado_Receita!$S$2:$S$332,"44409B4ConvencionalIluminação públicaIluminação pública – B4aNão se aplicaNão se aplicaIntermediário",Mercado_Receita!$L$2:$L$332)+SUMIF(Mercado_Receita!$S$2:$S$332,"44409B4ConvencionalIluminação públicaIluminação pública – B4aNão se aplicaNão se aplicaNão se aplica",Mercado_Receita!$L$2:$L$332)</f>
        <v>127.328</v>
      </c>
      <c r="M47" s="12">
        <f>SUMIF(Mercado_Receita!$S$2:$S$332,"44440B4ConvencionalIluminação públicaIluminação pública – B4aNão se aplicaNão se aplicaPonta",Mercado_Receita!$L$2:$L$332)+SUMIF(Mercado_Receita!$S$2:$S$332,"44440B4ConvencionalIluminação públicaIluminação pública – B4aNão se aplicaNão se aplicaFora ponta",Mercado_Receita!$L$2:$L$332)+SUMIF(Mercado_Receita!$S$2:$S$332,"44440B4ConvencionalIluminação públicaIluminação pública – B4aNão se aplicaNão se aplicaIntermediário",Mercado_Receita!$L$2:$L$332)+SUMIF(Mercado_Receita!$S$2:$S$332,"44440B4ConvencionalIluminação públicaIluminação pública – B4aNão se aplicaNão se aplicaNão se aplica",Mercado_Receita!$L$2:$L$332)</f>
        <v>127.422</v>
      </c>
      <c r="N47" s="12">
        <f>SUMIF(Mercado_Receita!$S$2:$S$332,"44470B4ConvencionalIluminação públicaIluminação pública – B4aNão se aplicaNão se aplicaPonta",Mercado_Receita!$L$2:$L$332)+SUMIF(Mercado_Receita!$S$2:$S$332,"44470B4ConvencionalIluminação públicaIluminação pública – B4aNão se aplicaNão se aplicaFora ponta",Mercado_Receita!$L$2:$L$332)+SUMIF(Mercado_Receita!$S$2:$S$332,"44470B4ConvencionalIluminação públicaIluminação pública – B4aNão se aplicaNão se aplicaIntermediário",Mercado_Receita!$L$2:$L$332)+SUMIF(Mercado_Receita!$S$2:$S$332,"44470B4ConvencionalIluminação públicaIluminação pública – B4aNão se aplicaNão se aplicaNão se aplica",Mercado_Receita!$L$2:$L$332)</f>
        <v>129.19499999999999</v>
      </c>
      <c r="O47" s="12">
        <f>SUMIF(Mercado_Receita!$S$2:$S$332,"44501B4ConvencionalIluminação públicaIluminação pública – B4aNão se aplicaNão se aplicaPonta",Mercado_Receita!$L$2:$L$332)+SUMIF(Mercado_Receita!$S$2:$S$332,"44501B4ConvencionalIluminação públicaIluminação pública – B4aNão se aplicaNão se aplicaFora ponta",Mercado_Receita!$L$2:$L$332)+SUMIF(Mercado_Receita!$S$2:$S$332,"44501B4ConvencionalIluminação públicaIluminação pública – B4aNão se aplicaNão se aplicaIntermediário",Mercado_Receita!$L$2:$L$332)+SUMIF(Mercado_Receita!$S$2:$S$332,"44501B4ConvencionalIluminação públicaIluminação pública – B4aNão se aplicaNão se aplicaNão se aplica",Mercado_Receita!$L$2:$L$332)</f>
        <v>122.45399999999999</v>
      </c>
      <c r="P47" s="12">
        <f>SUMIF(Mercado_Receita!$S$2:$S$332,"44531B4ConvencionalIluminação públicaIluminação pública – B4aNão se aplicaNão se aplicaPonta",Mercado_Receita!$L$2:$L$332)+SUMIF(Mercado_Receita!$S$2:$S$332,"44531B4ConvencionalIluminação públicaIluminação pública – B4aNão se aplicaNão se aplicaFora ponta",Mercado_Receita!$L$2:$L$332)+SUMIF(Mercado_Receita!$S$2:$S$332,"44531B4ConvencionalIluminação públicaIluminação pública – B4aNão se aplicaNão se aplicaIntermediário",Mercado_Receita!$L$2:$L$332)+SUMIF(Mercado_Receita!$S$2:$S$332,"44531B4ConvencionalIluminação públicaIluminação pública – B4aNão se aplicaNão se aplicaNão se aplica",Mercado_Receita!$L$2:$L$332)</f>
        <v>128.922</v>
      </c>
      <c r="Q47" s="12">
        <f>SUMIF(Mercado_Receita!$S$2:$S$332,"44562B4ConvencionalIluminação públicaIluminação pública – B4aNão se aplicaNão se aplicaPonta",Mercado_Receita!$L$2:$L$332)+SUMIF(Mercado_Receita!$S$2:$S$332,"44562B4ConvencionalIluminação públicaIluminação pública – B4aNão se aplicaNão se aplicaFora ponta",Mercado_Receita!$L$2:$L$332)+SUMIF(Mercado_Receita!$S$2:$S$332,"44562B4ConvencionalIluminação públicaIluminação pública – B4aNão se aplicaNão se aplicaIntermediário",Mercado_Receita!$L$2:$L$332)+SUMIF(Mercado_Receita!$S$2:$S$332,"44562B4ConvencionalIluminação públicaIluminação pública – B4aNão se aplicaNão se aplicaNão se aplica",Mercado_Receita!$L$2:$L$332)</f>
        <v>132.09399999999999</v>
      </c>
      <c r="R47" s="12">
        <f>SUMIF(Mercado_Receita!$S$2:$S$332,"44593B4ConvencionalIluminação públicaIluminação pública – B4aNão se aplicaNão se aplicaPonta",Mercado_Receita!$L$2:$L$332)+SUMIF(Mercado_Receita!$S$2:$S$332,"44593B4ConvencionalIluminação públicaIluminação pública – B4aNão se aplicaNão se aplicaFora ponta",Mercado_Receita!$L$2:$L$332)+SUMIF(Mercado_Receita!$S$2:$S$332,"44593B4ConvencionalIluminação públicaIluminação pública – B4aNão se aplicaNão se aplicaIntermediário",Mercado_Receita!$L$2:$L$332)+SUMIF(Mercado_Receita!$S$2:$S$332,"44593B4ConvencionalIluminação públicaIluminação pública – B4aNão se aplicaNão se aplicaNão se aplica",Mercado_Receita!$L$2:$L$332)</f>
        <v>114.63</v>
      </c>
      <c r="S47" s="12">
        <f>SUMIF(Mercado_Receita!$S$2:$S$332,"44621B4ConvencionalIluminação públicaIluminação pública – B4aNão se aplicaNão se aplicaPonta",Mercado_Receita!$L$2:$L$332)+SUMIF(Mercado_Receita!$S$2:$S$332,"44621B4ConvencionalIluminação públicaIluminação pública – B4aNão se aplicaNão se aplicaFora ponta",Mercado_Receita!$L$2:$L$332)+SUMIF(Mercado_Receita!$S$2:$S$332,"44621B4ConvencionalIluminação públicaIluminação pública – B4aNão se aplicaNão se aplicaIntermediário",Mercado_Receita!$L$2:$L$332)+SUMIF(Mercado_Receita!$S$2:$S$332,"44621B4ConvencionalIluminação públicaIluminação pública – B4aNão se aplicaNão se aplicaNão se aplica",Mercado_Receita!$L$2:$L$332)</f>
        <v>127.53400000000001</v>
      </c>
      <c r="T47" s="12">
        <f>SUMIF(Mercado_Receita!$S$2:$S$332,"44652B4ConvencionalIluminação públicaIluminação pública – B4aNão se aplicaNão se aplicaPonta",Mercado_Receita!$L$2:$L$332)+SUMIF(Mercado_Receita!$S$2:$S$332,"44652B4ConvencionalIluminação públicaIluminação pública – B4aNão se aplicaNão se aplicaFora ponta",Mercado_Receita!$L$2:$L$332)+SUMIF(Mercado_Receita!$S$2:$S$332,"44652B4ConvencionalIluminação públicaIluminação pública – B4aNão se aplicaNão se aplicaIntermediário",Mercado_Receita!$L$2:$L$332)+SUMIF(Mercado_Receita!$S$2:$S$332,"44652B4ConvencionalIluminação públicaIluminação pública – B4aNão se aplicaNão se aplicaNão se aplica",Mercado_Receita!$L$2:$L$332)</f>
        <v>116.187</v>
      </c>
      <c r="U47" s="12">
        <f t="shared" si="0"/>
        <v>1518.0680000000002</v>
      </c>
      <c r="V47" s="12"/>
      <c r="W47" s="12"/>
    </row>
    <row r="48" spans="1:23" ht="11.25" customHeight="1" x14ac:dyDescent="0.25">
      <c r="A48" s="114"/>
      <c r="B48" s="114"/>
      <c r="C48" s="114"/>
      <c r="D48" s="12" t="s">
        <v>88</v>
      </c>
      <c r="E48" s="12" t="s">
        <v>25</v>
      </c>
      <c r="F48" s="12" t="s">
        <v>25</v>
      </c>
      <c r="G48" s="12" t="s">
        <v>73</v>
      </c>
      <c r="H48" s="12" t="s">
        <v>69</v>
      </c>
      <c r="I48" s="12">
        <f>SUMIF(Mercado_Receita!$S$2:$S$332,"44317B4ConvencionalIluminação públicaIluminação pública – B4bNão se aplicaNão se aplicaPonta",Mercado_Receita!$L$2:$L$332)+SUMIF(Mercado_Receita!$S$2:$S$332,"44317B4ConvencionalIluminação públicaIluminação pública – B4bNão se aplicaNão se aplicaFora ponta",Mercado_Receita!$L$2:$L$332)+SUMIF(Mercado_Receita!$S$2:$S$332,"44317B4ConvencionalIluminação públicaIluminação pública – B4bNão se aplicaNão se aplicaIntermediário",Mercado_Receita!$L$2:$L$332)+SUMIF(Mercado_Receita!$S$2:$S$332,"44317B4ConvencionalIluminação públicaIluminação pública – B4bNão se aplicaNão se aplicaNão se aplica",Mercado_Receita!$L$2:$L$332)</f>
        <v>0</v>
      </c>
      <c r="J48" s="12">
        <f>SUMIF(Mercado_Receita!$S$2:$S$332,"44348B4ConvencionalIluminação públicaIluminação pública – B4bNão se aplicaNão se aplicaPonta",Mercado_Receita!$L$2:$L$332)+SUMIF(Mercado_Receita!$S$2:$S$332,"44348B4ConvencionalIluminação públicaIluminação pública – B4bNão se aplicaNão se aplicaFora ponta",Mercado_Receita!$L$2:$L$332)+SUMIF(Mercado_Receita!$S$2:$S$332,"44348B4ConvencionalIluminação públicaIluminação pública – B4bNão se aplicaNão se aplicaIntermediário",Mercado_Receita!$L$2:$L$332)+SUMIF(Mercado_Receita!$S$2:$S$332,"44348B4ConvencionalIluminação públicaIluminação pública – B4bNão se aplicaNão se aplicaNão se aplica",Mercado_Receita!$L$2:$L$332)</f>
        <v>0</v>
      </c>
      <c r="K48" s="12">
        <f>SUMIF(Mercado_Receita!$S$2:$S$332,"44378B4ConvencionalIluminação públicaIluminação pública – B4bNão se aplicaNão se aplicaPonta",Mercado_Receita!$L$2:$L$332)+SUMIF(Mercado_Receita!$S$2:$S$332,"44378B4ConvencionalIluminação públicaIluminação pública – B4bNão se aplicaNão se aplicaFora ponta",Mercado_Receita!$L$2:$L$332)+SUMIF(Mercado_Receita!$S$2:$S$332,"44378B4ConvencionalIluminação públicaIluminação pública – B4bNão se aplicaNão se aplicaIntermediário",Mercado_Receita!$L$2:$L$332)+SUMIF(Mercado_Receita!$S$2:$S$332,"44378B4ConvencionalIluminação públicaIluminação pública – B4bNão se aplicaNão se aplicaNão se aplica",Mercado_Receita!$L$2:$L$332)</f>
        <v>0</v>
      </c>
      <c r="L48" s="12">
        <f>SUMIF(Mercado_Receita!$S$2:$S$332,"44409B4ConvencionalIluminação públicaIluminação pública – B4bNão se aplicaNão se aplicaPonta",Mercado_Receita!$L$2:$L$332)+SUMIF(Mercado_Receita!$S$2:$S$332,"44409B4ConvencionalIluminação públicaIluminação pública – B4bNão se aplicaNão se aplicaFora ponta",Mercado_Receita!$L$2:$L$332)+SUMIF(Mercado_Receita!$S$2:$S$332,"44409B4ConvencionalIluminação públicaIluminação pública – B4bNão se aplicaNão se aplicaIntermediário",Mercado_Receita!$L$2:$L$332)+SUMIF(Mercado_Receita!$S$2:$S$332,"44409B4ConvencionalIluminação públicaIluminação pública – B4bNão se aplicaNão se aplicaNão se aplica",Mercado_Receita!$L$2:$L$332)</f>
        <v>0</v>
      </c>
      <c r="M48" s="12">
        <f>SUMIF(Mercado_Receita!$S$2:$S$332,"44440B4ConvencionalIluminação públicaIluminação pública – B4bNão se aplicaNão se aplicaPonta",Mercado_Receita!$L$2:$L$332)+SUMIF(Mercado_Receita!$S$2:$S$332,"44440B4ConvencionalIluminação públicaIluminação pública – B4bNão se aplicaNão se aplicaFora ponta",Mercado_Receita!$L$2:$L$332)+SUMIF(Mercado_Receita!$S$2:$S$332,"44440B4ConvencionalIluminação públicaIluminação pública – B4bNão se aplicaNão se aplicaIntermediário",Mercado_Receita!$L$2:$L$332)+SUMIF(Mercado_Receita!$S$2:$S$332,"44440B4ConvencionalIluminação públicaIluminação pública – B4bNão se aplicaNão se aplicaNão se aplica",Mercado_Receita!$L$2:$L$332)</f>
        <v>0</v>
      </c>
      <c r="N48" s="12">
        <f>SUMIF(Mercado_Receita!$S$2:$S$332,"44470B4ConvencionalIluminação públicaIluminação pública – B4bNão se aplicaNão se aplicaPonta",Mercado_Receita!$L$2:$L$332)+SUMIF(Mercado_Receita!$S$2:$S$332,"44470B4ConvencionalIluminação públicaIluminação pública – B4bNão se aplicaNão se aplicaFora ponta",Mercado_Receita!$L$2:$L$332)+SUMIF(Mercado_Receita!$S$2:$S$332,"44470B4ConvencionalIluminação públicaIluminação pública – B4bNão se aplicaNão se aplicaIntermediário",Mercado_Receita!$L$2:$L$332)+SUMIF(Mercado_Receita!$S$2:$S$332,"44470B4ConvencionalIluminação públicaIluminação pública – B4bNão se aplicaNão se aplicaNão se aplica",Mercado_Receita!$L$2:$L$332)</f>
        <v>0</v>
      </c>
      <c r="O48" s="12">
        <f>SUMIF(Mercado_Receita!$S$2:$S$332,"44501B4ConvencionalIluminação públicaIluminação pública – B4bNão se aplicaNão se aplicaPonta",Mercado_Receita!$L$2:$L$332)+SUMIF(Mercado_Receita!$S$2:$S$332,"44501B4ConvencionalIluminação públicaIluminação pública – B4bNão se aplicaNão se aplicaFora ponta",Mercado_Receita!$L$2:$L$332)+SUMIF(Mercado_Receita!$S$2:$S$332,"44501B4ConvencionalIluminação públicaIluminação pública – B4bNão se aplicaNão se aplicaIntermediário",Mercado_Receita!$L$2:$L$332)+SUMIF(Mercado_Receita!$S$2:$S$332,"44501B4ConvencionalIluminação públicaIluminação pública – B4bNão se aplicaNão se aplicaNão se aplica",Mercado_Receita!$L$2:$L$332)</f>
        <v>0</v>
      </c>
      <c r="P48" s="12">
        <f>SUMIF(Mercado_Receita!$S$2:$S$332,"44531B4ConvencionalIluminação públicaIluminação pública – B4bNão se aplicaNão se aplicaPonta",Mercado_Receita!$L$2:$L$332)+SUMIF(Mercado_Receita!$S$2:$S$332,"44531B4ConvencionalIluminação públicaIluminação pública – B4bNão se aplicaNão se aplicaFora ponta",Mercado_Receita!$L$2:$L$332)+SUMIF(Mercado_Receita!$S$2:$S$332,"44531B4ConvencionalIluminação públicaIluminação pública – B4bNão se aplicaNão se aplicaIntermediário",Mercado_Receita!$L$2:$L$332)+SUMIF(Mercado_Receita!$S$2:$S$332,"44531B4ConvencionalIluminação públicaIluminação pública – B4bNão se aplicaNão se aplicaNão se aplica",Mercado_Receita!$L$2:$L$332)</f>
        <v>0</v>
      </c>
      <c r="Q48" s="12">
        <f>SUMIF(Mercado_Receita!$S$2:$S$332,"44562B4ConvencionalIluminação públicaIluminação pública – B4bNão se aplicaNão se aplicaPonta",Mercado_Receita!$L$2:$L$332)+SUMIF(Mercado_Receita!$S$2:$S$332,"44562B4ConvencionalIluminação públicaIluminação pública – B4bNão se aplicaNão se aplicaFora ponta",Mercado_Receita!$L$2:$L$332)+SUMIF(Mercado_Receita!$S$2:$S$332,"44562B4ConvencionalIluminação públicaIluminação pública – B4bNão se aplicaNão se aplicaIntermediário",Mercado_Receita!$L$2:$L$332)+SUMIF(Mercado_Receita!$S$2:$S$332,"44562B4ConvencionalIluminação públicaIluminação pública – B4bNão se aplicaNão se aplicaNão se aplica",Mercado_Receita!$L$2:$L$332)</f>
        <v>0</v>
      </c>
      <c r="R48" s="12">
        <f>SUMIF(Mercado_Receita!$S$2:$S$332,"44593B4ConvencionalIluminação públicaIluminação pública – B4bNão se aplicaNão se aplicaPonta",Mercado_Receita!$L$2:$L$332)+SUMIF(Mercado_Receita!$S$2:$S$332,"44593B4ConvencionalIluminação públicaIluminação pública – B4bNão se aplicaNão se aplicaFora ponta",Mercado_Receita!$L$2:$L$332)+SUMIF(Mercado_Receita!$S$2:$S$332,"44593B4ConvencionalIluminação públicaIluminação pública – B4bNão se aplicaNão se aplicaIntermediário",Mercado_Receita!$L$2:$L$332)+SUMIF(Mercado_Receita!$S$2:$S$332,"44593B4ConvencionalIluminação públicaIluminação pública – B4bNão se aplicaNão se aplicaNão se aplica",Mercado_Receita!$L$2:$L$332)</f>
        <v>0</v>
      </c>
      <c r="S48" s="12">
        <f>SUMIF(Mercado_Receita!$S$2:$S$332,"44621B4ConvencionalIluminação públicaIluminação pública – B4bNão se aplicaNão se aplicaPonta",Mercado_Receita!$L$2:$L$332)+SUMIF(Mercado_Receita!$S$2:$S$332,"44621B4ConvencionalIluminação públicaIluminação pública – B4bNão se aplicaNão se aplicaFora ponta",Mercado_Receita!$L$2:$L$332)+SUMIF(Mercado_Receita!$S$2:$S$332,"44621B4ConvencionalIluminação públicaIluminação pública – B4bNão se aplicaNão se aplicaIntermediário",Mercado_Receita!$L$2:$L$332)+SUMIF(Mercado_Receita!$S$2:$S$332,"44621B4ConvencionalIluminação públicaIluminação pública – B4bNão se aplicaNão se aplicaNão se aplica",Mercado_Receita!$L$2:$L$332)</f>
        <v>0</v>
      </c>
      <c r="T48" s="12">
        <f>SUMIF(Mercado_Receita!$S$2:$S$332,"44652B4ConvencionalIluminação públicaIluminação pública – B4bNão se aplicaNão se aplicaPonta",Mercado_Receita!$L$2:$L$332)+SUMIF(Mercado_Receita!$S$2:$S$332,"44652B4ConvencionalIluminação públicaIluminação pública – B4bNão se aplicaNão se aplicaFora ponta",Mercado_Receita!$L$2:$L$332)+SUMIF(Mercado_Receita!$S$2:$S$332,"44652B4ConvencionalIluminação públicaIluminação pública – B4bNão se aplicaNão se aplicaIntermediário",Mercado_Receita!$L$2:$L$332)+SUMIF(Mercado_Receita!$S$2:$S$332,"44652B4ConvencionalIluminação públicaIluminação pública – B4bNão se aplicaNão se aplicaNão se aplica",Mercado_Receita!$L$2:$L$332)</f>
        <v>0</v>
      </c>
      <c r="U48" s="12">
        <f t="shared" si="0"/>
        <v>0</v>
      </c>
      <c r="V48" s="12"/>
      <c r="W48" s="12"/>
    </row>
    <row r="49" spans="1:23" ht="11.25" customHeight="1" x14ac:dyDescent="0.25">
      <c r="A49" s="115" t="s">
        <v>507</v>
      </c>
      <c r="B49" s="116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2"/>
      <c r="W49" s="12"/>
    </row>
  </sheetData>
  <mergeCells count="55">
    <mergeCell ref="A2:A11"/>
    <mergeCell ref="F2:F4"/>
    <mergeCell ref="E2:E4"/>
    <mergeCell ref="D2:D5"/>
    <mergeCell ref="C2:C5"/>
    <mergeCell ref="B2:B5"/>
    <mergeCell ref="F7:F9"/>
    <mergeCell ref="E7:E9"/>
    <mergeCell ref="F10:F11"/>
    <mergeCell ref="E10:E11"/>
    <mergeCell ref="D7:D11"/>
    <mergeCell ref="C7:C11"/>
    <mergeCell ref="B7:B11"/>
    <mergeCell ref="D12:D13"/>
    <mergeCell ref="C12:C13"/>
    <mergeCell ref="B12:B13"/>
    <mergeCell ref="A12:A13"/>
    <mergeCell ref="F14:F16"/>
    <mergeCell ref="E14:E16"/>
    <mergeCell ref="D14:D16"/>
    <mergeCell ref="C14:C16"/>
    <mergeCell ref="B14:B16"/>
    <mergeCell ref="F27:F29"/>
    <mergeCell ref="E27:E29"/>
    <mergeCell ref="D27:D29"/>
    <mergeCell ref="C27:C29"/>
    <mergeCell ref="B27:B29"/>
    <mergeCell ref="C17:C21"/>
    <mergeCell ref="B17:B21"/>
    <mergeCell ref="C22:C26"/>
    <mergeCell ref="B22:B26"/>
    <mergeCell ref="A14:A26"/>
    <mergeCell ref="C31:C33"/>
    <mergeCell ref="B31:B33"/>
    <mergeCell ref="F35:F37"/>
    <mergeCell ref="E35:E37"/>
    <mergeCell ref="D35:D37"/>
    <mergeCell ref="C35:C37"/>
    <mergeCell ref="B35:B37"/>
    <mergeCell ref="A47:A48"/>
    <mergeCell ref="B47:B48"/>
    <mergeCell ref="C47:C48"/>
    <mergeCell ref="A49:U49"/>
    <mergeCell ref="C39:C41"/>
    <mergeCell ref="B39:B41"/>
    <mergeCell ref="A27:A41"/>
    <mergeCell ref="F42:F44"/>
    <mergeCell ref="E42:E44"/>
    <mergeCell ref="D42:D44"/>
    <mergeCell ref="C42:C44"/>
    <mergeCell ref="B42:B44"/>
    <mergeCell ref="A42:A46"/>
    <mergeCell ref="F31:F33"/>
    <mergeCell ref="E31:E33"/>
    <mergeCell ref="D31:D3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8FDF-9600-4600-BE6D-B5FA0E13429B}">
  <dimension ref="A1:AD40"/>
  <sheetViews>
    <sheetView showGridLines="0" workbookViewId="0">
      <selection sqref="A1:W40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6.140625" style="9" bestFit="1" customWidth="1"/>
    <col min="10" max="11" width="5.7109375" style="9" bestFit="1" customWidth="1"/>
    <col min="12" max="12" width="6.140625" style="9" bestFit="1" customWidth="1"/>
    <col min="13" max="14" width="5.85546875" style="9" bestFit="1" customWidth="1"/>
    <col min="15" max="16" width="6.140625" style="9" bestFit="1" customWidth="1"/>
    <col min="17" max="18" width="5.7109375" style="9" bestFit="1" customWidth="1"/>
    <col min="19" max="19" width="6.42578125" style="9" bestFit="1" customWidth="1"/>
    <col min="20" max="20" width="5.85546875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59</v>
      </c>
      <c r="B1" s="10" t="s">
        <v>60</v>
      </c>
      <c r="C1" s="10" t="s">
        <v>61</v>
      </c>
      <c r="D1" s="10" t="s">
        <v>62</v>
      </c>
      <c r="E1" s="10" t="s">
        <v>63</v>
      </c>
      <c r="F1" s="10" t="s">
        <v>64</v>
      </c>
      <c r="G1" s="10" t="s">
        <v>65</v>
      </c>
      <c r="H1" s="10" t="s">
        <v>66</v>
      </c>
      <c r="I1" s="11">
        <v>44317</v>
      </c>
      <c r="J1" s="11">
        <v>44348</v>
      </c>
      <c r="K1" s="11">
        <v>44378</v>
      </c>
      <c r="L1" s="11">
        <v>44409</v>
      </c>
      <c r="M1" s="11">
        <v>44440</v>
      </c>
      <c r="N1" s="11">
        <v>44470</v>
      </c>
      <c r="O1" s="11">
        <v>44501</v>
      </c>
      <c r="P1" s="11">
        <v>44531</v>
      </c>
      <c r="Q1" s="11">
        <v>44562</v>
      </c>
      <c r="R1" s="11">
        <v>44593</v>
      </c>
      <c r="S1" s="11">
        <v>44621</v>
      </c>
      <c r="T1" s="11">
        <v>44652</v>
      </c>
      <c r="U1" s="10" t="s">
        <v>67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113" t="s">
        <v>34</v>
      </c>
      <c r="B2" s="113" t="s">
        <v>68</v>
      </c>
      <c r="C2" s="113" t="s">
        <v>25</v>
      </c>
      <c r="D2" s="113" t="s">
        <v>25</v>
      </c>
      <c r="E2" s="113" t="s">
        <v>25</v>
      </c>
      <c r="F2" s="113" t="s">
        <v>25</v>
      </c>
      <c r="G2" s="14" t="s">
        <v>70</v>
      </c>
      <c r="H2" s="14" t="s">
        <v>69</v>
      </c>
      <c r="I2" s="14">
        <f>SUMIF(Mercado_Receita!$T$2:$T$332,"44317A4Energia horáriaNão se aplicaNão se aplicaNão se aplicaNão se aplicaPonta",Mercado_Receita!$N$2:$N$332)</f>
        <v>0.17</v>
      </c>
      <c r="J2" s="14">
        <f>SUMIF(Mercado_Receita!$T$2:$T$332,"44348A4Energia horáriaNão se aplicaNão se aplicaNão se aplicaNão se aplicaPonta",Mercado_Receita!$N$2:$N$332)</f>
        <v>0.17599999999999999</v>
      </c>
      <c r="K2" s="14">
        <f>SUMIF(Mercado_Receita!$T$2:$T$332,"44378A4Energia horáriaNão se aplicaNão se aplicaNão se aplicaNão se aplicaPonta",Mercado_Receita!$N$2:$N$332)</f>
        <v>0.23699999999999999</v>
      </c>
      <c r="L2" s="14">
        <f>SUMIF(Mercado_Receita!$T$2:$T$332,"44409A4Energia horáriaNão se aplicaNão se aplicaNão se aplicaNão se aplicaPonta",Mercado_Receita!$N$2:$N$332)</f>
        <v>0.28000000000000003</v>
      </c>
      <c r="M2" s="14">
        <f>SUMIF(Mercado_Receita!$T$2:$T$332,"44440A4Energia horáriaNão se aplicaNão se aplicaNão se aplicaNão se aplicaPonta",Mercado_Receita!$N$2:$N$332)</f>
        <v>0.21299999999999999</v>
      </c>
      <c r="N2" s="14">
        <f>SUMIF(Mercado_Receita!$T$2:$T$332,"44470A4Energia horáriaNão se aplicaNão se aplicaNão se aplicaNão se aplicaPonta",Mercado_Receita!$N$2:$N$332)</f>
        <v>0.14199999999999999</v>
      </c>
      <c r="O2" s="14">
        <f>SUMIF(Mercado_Receita!$T$2:$T$332,"44501A4Energia horáriaNão se aplicaNão se aplicaNão se aplicaNão se aplicaPonta",Mercado_Receita!$N$2:$N$332)</f>
        <v>0.18</v>
      </c>
      <c r="P2" s="14">
        <f>SUMIF(Mercado_Receita!$T$2:$T$332,"44531A4Energia horáriaNão se aplicaNão se aplicaNão se aplicaNão se aplicaPonta",Mercado_Receita!$N$2:$N$332)</f>
        <v>0.222</v>
      </c>
      <c r="Q2" s="14">
        <f>SUMIF(Mercado_Receita!$T$2:$T$332,"44562A4Energia horáriaNão se aplicaNão se aplicaNão se aplicaNão se aplicaPonta",Mercado_Receita!$N$2:$N$332)</f>
        <v>0.16</v>
      </c>
      <c r="R2" s="14">
        <f>SUMIF(Mercado_Receita!$T$2:$T$332,"44593A4Energia horáriaNão se aplicaNão se aplicaNão se aplicaNão se aplicaPonta",Mercado_Receita!$N$2:$N$332)</f>
        <v>0.14399999999999999</v>
      </c>
      <c r="S2" s="14">
        <f>SUMIF(Mercado_Receita!$T$2:$T$332,"44621A4Energia horáriaNão se aplicaNão se aplicaNão se aplicaNão se aplicaPonta",Mercado_Receita!$N$2:$N$332)</f>
        <v>0.21</v>
      </c>
      <c r="T2" s="14">
        <f>SUMIF(Mercado_Receita!$T$2:$T$332,"44652A4Energia horáriaNão se aplicaNão se aplicaNão se aplicaNão se aplicaPonta",Mercado_Receita!$N$2:$N$332)</f>
        <v>0.158</v>
      </c>
      <c r="U2" s="14">
        <f t="shared" ref="U2:U39" si="0">SUM(I2:T2)</f>
        <v>2.2919999999999998</v>
      </c>
      <c r="V2" s="14"/>
      <c r="W2" s="14"/>
    </row>
    <row r="3" spans="1:30" ht="11.25" customHeight="1" x14ac:dyDescent="0.25">
      <c r="A3" s="114"/>
      <c r="B3" s="114"/>
      <c r="C3" s="114"/>
      <c r="D3" s="114"/>
      <c r="E3" s="114"/>
      <c r="F3" s="114"/>
      <c r="G3" s="14" t="s">
        <v>71</v>
      </c>
      <c r="H3" s="14" t="s">
        <v>69</v>
      </c>
      <c r="I3" s="14">
        <f>SUMIF(Mercado_Receita!$T$2:$T$332,"44317A4Energia horáriaNão se aplicaNão se aplicaNão se aplicaNão se aplicaFora ponta",Mercado_Receita!$N$2:$N$332)</f>
        <v>20.687999999999999</v>
      </c>
      <c r="J3" s="14">
        <f>SUMIF(Mercado_Receita!$T$2:$T$332,"44348A4Energia horáriaNão se aplicaNão se aplicaNão se aplicaNão se aplicaFora ponta",Mercado_Receita!$N$2:$N$332)</f>
        <v>22.076000000000001</v>
      </c>
      <c r="K3" s="14">
        <f>SUMIF(Mercado_Receita!$T$2:$T$332,"44378A4Energia horáriaNão se aplicaNão se aplicaNão se aplicaNão se aplicaFora ponta",Mercado_Receita!$N$2:$N$332)</f>
        <v>22.064</v>
      </c>
      <c r="L3" s="14">
        <f>SUMIF(Mercado_Receita!$T$2:$T$332,"44409A4Energia horáriaNão se aplicaNão se aplicaNão se aplicaNão se aplicaFora ponta",Mercado_Receita!$N$2:$N$332)</f>
        <v>24.585999999999999</v>
      </c>
      <c r="M3" s="14">
        <f>SUMIF(Mercado_Receita!$T$2:$T$332,"44440A4Energia horáriaNão se aplicaNão se aplicaNão se aplicaNão se aplicaFora ponta",Mercado_Receita!$N$2:$N$332)</f>
        <v>30.41</v>
      </c>
      <c r="N3" s="14">
        <f>SUMIF(Mercado_Receita!$T$2:$T$332,"44470A4Energia horáriaNão se aplicaNão se aplicaNão se aplicaNão se aplicaFora ponta",Mercado_Receita!$N$2:$N$332)</f>
        <v>27.844000000000001</v>
      </c>
      <c r="O3" s="14">
        <f>SUMIF(Mercado_Receita!$T$2:$T$332,"44501A4Energia horáriaNão se aplicaNão se aplicaNão se aplicaNão se aplicaFora ponta",Mercado_Receita!$N$2:$N$332)</f>
        <v>30.475000000000001</v>
      </c>
      <c r="P3" s="14">
        <f>SUMIF(Mercado_Receita!$T$2:$T$332,"44531A4Energia horáriaNão se aplicaNão se aplicaNão se aplicaNão se aplicaFora ponta",Mercado_Receita!$N$2:$N$332)</f>
        <v>31.911000000000001</v>
      </c>
      <c r="Q3" s="14">
        <f>SUMIF(Mercado_Receita!$T$2:$T$332,"44562A4Energia horáriaNão se aplicaNão se aplicaNão se aplicaNão se aplicaFora ponta",Mercado_Receita!$N$2:$N$332)</f>
        <v>23.591000000000001</v>
      </c>
      <c r="R3" s="14">
        <f>SUMIF(Mercado_Receita!$T$2:$T$332,"44593A4Energia horáriaNão se aplicaNão se aplicaNão se aplicaNão se aplicaFora ponta",Mercado_Receita!$N$2:$N$332)</f>
        <v>23.384</v>
      </c>
      <c r="S3" s="14">
        <f>SUMIF(Mercado_Receita!$T$2:$T$332,"44621A4Energia horáriaNão se aplicaNão se aplicaNão se aplicaNão se aplicaFora ponta",Mercado_Receita!$N$2:$N$332)</f>
        <v>27.555</v>
      </c>
      <c r="T3" s="14">
        <f>SUMIF(Mercado_Receita!$T$2:$T$332,"44652A4Energia horáriaNão se aplicaNão se aplicaNão se aplicaNão se aplicaFora ponta",Mercado_Receita!$N$2:$N$332)</f>
        <v>25.942</v>
      </c>
      <c r="U3" s="14">
        <f t="shared" si="0"/>
        <v>310.52600000000001</v>
      </c>
      <c r="V3" s="14"/>
      <c r="W3" s="14"/>
    </row>
    <row r="4" spans="1:30" ht="11.25" customHeight="1" x14ac:dyDescent="0.25">
      <c r="A4" s="114"/>
      <c r="B4" s="13" t="s">
        <v>72</v>
      </c>
      <c r="C4" s="13" t="s">
        <v>25</v>
      </c>
      <c r="D4" s="13" t="s">
        <v>25</v>
      </c>
      <c r="E4" s="13" t="s">
        <v>25</v>
      </c>
      <c r="F4" s="13" t="s">
        <v>25</v>
      </c>
      <c r="G4" s="14" t="s">
        <v>73</v>
      </c>
      <c r="H4" s="14" t="s">
        <v>69</v>
      </c>
      <c r="I4" s="14">
        <f>SUMIF(Mercado_Receita!$T$2:$T$332,"44317A4Energia convencionalNão se aplicaNão se aplicaNão se aplicaNão se aplicaNão se aplica",Mercado_Receita!$N$2:$N$332)</f>
        <v>0</v>
      </c>
      <c r="J4" s="14">
        <f>SUMIF(Mercado_Receita!$T$2:$T$332,"44348A4Energia convencionalNão se aplicaNão se aplicaNão se aplicaNão se aplicaNão se aplica",Mercado_Receita!$N$2:$N$332)</f>
        <v>0</v>
      </c>
      <c r="K4" s="14">
        <f>SUMIF(Mercado_Receita!$T$2:$T$332,"44378A4Energia convencionalNão se aplicaNão se aplicaNão se aplicaNão se aplicaNão se aplica",Mercado_Receita!$N$2:$N$332)</f>
        <v>0</v>
      </c>
      <c r="L4" s="14">
        <f>SUMIF(Mercado_Receita!$T$2:$T$332,"44409A4Energia convencionalNão se aplicaNão se aplicaNão se aplicaNão se aplicaNão se aplica",Mercado_Receita!$N$2:$N$332)</f>
        <v>0</v>
      </c>
      <c r="M4" s="14">
        <f>SUMIF(Mercado_Receita!$T$2:$T$332,"44440A4Energia convencionalNão se aplicaNão se aplicaNão se aplicaNão se aplicaNão se aplica",Mercado_Receita!$N$2:$N$332)</f>
        <v>0</v>
      </c>
      <c r="N4" s="14">
        <f>SUMIF(Mercado_Receita!$T$2:$T$332,"44470A4Energia convencionalNão se aplicaNão se aplicaNão se aplicaNão se aplicaNão se aplica",Mercado_Receita!$N$2:$N$332)</f>
        <v>0</v>
      </c>
      <c r="O4" s="14">
        <f>SUMIF(Mercado_Receita!$T$2:$T$332,"44501A4Energia convencionalNão se aplicaNão se aplicaNão se aplicaNão se aplicaNão se aplica",Mercado_Receita!$N$2:$N$332)</f>
        <v>0</v>
      </c>
      <c r="P4" s="14">
        <f>SUMIF(Mercado_Receita!$T$2:$T$332,"44531A4Energia convencionalNão se aplicaNão se aplicaNão se aplicaNão se aplicaNão se aplica",Mercado_Receita!$N$2:$N$332)</f>
        <v>0</v>
      </c>
      <c r="Q4" s="14">
        <f>SUMIF(Mercado_Receita!$T$2:$T$332,"44562A4Energia convencionalNão se aplicaNão se aplicaNão se aplicaNão se aplicaNão se aplica",Mercado_Receita!$N$2:$N$332)</f>
        <v>0</v>
      </c>
      <c r="R4" s="14">
        <f>SUMIF(Mercado_Receita!$T$2:$T$332,"44593A4Energia convencionalNão se aplicaNão se aplicaNão se aplicaNão se aplicaNão se aplica",Mercado_Receita!$N$2:$N$332)</f>
        <v>0</v>
      </c>
      <c r="S4" s="14">
        <f>SUMIF(Mercado_Receita!$T$2:$T$332,"44621A4Energia convencionalNão se aplicaNão se aplicaNão se aplicaNão se aplicaNão se aplica",Mercado_Receita!$N$2:$N$332)</f>
        <v>0</v>
      </c>
      <c r="T4" s="14">
        <f>SUMIF(Mercado_Receita!$T$2:$T$332,"44652A4Energia convencionalNão se aplicaNão se aplicaNão se aplicaNão se aplicaNão se aplica",Mercado_Receita!$N$2:$N$332)</f>
        <v>0</v>
      </c>
      <c r="U4" s="14">
        <f t="shared" si="0"/>
        <v>0</v>
      </c>
      <c r="V4" s="14"/>
      <c r="W4" s="14"/>
    </row>
    <row r="5" spans="1:30" ht="11.25" customHeight="1" x14ac:dyDescent="0.25">
      <c r="A5" s="113" t="s">
        <v>22</v>
      </c>
      <c r="B5" s="113" t="s">
        <v>68</v>
      </c>
      <c r="C5" s="113" t="s">
        <v>24</v>
      </c>
      <c r="D5" s="113" t="s">
        <v>24</v>
      </c>
      <c r="E5" s="113" t="s">
        <v>25</v>
      </c>
      <c r="F5" s="113" t="s">
        <v>25</v>
      </c>
      <c r="G5" s="14" t="s">
        <v>70</v>
      </c>
      <c r="H5" s="14" t="s">
        <v>69</v>
      </c>
      <c r="I5" s="14">
        <f>SUMIF(Mercado_Receita!$T$2:$T$332,"44317B1Energia horáriaResidencialResidencialNão se aplicaNão se aplicaPonta",Mercado_Receita!$N$2:$N$332)</f>
        <v>0</v>
      </c>
      <c r="J5" s="14">
        <f>SUMIF(Mercado_Receita!$T$2:$T$332,"44348B1Energia horáriaResidencialResidencialNão se aplicaNão se aplicaPonta",Mercado_Receita!$N$2:$N$332)</f>
        <v>0</v>
      </c>
      <c r="K5" s="14">
        <f>SUMIF(Mercado_Receita!$T$2:$T$332,"44378B1Energia horáriaResidencialResidencialNão se aplicaNão se aplicaPonta",Mercado_Receita!$N$2:$N$332)</f>
        <v>0</v>
      </c>
      <c r="L5" s="14">
        <f>SUMIF(Mercado_Receita!$T$2:$T$332,"44409B1Energia horáriaResidencialResidencialNão se aplicaNão se aplicaPonta",Mercado_Receita!$N$2:$N$332)</f>
        <v>0</v>
      </c>
      <c r="M5" s="14">
        <f>SUMIF(Mercado_Receita!$T$2:$T$332,"44440B1Energia horáriaResidencialResidencialNão se aplicaNão se aplicaPonta",Mercado_Receita!$N$2:$N$332)</f>
        <v>0</v>
      </c>
      <c r="N5" s="14">
        <f>SUMIF(Mercado_Receita!$T$2:$T$332,"44470B1Energia horáriaResidencialResidencialNão se aplicaNão se aplicaPonta",Mercado_Receita!$N$2:$N$332)</f>
        <v>0</v>
      </c>
      <c r="O5" s="14">
        <f>SUMIF(Mercado_Receita!$T$2:$T$332,"44501B1Energia horáriaResidencialResidencialNão se aplicaNão se aplicaPonta",Mercado_Receita!$N$2:$N$332)</f>
        <v>0</v>
      </c>
      <c r="P5" s="14">
        <f>SUMIF(Mercado_Receita!$T$2:$T$332,"44531B1Energia horáriaResidencialResidencialNão se aplicaNão se aplicaPonta",Mercado_Receita!$N$2:$N$332)</f>
        <v>0</v>
      </c>
      <c r="Q5" s="14">
        <f>SUMIF(Mercado_Receita!$T$2:$T$332,"44562B1Energia horáriaResidencialResidencialNão se aplicaNão se aplicaPonta",Mercado_Receita!$N$2:$N$332)</f>
        <v>0</v>
      </c>
      <c r="R5" s="14">
        <f>SUMIF(Mercado_Receita!$T$2:$T$332,"44593B1Energia horáriaResidencialResidencialNão se aplicaNão se aplicaPonta",Mercado_Receita!$N$2:$N$332)</f>
        <v>0</v>
      </c>
      <c r="S5" s="14">
        <f>SUMIF(Mercado_Receita!$T$2:$T$332,"44621B1Energia horáriaResidencialResidencialNão se aplicaNão se aplicaPonta",Mercado_Receita!$N$2:$N$332)</f>
        <v>0</v>
      </c>
      <c r="T5" s="14">
        <f>SUMIF(Mercado_Receita!$T$2:$T$332,"44652B1Energia horáriaResidencialResidencialNão se aplicaNão se aplicaPonta",Mercado_Receita!$N$2:$N$332)</f>
        <v>0</v>
      </c>
      <c r="U5" s="14">
        <f t="shared" si="0"/>
        <v>0</v>
      </c>
      <c r="V5" s="14"/>
      <c r="W5" s="14"/>
    </row>
    <row r="6" spans="1:30" ht="11.25" customHeight="1" x14ac:dyDescent="0.25">
      <c r="A6" s="114"/>
      <c r="B6" s="114"/>
      <c r="C6" s="114"/>
      <c r="D6" s="114"/>
      <c r="E6" s="114"/>
      <c r="F6" s="114"/>
      <c r="G6" s="14" t="s">
        <v>83</v>
      </c>
      <c r="H6" s="14" t="s">
        <v>69</v>
      </c>
      <c r="I6" s="14">
        <f>SUMIF(Mercado_Receita!$T$2:$T$332,"44317B1Energia horáriaResidencialResidencialNão se aplicaNão se aplicaIntermediário",Mercado_Receita!$N$2:$N$332)</f>
        <v>0</v>
      </c>
      <c r="J6" s="14">
        <f>SUMIF(Mercado_Receita!$T$2:$T$332,"44348B1Energia horáriaResidencialResidencialNão se aplicaNão se aplicaIntermediário",Mercado_Receita!$N$2:$N$332)</f>
        <v>0</v>
      </c>
      <c r="K6" s="14">
        <f>SUMIF(Mercado_Receita!$T$2:$T$332,"44378B1Energia horáriaResidencialResidencialNão se aplicaNão se aplicaIntermediário",Mercado_Receita!$N$2:$N$332)</f>
        <v>0</v>
      </c>
      <c r="L6" s="14">
        <f>SUMIF(Mercado_Receita!$T$2:$T$332,"44409B1Energia horáriaResidencialResidencialNão se aplicaNão se aplicaIntermediário",Mercado_Receita!$N$2:$N$332)</f>
        <v>0</v>
      </c>
      <c r="M6" s="14">
        <f>SUMIF(Mercado_Receita!$T$2:$T$332,"44440B1Energia horáriaResidencialResidencialNão se aplicaNão se aplicaIntermediário",Mercado_Receita!$N$2:$N$332)</f>
        <v>0</v>
      </c>
      <c r="N6" s="14">
        <f>SUMIF(Mercado_Receita!$T$2:$T$332,"44470B1Energia horáriaResidencialResidencialNão se aplicaNão se aplicaIntermediário",Mercado_Receita!$N$2:$N$332)</f>
        <v>0</v>
      </c>
      <c r="O6" s="14">
        <f>SUMIF(Mercado_Receita!$T$2:$T$332,"44501B1Energia horáriaResidencialResidencialNão se aplicaNão se aplicaIntermediário",Mercado_Receita!$N$2:$N$332)</f>
        <v>0</v>
      </c>
      <c r="P6" s="14">
        <f>SUMIF(Mercado_Receita!$T$2:$T$332,"44531B1Energia horáriaResidencialResidencialNão se aplicaNão se aplicaIntermediário",Mercado_Receita!$N$2:$N$332)</f>
        <v>1E-3</v>
      </c>
      <c r="Q6" s="14">
        <f>SUMIF(Mercado_Receita!$T$2:$T$332,"44562B1Energia horáriaResidencialResidencialNão se aplicaNão se aplicaIntermediário",Mercado_Receita!$N$2:$N$332)</f>
        <v>0</v>
      </c>
      <c r="R6" s="14">
        <f>SUMIF(Mercado_Receita!$T$2:$T$332,"44593B1Energia horáriaResidencialResidencialNão se aplicaNão se aplicaIntermediário",Mercado_Receita!$N$2:$N$332)</f>
        <v>2E-3</v>
      </c>
      <c r="S6" s="14">
        <f>SUMIF(Mercado_Receita!$T$2:$T$332,"44621B1Energia horáriaResidencialResidencialNão se aplicaNão se aplicaIntermediário",Mercado_Receita!$N$2:$N$332)</f>
        <v>2E-3</v>
      </c>
      <c r="T6" s="14">
        <f>SUMIF(Mercado_Receita!$T$2:$T$332,"44652B1Energia horáriaResidencialResidencialNão se aplicaNão se aplicaIntermediário",Mercado_Receita!$N$2:$N$332)</f>
        <v>0</v>
      </c>
      <c r="U6" s="14">
        <f t="shared" si="0"/>
        <v>5.0000000000000001E-3</v>
      </c>
      <c r="V6" s="14"/>
      <c r="W6" s="14"/>
    </row>
    <row r="7" spans="1:30" ht="11.25" customHeight="1" x14ac:dyDescent="0.25">
      <c r="A7" s="114"/>
      <c r="B7" s="114"/>
      <c r="C7" s="114"/>
      <c r="D7" s="114"/>
      <c r="E7" s="114"/>
      <c r="F7" s="114"/>
      <c r="G7" s="14" t="s">
        <v>71</v>
      </c>
      <c r="H7" s="14" t="s">
        <v>69</v>
      </c>
      <c r="I7" s="14">
        <f>SUMIF(Mercado_Receita!$T$2:$T$332,"44317B1Energia horáriaResidencialResidencialNão se aplicaNão se aplicaFora ponta",Mercado_Receita!$N$2:$N$332)</f>
        <v>0</v>
      </c>
      <c r="J7" s="14">
        <f>SUMIF(Mercado_Receita!$T$2:$T$332,"44348B1Energia horáriaResidencialResidencialNão se aplicaNão se aplicaFora ponta",Mercado_Receita!$N$2:$N$332)</f>
        <v>0</v>
      </c>
      <c r="K7" s="14">
        <f>SUMIF(Mercado_Receita!$T$2:$T$332,"44378B1Energia horáriaResidencialResidencialNão se aplicaNão se aplicaFora ponta",Mercado_Receita!$N$2:$N$332)</f>
        <v>0</v>
      </c>
      <c r="L7" s="14">
        <f>SUMIF(Mercado_Receita!$T$2:$T$332,"44409B1Energia horáriaResidencialResidencialNão se aplicaNão se aplicaFora ponta",Mercado_Receita!$N$2:$N$332)</f>
        <v>0</v>
      </c>
      <c r="M7" s="14">
        <f>SUMIF(Mercado_Receita!$T$2:$T$332,"44440B1Energia horáriaResidencialResidencialNão se aplicaNão se aplicaFora ponta",Mercado_Receita!$N$2:$N$332)</f>
        <v>0</v>
      </c>
      <c r="N7" s="14">
        <f>SUMIF(Mercado_Receita!$T$2:$T$332,"44470B1Energia horáriaResidencialResidencialNão se aplicaNão se aplicaFora ponta",Mercado_Receita!$N$2:$N$332)</f>
        <v>0</v>
      </c>
      <c r="O7" s="14">
        <f>SUMIF(Mercado_Receita!$T$2:$T$332,"44501B1Energia horáriaResidencialResidencialNão se aplicaNão se aplicaFora ponta",Mercado_Receita!$N$2:$N$332)</f>
        <v>0</v>
      </c>
      <c r="P7" s="14">
        <f>SUMIF(Mercado_Receita!$T$2:$T$332,"44531B1Energia horáriaResidencialResidencialNão se aplicaNão se aplicaFora ponta",Mercado_Receita!$N$2:$N$332)</f>
        <v>0.25600000000000001</v>
      </c>
      <c r="Q7" s="14">
        <f>SUMIF(Mercado_Receita!$T$2:$T$332,"44562B1Energia horáriaResidencialResidencialNão se aplicaNão se aplicaFora ponta",Mercado_Receita!$N$2:$N$332)</f>
        <v>0.186</v>
      </c>
      <c r="R7" s="14">
        <f>SUMIF(Mercado_Receita!$T$2:$T$332,"44593B1Energia horáriaResidencialResidencialNão se aplicaNão se aplicaFora ponta",Mercado_Receita!$N$2:$N$332)</f>
        <v>0.20100000000000001</v>
      </c>
      <c r="S7" s="14">
        <f>SUMIF(Mercado_Receita!$T$2:$T$332,"44621B1Energia horáriaResidencialResidencialNão se aplicaNão se aplicaFora ponta",Mercado_Receita!$N$2:$N$332)</f>
        <v>0.191</v>
      </c>
      <c r="T7" s="14">
        <f>SUMIF(Mercado_Receita!$T$2:$T$332,"44652B1Energia horáriaResidencialResidencialNão se aplicaNão se aplicaFora ponta",Mercado_Receita!$N$2:$N$332)</f>
        <v>0.13200000000000001</v>
      </c>
      <c r="U7" s="14">
        <f t="shared" si="0"/>
        <v>0.96600000000000008</v>
      </c>
      <c r="V7" s="14"/>
      <c r="W7" s="14"/>
    </row>
    <row r="8" spans="1:30" ht="11.25" customHeight="1" x14ac:dyDescent="0.25">
      <c r="A8" s="114"/>
      <c r="B8" s="113" t="s">
        <v>72</v>
      </c>
      <c r="C8" s="113" t="s">
        <v>24</v>
      </c>
      <c r="D8" s="13" t="s">
        <v>24</v>
      </c>
      <c r="E8" s="13" t="s">
        <v>25</v>
      </c>
      <c r="F8" s="13" t="s">
        <v>25</v>
      </c>
      <c r="G8" s="14" t="s">
        <v>73</v>
      </c>
      <c r="H8" s="14" t="s">
        <v>69</v>
      </c>
      <c r="I8" s="14">
        <f>SUMIF(Mercado_Receita!$T$2:$T$332,"44317B1Energia convencionalResidencialResidencialNão se aplicaNão se aplicaNão se aplica",Mercado_Receita!$N$2:$N$332)</f>
        <v>212.55599999999998</v>
      </c>
      <c r="J8" s="14">
        <f>SUMIF(Mercado_Receita!$T$2:$T$332,"44348B1Energia convencionalResidencialResidencialNão se aplicaNão se aplicaNão se aplica",Mercado_Receita!$N$2:$N$332)</f>
        <v>200.982</v>
      </c>
      <c r="K8" s="14">
        <f>SUMIF(Mercado_Receita!$T$2:$T$332,"44378B1Energia convencionalResidencialResidencialNão se aplicaNão se aplicaNão se aplica",Mercado_Receita!$N$2:$N$332)</f>
        <v>194.24800000000002</v>
      </c>
      <c r="L8" s="14">
        <f>SUMIF(Mercado_Receita!$T$2:$T$332,"44409B1Energia convencionalResidencialResidencialNão se aplicaNão se aplicaNão se aplica",Mercado_Receita!$N$2:$N$332)</f>
        <v>197.952</v>
      </c>
      <c r="M8" s="14">
        <f>SUMIF(Mercado_Receita!$T$2:$T$332,"44440B1Energia convencionalResidencialResidencialNão se aplicaNão se aplicaNão se aplica",Mercado_Receita!$N$2:$N$332)</f>
        <v>202.071</v>
      </c>
      <c r="N8" s="14">
        <f>SUMIF(Mercado_Receita!$T$2:$T$332,"44470B1Energia convencionalResidencialResidencialNão se aplicaNão se aplicaNão se aplica",Mercado_Receita!$N$2:$N$332)</f>
        <v>201.32000000000002</v>
      </c>
      <c r="O8" s="14">
        <f>SUMIF(Mercado_Receita!$T$2:$T$332,"44501B1Energia convencionalResidencialResidencialNão se aplicaNão se aplicaNão se aplica",Mercado_Receita!$N$2:$N$332)</f>
        <v>235.80500000000001</v>
      </c>
      <c r="P8" s="14">
        <f>SUMIF(Mercado_Receita!$T$2:$T$332,"44531B1Energia convencionalResidencialResidencialNão se aplicaNão se aplicaNão se aplica",Mercado_Receita!$N$2:$N$332)</f>
        <v>222.726</v>
      </c>
      <c r="Q8" s="14">
        <f>SUMIF(Mercado_Receita!$T$2:$T$332,"44562B1Energia convencionalResidencialResidencialNão se aplicaNão se aplicaNão se aplica",Mercado_Receita!$N$2:$N$332)</f>
        <v>221.636</v>
      </c>
      <c r="R8" s="14">
        <f>SUMIF(Mercado_Receita!$T$2:$T$332,"44593B1Energia convencionalResidencialResidencialNão se aplicaNão se aplicaNão se aplica",Mercado_Receita!$N$2:$N$332)</f>
        <v>206.01499999999999</v>
      </c>
      <c r="S8" s="14">
        <f>SUMIF(Mercado_Receita!$T$2:$T$332,"44621B1Energia convencionalResidencialResidencialNão se aplicaNão se aplicaNão se aplica",Mercado_Receita!$N$2:$N$332)</f>
        <v>217.31900000000002</v>
      </c>
      <c r="T8" s="14">
        <f>SUMIF(Mercado_Receita!$T$2:$T$332,"44652B1Energia convencionalResidencialResidencialNão se aplicaNão se aplicaNão se aplica",Mercado_Receita!$N$2:$N$332)</f>
        <v>208.04100000000003</v>
      </c>
      <c r="U8" s="14">
        <f t="shared" si="0"/>
        <v>2520.6710000000003</v>
      </c>
      <c r="V8" s="14"/>
      <c r="W8" s="14"/>
    </row>
    <row r="9" spans="1:30" ht="11.25" customHeight="1" x14ac:dyDescent="0.25">
      <c r="A9" s="114"/>
      <c r="B9" s="114"/>
      <c r="C9" s="114"/>
      <c r="D9" s="13" t="s">
        <v>28</v>
      </c>
      <c r="E9" s="13" t="s">
        <v>25</v>
      </c>
      <c r="F9" s="13" t="s">
        <v>25</v>
      </c>
      <c r="G9" s="14" t="s">
        <v>73</v>
      </c>
      <c r="H9" s="14" t="s">
        <v>69</v>
      </c>
      <c r="I9" s="14">
        <f>SUMIF(Mercado_Receita!$T$2:$T$332,"44317B1Energia convencionalResidencialResidencial baixa renda – faixa 01Não se aplicaNão se aplicaNão se aplica",Mercado_Receita!$N$2:$N$332)</f>
        <v>59.46</v>
      </c>
      <c r="J9" s="14">
        <f>SUMIF(Mercado_Receita!$T$2:$T$332,"44348B1Energia convencionalResidencialResidencial baixa renda – faixa 01Não se aplicaNão se aplicaNão se aplica",Mercado_Receita!$N$2:$N$332)</f>
        <v>59.97</v>
      </c>
      <c r="K9" s="14">
        <f>SUMIF(Mercado_Receita!$T$2:$T$332,"44378B1Energia convencionalResidencialResidencial baixa renda – faixa 01Não se aplicaNão se aplicaNão se aplica",Mercado_Receita!$N$2:$N$332)</f>
        <v>60.3</v>
      </c>
      <c r="L9" s="14">
        <f>SUMIF(Mercado_Receita!$T$2:$T$332,"44409B1Energia convencionalResidencialResidencial baixa renda – faixa 01Não se aplicaNão se aplicaNão se aplica",Mercado_Receita!$N$2:$N$332)</f>
        <v>60.9</v>
      </c>
      <c r="M9" s="14">
        <f>SUMIF(Mercado_Receita!$T$2:$T$332,"44440B1Energia convencionalResidencialResidencial baixa renda – faixa 01Não se aplicaNão se aplicaNão se aplica",Mercado_Receita!$N$2:$N$332)</f>
        <v>61.23</v>
      </c>
      <c r="N9" s="14">
        <f>SUMIF(Mercado_Receita!$T$2:$T$332,"44470B1Energia convencionalResidencialResidencial baixa renda – faixa 01Não se aplicaNão se aplicaNão se aplica",Mercado_Receita!$N$2:$N$332)</f>
        <v>61.98</v>
      </c>
      <c r="O9" s="14">
        <f>SUMIF(Mercado_Receita!$T$2:$T$332,"44501B1Energia convencionalResidencialResidencial baixa renda – faixa 01Não se aplicaNão se aplicaNão se aplica",Mercado_Receita!$N$2:$N$332)</f>
        <v>62.91</v>
      </c>
      <c r="P9" s="14">
        <f>SUMIF(Mercado_Receita!$T$2:$T$332,"44531B1Energia convencionalResidencialResidencial baixa renda – faixa 01Não se aplicaNão se aplicaNão se aplica",Mercado_Receita!$N$2:$N$332)</f>
        <v>64.77</v>
      </c>
      <c r="Q9" s="14">
        <f>SUMIF(Mercado_Receita!$T$2:$T$332,"44562B1Energia convencionalResidencialResidencial baixa renda – faixa 01Não se aplicaNão se aplicaNão se aplica",Mercado_Receita!$N$2:$N$332)</f>
        <v>64.92</v>
      </c>
      <c r="R9" s="14">
        <f>SUMIF(Mercado_Receita!$T$2:$T$332,"44593B1Energia convencionalResidencialResidencial baixa renda – faixa 01Não se aplicaNão se aplicaNão se aplica",Mercado_Receita!$N$2:$N$332)</f>
        <v>73.319999999999993</v>
      </c>
      <c r="S9" s="14">
        <f>SUMIF(Mercado_Receita!$T$2:$T$332,"44621B1Energia convencionalResidencialResidencial baixa renda – faixa 01Não se aplicaNão se aplicaNão se aplica",Mercado_Receita!$N$2:$N$332)</f>
        <v>75.36</v>
      </c>
      <c r="T9" s="14">
        <f>SUMIF(Mercado_Receita!$T$2:$T$332,"44652B1Energia convencionalResidencialResidencial baixa renda – faixa 01Não se aplicaNão se aplicaNão se aplica",Mercado_Receita!$N$2:$N$332)</f>
        <v>77.040000000000006</v>
      </c>
      <c r="U9" s="14">
        <f t="shared" si="0"/>
        <v>782.16</v>
      </c>
      <c r="V9" s="14"/>
      <c r="W9" s="14"/>
    </row>
    <row r="10" spans="1:30" ht="11.25" customHeight="1" x14ac:dyDescent="0.25">
      <c r="A10" s="114"/>
      <c r="B10" s="114"/>
      <c r="C10" s="114"/>
      <c r="D10" s="13" t="s">
        <v>29</v>
      </c>
      <c r="E10" s="13" t="s">
        <v>25</v>
      </c>
      <c r="F10" s="13" t="s">
        <v>25</v>
      </c>
      <c r="G10" s="14" t="s">
        <v>73</v>
      </c>
      <c r="H10" s="14" t="s">
        <v>69</v>
      </c>
      <c r="I10" s="14">
        <f>SUMIF(Mercado_Receita!$T$2:$T$332,"44317B1Energia convencionalResidencialResidencial baixa renda – faixa 02Não se aplicaNão se aplicaNão se aplica",Mercado_Receita!$N$2:$N$332)</f>
        <v>94.608000000000004</v>
      </c>
      <c r="J10" s="14">
        <f>SUMIF(Mercado_Receita!$T$2:$T$332,"44348B1Energia convencionalResidencialResidencial baixa renda – faixa 02Não se aplicaNão se aplicaNão se aplica",Mercado_Receita!$N$2:$N$332)</f>
        <v>89.388000000000005</v>
      </c>
      <c r="K10" s="14">
        <f>SUMIF(Mercado_Receita!$T$2:$T$332,"44378B1Energia convencionalResidencialResidencial baixa renda – faixa 02Não se aplicaNão se aplicaNão se aplica",Mercado_Receita!$N$2:$N$332)</f>
        <v>87.186000000000007</v>
      </c>
      <c r="L10" s="14">
        <f>SUMIF(Mercado_Receita!$T$2:$T$332,"44409B1Energia convencionalResidencialResidencial baixa renda – faixa 02Não se aplicaNão se aplicaNão se aplica",Mercado_Receita!$N$2:$N$332)</f>
        <v>88.462999999999994</v>
      </c>
      <c r="M10" s="14">
        <f>SUMIF(Mercado_Receita!$T$2:$T$332,"44440B1Energia convencionalResidencialResidencial baixa renda – faixa 02Não se aplicaNão se aplicaNão se aplica",Mercado_Receita!$N$2:$N$332)</f>
        <v>91.117999999999995</v>
      </c>
      <c r="N10" s="14">
        <f>SUMIF(Mercado_Receita!$T$2:$T$332,"44470B1Energia convencionalResidencialResidencial baixa renda – faixa 02Não se aplicaNão se aplicaNão se aplica",Mercado_Receita!$N$2:$N$332)</f>
        <v>92.147999999999996</v>
      </c>
      <c r="O10" s="14">
        <f>SUMIF(Mercado_Receita!$T$2:$T$332,"44501B1Energia convencionalResidencialResidencial baixa renda – faixa 02Não se aplicaNão se aplicaNão se aplica",Mercado_Receita!$N$2:$N$332)</f>
        <v>108.404</v>
      </c>
      <c r="P10" s="14">
        <f>SUMIF(Mercado_Receita!$T$2:$T$332,"44531B1Energia convencionalResidencialResidencial baixa renda – faixa 02Não se aplicaNão se aplicaNão se aplica",Mercado_Receita!$N$2:$N$332)</f>
        <v>105.19199999999999</v>
      </c>
      <c r="Q10" s="14">
        <f>SUMIF(Mercado_Receita!$T$2:$T$332,"44562B1Energia convencionalResidencialResidencial baixa renda – faixa 02Não se aplicaNão se aplicaNão se aplica",Mercado_Receita!$N$2:$N$332)</f>
        <v>102.47799999999999</v>
      </c>
      <c r="R10" s="14">
        <f>SUMIF(Mercado_Receita!$T$2:$T$332,"44593B1Energia convencionalResidencialResidencial baixa renda – faixa 02Não se aplicaNão se aplicaNão se aplica",Mercado_Receita!$N$2:$N$332)</f>
        <v>109.57299999999999</v>
      </c>
      <c r="S10" s="14">
        <f>SUMIF(Mercado_Receita!$T$2:$T$332,"44621B1Energia convencionalResidencialResidencial baixa renda – faixa 02Não se aplicaNão se aplicaNão se aplica",Mercado_Receita!$N$2:$N$332)</f>
        <v>122.306</v>
      </c>
      <c r="T10" s="14">
        <f>SUMIF(Mercado_Receita!$T$2:$T$332,"44652B1Energia convencionalResidencialResidencial baixa renda – faixa 02Não se aplicaNão se aplicaNão se aplica",Mercado_Receita!$N$2:$N$332)</f>
        <v>123.492</v>
      </c>
      <c r="U10" s="14">
        <f t="shared" si="0"/>
        <v>1214.3559999999998</v>
      </c>
      <c r="V10" s="14"/>
      <c r="W10" s="14"/>
    </row>
    <row r="11" spans="1:30" ht="11.25" customHeight="1" x14ac:dyDescent="0.25">
      <c r="A11" s="114"/>
      <c r="B11" s="114"/>
      <c r="C11" s="114"/>
      <c r="D11" s="13" t="s">
        <v>30</v>
      </c>
      <c r="E11" s="13" t="s">
        <v>25</v>
      </c>
      <c r="F11" s="13" t="s">
        <v>25</v>
      </c>
      <c r="G11" s="14" t="s">
        <v>73</v>
      </c>
      <c r="H11" s="14" t="s">
        <v>69</v>
      </c>
      <c r="I11" s="14">
        <f>SUMIF(Mercado_Receita!$T$2:$T$332,"44317B1Energia convencionalResidencialResidencial baixa renda – faixa 03Não se aplicaNão se aplicaNão se aplica",Mercado_Receita!$N$2:$N$332)</f>
        <v>31.216000000000001</v>
      </c>
      <c r="J11" s="14">
        <f>SUMIF(Mercado_Receita!$T$2:$T$332,"44348B1Energia convencionalResidencialResidencial baixa renda – faixa 03Não se aplicaNão se aplicaNão se aplica",Mercado_Receita!$N$2:$N$332)</f>
        <v>25.992000000000001</v>
      </c>
      <c r="K11" s="14">
        <f>SUMIF(Mercado_Receita!$T$2:$T$332,"44378B1Energia convencionalResidencialResidencial baixa renda – faixa 03Não se aplicaNão se aplicaNão se aplica",Mercado_Receita!$N$2:$N$332)</f>
        <v>23.824999999999999</v>
      </c>
      <c r="L11" s="14">
        <f>SUMIF(Mercado_Receita!$T$2:$T$332,"44409B1Energia convencionalResidencialResidencial baixa renda – faixa 03Não se aplicaNão se aplicaNão se aplica",Mercado_Receita!$N$2:$N$332)</f>
        <v>23.878</v>
      </c>
      <c r="M11" s="14">
        <f>SUMIF(Mercado_Receita!$T$2:$T$332,"44440B1Energia convencionalResidencialResidencial baixa renda – faixa 03Não se aplicaNão se aplicaNão se aplica",Mercado_Receita!$N$2:$N$332)</f>
        <v>25.832999999999998</v>
      </c>
      <c r="N11" s="14">
        <f>SUMIF(Mercado_Receita!$T$2:$T$332,"44470B1Energia convencionalResidencialResidencial baixa renda – faixa 03Não se aplicaNão se aplicaNão se aplica",Mercado_Receita!$N$2:$N$332)</f>
        <v>26.504999999999999</v>
      </c>
      <c r="O11" s="14">
        <f>SUMIF(Mercado_Receita!$T$2:$T$332,"44501B1Energia convencionalResidencialResidencial baixa renda – faixa 03Não se aplicaNão se aplicaNão se aplica",Mercado_Receita!$N$2:$N$332)</f>
        <v>45.292999999999999</v>
      </c>
      <c r="P11" s="14">
        <f>SUMIF(Mercado_Receita!$T$2:$T$332,"44531B1Energia convencionalResidencialResidencial baixa renda – faixa 03Não se aplicaNão se aplicaNão se aplica",Mercado_Receita!$N$2:$N$332)</f>
        <v>38.020000000000003</v>
      </c>
      <c r="Q11" s="14">
        <f>SUMIF(Mercado_Receita!$T$2:$T$332,"44562B1Energia convencionalResidencialResidencial baixa renda – faixa 03Não se aplicaNão se aplicaNão se aplica",Mercado_Receita!$N$2:$N$332)</f>
        <v>35.238999999999997</v>
      </c>
      <c r="R11" s="14">
        <f>SUMIF(Mercado_Receita!$T$2:$T$332,"44593B1Energia convencionalResidencialResidencial baixa renda – faixa 03Não se aplicaNão se aplicaNão se aplica",Mercado_Receita!$N$2:$N$332)</f>
        <v>35.987000000000002</v>
      </c>
      <c r="S11" s="14">
        <f>SUMIF(Mercado_Receita!$T$2:$T$332,"44621B1Energia convencionalResidencialResidencial baixa renda – faixa 03Não se aplicaNão se aplicaNão se aplica",Mercado_Receita!$N$2:$N$332)</f>
        <v>46.878</v>
      </c>
      <c r="T11" s="14">
        <f>SUMIF(Mercado_Receita!$T$2:$T$332,"44652B1Energia convencionalResidencialResidencial baixa renda – faixa 03Não se aplicaNão se aplicaNão se aplica",Mercado_Receita!$N$2:$N$332)</f>
        <v>45.223999999999997</v>
      </c>
      <c r="U11" s="14">
        <f t="shared" si="0"/>
        <v>403.89</v>
      </c>
      <c r="V11" s="14"/>
      <c r="W11" s="14"/>
    </row>
    <row r="12" spans="1:30" ht="11.25" customHeight="1" x14ac:dyDescent="0.25">
      <c r="A12" s="114"/>
      <c r="B12" s="114"/>
      <c r="C12" s="114"/>
      <c r="D12" s="13" t="s">
        <v>31</v>
      </c>
      <c r="E12" s="13" t="s">
        <v>25</v>
      </c>
      <c r="F12" s="13" t="s">
        <v>25</v>
      </c>
      <c r="G12" s="14" t="s">
        <v>73</v>
      </c>
      <c r="H12" s="14" t="s">
        <v>69</v>
      </c>
      <c r="I12" s="14">
        <f>SUMIF(Mercado_Receita!$T$2:$T$332,"44317B1Energia convencionalResidencialResidencial baixa renda – faixa 04Não se aplicaNão se aplicaNão se aplica",Mercado_Receita!$N$2:$N$332)</f>
        <v>6.4710000000000001</v>
      </c>
      <c r="J12" s="14">
        <f>SUMIF(Mercado_Receita!$T$2:$T$332,"44348B1Energia convencionalResidencialResidencial baixa renda – faixa 04Não se aplicaNão se aplicaNão se aplica",Mercado_Receita!$N$2:$N$332)</f>
        <v>5.9880000000000004</v>
      </c>
      <c r="K12" s="14">
        <f>SUMIF(Mercado_Receita!$T$2:$T$332,"44378B1Energia convencionalResidencialResidencial baixa renda – faixa 04Não se aplicaNão se aplicaNão se aplica",Mercado_Receita!$N$2:$N$332)</f>
        <v>5.5570000000000004</v>
      </c>
      <c r="L12" s="14">
        <f>SUMIF(Mercado_Receita!$T$2:$T$332,"44409B1Energia convencionalResidencialResidencial baixa renda – faixa 04Não se aplicaNão se aplicaNão se aplica",Mercado_Receita!$N$2:$N$332)</f>
        <v>5.3540000000000001</v>
      </c>
      <c r="M12" s="14">
        <f>SUMIF(Mercado_Receita!$T$2:$T$332,"44440B1Energia convencionalResidencialResidencial baixa renda – faixa 04Não se aplicaNão se aplicaNão se aplica",Mercado_Receita!$N$2:$N$332)</f>
        <v>5.7149999999999999</v>
      </c>
      <c r="N12" s="14">
        <f>SUMIF(Mercado_Receita!$T$2:$T$332,"44470B1Energia convencionalResidencialResidencial baixa renda – faixa 04Não se aplicaNão se aplicaNão se aplica",Mercado_Receita!$N$2:$N$332)</f>
        <v>6.5549999999999997</v>
      </c>
      <c r="O12" s="14">
        <f>SUMIF(Mercado_Receita!$T$2:$T$332,"44501B1Energia convencionalResidencialResidencial baixa renda – faixa 04Não se aplicaNão se aplicaNão se aplica",Mercado_Receita!$N$2:$N$332)</f>
        <v>10.648999999999999</v>
      </c>
      <c r="P12" s="14">
        <f>SUMIF(Mercado_Receita!$T$2:$T$332,"44531B1Energia convencionalResidencialResidencial baixa renda – faixa 04Não se aplicaNão se aplicaNão se aplica",Mercado_Receita!$N$2:$N$332)</f>
        <v>8.0709999999999997</v>
      </c>
      <c r="Q12" s="14">
        <f>SUMIF(Mercado_Receita!$T$2:$T$332,"44562B1Energia convencionalResidencialResidencial baixa renda – faixa 04Não se aplicaNão se aplicaNão se aplica",Mercado_Receita!$N$2:$N$332)</f>
        <v>8.3030000000000008</v>
      </c>
      <c r="R12" s="14">
        <f>SUMIF(Mercado_Receita!$T$2:$T$332,"44593B1Energia convencionalResidencialResidencial baixa renda – faixa 04Não se aplicaNão se aplicaNão se aplica",Mercado_Receita!$N$2:$N$332)</f>
        <v>10.814</v>
      </c>
      <c r="S12" s="14">
        <f>SUMIF(Mercado_Receita!$T$2:$T$332,"44621B1Energia convencionalResidencialResidencial baixa renda – faixa 04Não se aplicaNão se aplicaNão se aplica",Mercado_Receita!$N$2:$N$332)</f>
        <v>16.321000000000002</v>
      </c>
      <c r="T12" s="14">
        <f>SUMIF(Mercado_Receita!$T$2:$T$332,"44652B1Energia convencionalResidencialResidencial baixa renda – faixa 04Não se aplicaNão se aplicaNão se aplica",Mercado_Receita!$N$2:$N$332)</f>
        <v>14.085000000000001</v>
      </c>
      <c r="U12" s="14">
        <f t="shared" si="0"/>
        <v>103.88300000000001</v>
      </c>
      <c r="V12" s="14"/>
      <c r="W12" s="14"/>
    </row>
    <row r="13" spans="1:30" ht="11.25" customHeight="1" x14ac:dyDescent="0.25">
      <c r="A13" s="114"/>
      <c r="B13" s="113" t="s">
        <v>84</v>
      </c>
      <c r="C13" s="113" t="s">
        <v>24</v>
      </c>
      <c r="D13" s="13" t="s">
        <v>24</v>
      </c>
      <c r="E13" s="13" t="s">
        <v>25</v>
      </c>
      <c r="F13" s="13" t="s">
        <v>25</v>
      </c>
      <c r="G13" s="14" t="s">
        <v>73</v>
      </c>
      <c r="H13" s="14" t="s">
        <v>69</v>
      </c>
      <c r="I13" s="14">
        <f>SUMIF(Mercado_Receita!$T$2:$T$332,"44317B1Energia convencional pré-pagamentoResidencialResidencialNão se aplicaNão se aplicaNão se aplica",Mercado_Receita!$N$2:$N$332)</f>
        <v>0</v>
      </c>
      <c r="J13" s="14">
        <f>SUMIF(Mercado_Receita!$T$2:$T$332,"44348B1Energia convencional pré-pagamentoResidencialResidencialNão se aplicaNão se aplicaNão se aplica",Mercado_Receita!$N$2:$N$332)</f>
        <v>0</v>
      </c>
      <c r="K13" s="14">
        <f>SUMIF(Mercado_Receita!$T$2:$T$332,"44378B1Energia convencional pré-pagamentoResidencialResidencialNão se aplicaNão se aplicaNão se aplica",Mercado_Receita!$N$2:$N$332)</f>
        <v>0</v>
      </c>
      <c r="L13" s="14">
        <f>SUMIF(Mercado_Receita!$T$2:$T$332,"44409B1Energia convencional pré-pagamentoResidencialResidencialNão se aplicaNão se aplicaNão se aplica",Mercado_Receita!$N$2:$N$332)</f>
        <v>0</v>
      </c>
      <c r="M13" s="14">
        <f>SUMIF(Mercado_Receita!$T$2:$T$332,"44440B1Energia convencional pré-pagamentoResidencialResidencialNão se aplicaNão se aplicaNão se aplica",Mercado_Receita!$N$2:$N$332)</f>
        <v>0</v>
      </c>
      <c r="N13" s="14">
        <f>SUMIF(Mercado_Receita!$T$2:$T$332,"44470B1Energia convencional pré-pagamentoResidencialResidencialNão se aplicaNão se aplicaNão se aplica",Mercado_Receita!$N$2:$N$332)</f>
        <v>0</v>
      </c>
      <c r="O13" s="14">
        <f>SUMIF(Mercado_Receita!$T$2:$T$332,"44501B1Energia convencional pré-pagamentoResidencialResidencialNão se aplicaNão se aplicaNão se aplica",Mercado_Receita!$N$2:$N$332)</f>
        <v>0</v>
      </c>
      <c r="P13" s="14">
        <f>SUMIF(Mercado_Receita!$T$2:$T$332,"44531B1Energia convencional pré-pagamentoResidencialResidencialNão se aplicaNão se aplicaNão se aplica",Mercado_Receita!$N$2:$N$332)</f>
        <v>0</v>
      </c>
      <c r="Q13" s="14">
        <f>SUMIF(Mercado_Receita!$T$2:$T$332,"44562B1Energia convencional pré-pagamentoResidencialResidencialNão se aplicaNão se aplicaNão se aplica",Mercado_Receita!$N$2:$N$332)</f>
        <v>0</v>
      </c>
      <c r="R13" s="14">
        <f>SUMIF(Mercado_Receita!$T$2:$T$332,"44593B1Energia convencional pré-pagamentoResidencialResidencialNão se aplicaNão se aplicaNão se aplica",Mercado_Receita!$N$2:$N$332)</f>
        <v>0</v>
      </c>
      <c r="S13" s="14">
        <f>SUMIF(Mercado_Receita!$T$2:$T$332,"44621B1Energia convencional pré-pagamentoResidencialResidencialNão se aplicaNão se aplicaNão se aplica",Mercado_Receita!$N$2:$N$332)</f>
        <v>0</v>
      </c>
      <c r="T13" s="14">
        <f>SUMIF(Mercado_Receita!$T$2:$T$332,"44652B1Energia convencional pré-pagamentoResidencialResidencialNão se aplicaNão se aplicaNão se aplica",Mercado_Receita!$N$2:$N$332)</f>
        <v>0</v>
      </c>
      <c r="U13" s="14">
        <f t="shared" si="0"/>
        <v>0</v>
      </c>
      <c r="V13" s="14"/>
      <c r="W13" s="14"/>
    </row>
    <row r="14" spans="1:30" ht="11.25" customHeight="1" x14ac:dyDescent="0.25">
      <c r="A14" s="114"/>
      <c r="B14" s="114"/>
      <c r="C14" s="114"/>
      <c r="D14" s="13" t="s">
        <v>28</v>
      </c>
      <c r="E14" s="13" t="s">
        <v>25</v>
      </c>
      <c r="F14" s="13" t="s">
        <v>25</v>
      </c>
      <c r="G14" s="14" t="s">
        <v>73</v>
      </c>
      <c r="H14" s="14" t="s">
        <v>69</v>
      </c>
      <c r="I14" s="14">
        <f>SUMIF(Mercado_Receita!$T$2:$T$332,"44317B1Energia convencional pré-pagamentoResidencialResidencial baixa renda – faixa 01Não se aplicaNão se aplicaNão se aplica",Mercado_Receita!$N$2:$N$332)</f>
        <v>0</v>
      </c>
      <c r="J14" s="14">
        <f>SUMIF(Mercado_Receita!$T$2:$T$332,"44348B1Energia convencional pré-pagamentoResidencialResidencial baixa renda – faixa 01Não se aplicaNão se aplicaNão se aplica",Mercado_Receita!$N$2:$N$332)</f>
        <v>0</v>
      </c>
      <c r="K14" s="14">
        <f>SUMIF(Mercado_Receita!$T$2:$T$332,"44378B1Energia convencional pré-pagamentoResidencialResidencial baixa renda – faixa 01Não se aplicaNão se aplicaNão se aplica",Mercado_Receita!$N$2:$N$332)</f>
        <v>0</v>
      </c>
      <c r="L14" s="14">
        <f>SUMIF(Mercado_Receita!$T$2:$T$332,"44409B1Energia convencional pré-pagamentoResidencialResidencial baixa renda – faixa 01Não se aplicaNão se aplicaNão se aplica",Mercado_Receita!$N$2:$N$332)</f>
        <v>0</v>
      </c>
      <c r="M14" s="14">
        <f>SUMIF(Mercado_Receita!$T$2:$T$332,"44440B1Energia convencional pré-pagamentoResidencialResidencial baixa renda – faixa 01Não se aplicaNão se aplicaNão se aplica",Mercado_Receita!$N$2:$N$332)</f>
        <v>0</v>
      </c>
      <c r="N14" s="14">
        <f>SUMIF(Mercado_Receita!$T$2:$T$332,"44470B1Energia convencional pré-pagamentoResidencialResidencial baixa renda – faixa 01Não se aplicaNão se aplicaNão se aplica",Mercado_Receita!$N$2:$N$332)</f>
        <v>0</v>
      </c>
      <c r="O14" s="14">
        <f>SUMIF(Mercado_Receita!$T$2:$T$332,"44501B1Energia convencional pré-pagamentoResidencialResidencial baixa renda – faixa 01Não se aplicaNão se aplicaNão se aplica",Mercado_Receita!$N$2:$N$332)</f>
        <v>0</v>
      </c>
      <c r="P14" s="14">
        <f>SUMIF(Mercado_Receita!$T$2:$T$332,"44531B1Energia convencional pré-pagamentoResidencialResidencial baixa renda – faixa 01Não se aplicaNão se aplicaNão se aplica",Mercado_Receita!$N$2:$N$332)</f>
        <v>0</v>
      </c>
      <c r="Q14" s="14">
        <f>SUMIF(Mercado_Receita!$T$2:$T$332,"44562B1Energia convencional pré-pagamentoResidencialResidencial baixa renda – faixa 01Não se aplicaNão se aplicaNão se aplica",Mercado_Receita!$N$2:$N$332)</f>
        <v>0</v>
      </c>
      <c r="R14" s="14">
        <f>SUMIF(Mercado_Receita!$T$2:$T$332,"44593B1Energia convencional pré-pagamentoResidencialResidencial baixa renda – faixa 01Não se aplicaNão se aplicaNão se aplica",Mercado_Receita!$N$2:$N$332)</f>
        <v>0</v>
      </c>
      <c r="S14" s="14">
        <f>SUMIF(Mercado_Receita!$T$2:$T$332,"44621B1Energia convencional pré-pagamentoResidencialResidencial baixa renda – faixa 01Não se aplicaNão se aplicaNão se aplica",Mercado_Receita!$N$2:$N$332)</f>
        <v>0</v>
      </c>
      <c r="T14" s="14">
        <f>SUMIF(Mercado_Receita!$T$2:$T$332,"44652B1Energia convencional pré-pagamentoResidencialResidencial baixa renda – faixa 01Não se aplicaNão se aplicaNão se aplica",Mercado_Receita!$N$2:$N$332)</f>
        <v>0</v>
      </c>
      <c r="U14" s="14">
        <f t="shared" si="0"/>
        <v>0</v>
      </c>
      <c r="V14" s="14"/>
      <c r="W14" s="14"/>
    </row>
    <row r="15" spans="1:30" ht="11.25" customHeight="1" x14ac:dyDescent="0.25">
      <c r="A15" s="114"/>
      <c r="B15" s="114"/>
      <c r="C15" s="114"/>
      <c r="D15" s="13" t="s">
        <v>29</v>
      </c>
      <c r="E15" s="13" t="s">
        <v>25</v>
      </c>
      <c r="F15" s="13" t="s">
        <v>25</v>
      </c>
      <c r="G15" s="14" t="s">
        <v>73</v>
      </c>
      <c r="H15" s="14" t="s">
        <v>69</v>
      </c>
      <c r="I15" s="14">
        <f>SUMIF(Mercado_Receita!$T$2:$T$332,"44317B1Energia convencional pré-pagamentoResidencialResidencial baixa renda – faixa 02Não se aplicaNão se aplicaNão se aplica",Mercado_Receita!$N$2:$N$332)</f>
        <v>0</v>
      </c>
      <c r="J15" s="14">
        <f>SUMIF(Mercado_Receita!$T$2:$T$332,"44348B1Energia convencional pré-pagamentoResidencialResidencial baixa renda – faixa 02Não se aplicaNão se aplicaNão se aplica",Mercado_Receita!$N$2:$N$332)</f>
        <v>0</v>
      </c>
      <c r="K15" s="14">
        <f>SUMIF(Mercado_Receita!$T$2:$T$332,"44378B1Energia convencional pré-pagamentoResidencialResidencial baixa renda – faixa 02Não se aplicaNão se aplicaNão se aplica",Mercado_Receita!$N$2:$N$332)</f>
        <v>0</v>
      </c>
      <c r="L15" s="14">
        <f>SUMIF(Mercado_Receita!$T$2:$T$332,"44409B1Energia convencional pré-pagamentoResidencialResidencial baixa renda – faixa 02Não se aplicaNão se aplicaNão se aplica",Mercado_Receita!$N$2:$N$332)</f>
        <v>0</v>
      </c>
      <c r="M15" s="14">
        <f>SUMIF(Mercado_Receita!$T$2:$T$332,"44440B1Energia convencional pré-pagamentoResidencialResidencial baixa renda – faixa 02Não se aplicaNão se aplicaNão se aplica",Mercado_Receita!$N$2:$N$332)</f>
        <v>0</v>
      </c>
      <c r="N15" s="14">
        <f>SUMIF(Mercado_Receita!$T$2:$T$332,"44470B1Energia convencional pré-pagamentoResidencialResidencial baixa renda – faixa 02Não se aplicaNão se aplicaNão se aplica",Mercado_Receita!$N$2:$N$332)</f>
        <v>0</v>
      </c>
      <c r="O15" s="14">
        <f>SUMIF(Mercado_Receita!$T$2:$T$332,"44501B1Energia convencional pré-pagamentoResidencialResidencial baixa renda – faixa 02Não se aplicaNão se aplicaNão se aplica",Mercado_Receita!$N$2:$N$332)</f>
        <v>0</v>
      </c>
      <c r="P15" s="14">
        <f>SUMIF(Mercado_Receita!$T$2:$T$332,"44531B1Energia convencional pré-pagamentoResidencialResidencial baixa renda – faixa 02Não se aplicaNão se aplicaNão se aplica",Mercado_Receita!$N$2:$N$332)</f>
        <v>0</v>
      </c>
      <c r="Q15" s="14">
        <f>SUMIF(Mercado_Receita!$T$2:$T$332,"44562B1Energia convencional pré-pagamentoResidencialResidencial baixa renda – faixa 02Não se aplicaNão se aplicaNão se aplica",Mercado_Receita!$N$2:$N$332)</f>
        <v>0</v>
      </c>
      <c r="R15" s="14">
        <f>SUMIF(Mercado_Receita!$T$2:$T$332,"44593B1Energia convencional pré-pagamentoResidencialResidencial baixa renda – faixa 02Não se aplicaNão se aplicaNão se aplica",Mercado_Receita!$N$2:$N$332)</f>
        <v>0</v>
      </c>
      <c r="S15" s="14">
        <f>SUMIF(Mercado_Receita!$T$2:$T$332,"44621B1Energia convencional pré-pagamentoResidencialResidencial baixa renda – faixa 02Não se aplicaNão se aplicaNão se aplica",Mercado_Receita!$N$2:$N$332)</f>
        <v>0</v>
      </c>
      <c r="T15" s="14">
        <f>SUMIF(Mercado_Receita!$T$2:$T$332,"44652B1Energia convencional pré-pagamentoResidencialResidencial baixa renda – faixa 02Não se aplicaNão se aplicaNão se aplica",Mercado_Receita!$N$2:$N$332)</f>
        <v>0</v>
      </c>
      <c r="U15" s="14">
        <f t="shared" si="0"/>
        <v>0</v>
      </c>
      <c r="V15" s="14"/>
      <c r="W15" s="14"/>
    </row>
    <row r="16" spans="1:30" ht="11.25" customHeight="1" x14ac:dyDescent="0.25">
      <c r="A16" s="114"/>
      <c r="B16" s="114"/>
      <c r="C16" s="114"/>
      <c r="D16" s="13" t="s">
        <v>30</v>
      </c>
      <c r="E16" s="13" t="s">
        <v>25</v>
      </c>
      <c r="F16" s="13" t="s">
        <v>25</v>
      </c>
      <c r="G16" s="14" t="s">
        <v>73</v>
      </c>
      <c r="H16" s="14" t="s">
        <v>69</v>
      </c>
      <c r="I16" s="14">
        <f>SUMIF(Mercado_Receita!$T$2:$T$332,"44317B1Energia convencional pré-pagamentoResidencialResidencial baixa renda – faixa 03Não se aplicaNão se aplicaNão se aplica",Mercado_Receita!$N$2:$N$332)</f>
        <v>0</v>
      </c>
      <c r="J16" s="14">
        <f>SUMIF(Mercado_Receita!$T$2:$T$332,"44348B1Energia convencional pré-pagamentoResidencialResidencial baixa renda – faixa 03Não se aplicaNão se aplicaNão se aplica",Mercado_Receita!$N$2:$N$332)</f>
        <v>0</v>
      </c>
      <c r="K16" s="14">
        <f>SUMIF(Mercado_Receita!$T$2:$T$332,"44378B1Energia convencional pré-pagamentoResidencialResidencial baixa renda – faixa 03Não se aplicaNão se aplicaNão se aplica",Mercado_Receita!$N$2:$N$332)</f>
        <v>0</v>
      </c>
      <c r="L16" s="14">
        <f>SUMIF(Mercado_Receita!$T$2:$T$332,"44409B1Energia convencional pré-pagamentoResidencialResidencial baixa renda – faixa 03Não se aplicaNão se aplicaNão se aplica",Mercado_Receita!$N$2:$N$332)</f>
        <v>0</v>
      </c>
      <c r="M16" s="14">
        <f>SUMIF(Mercado_Receita!$T$2:$T$332,"44440B1Energia convencional pré-pagamentoResidencialResidencial baixa renda – faixa 03Não se aplicaNão se aplicaNão se aplica",Mercado_Receita!$N$2:$N$332)</f>
        <v>0</v>
      </c>
      <c r="N16" s="14">
        <f>SUMIF(Mercado_Receita!$T$2:$T$332,"44470B1Energia convencional pré-pagamentoResidencialResidencial baixa renda – faixa 03Não se aplicaNão se aplicaNão se aplica",Mercado_Receita!$N$2:$N$332)</f>
        <v>0</v>
      </c>
      <c r="O16" s="14">
        <f>SUMIF(Mercado_Receita!$T$2:$T$332,"44501B1Energia convencional pré-pagamentoResidencialResidencial baixa renda – faixa 03Não se aplicaNão se aplicaNão se aplica",Mercado_Receita!$N$2:$N$332)</f>
        <v>0</v>
      </c>
      <c r="P16" s="14">
        <f>SUMIF(Mercado_Receita!$T$2:$T$332,"44531B1Energia convencional pré-pagamentoResidencialResidencial baixa renda – faixa 03Não se aplicaNão se aplicaNão se aplica",Mercado_Receita!$N$2:$N$332)</f>
        <v>0</v>
      </c>
      <c r="Q16" s="14">
        <f>SUMIF(Mercado_Receita!$T$2:$T$332,"44562B1Energia convencional pré-pagamentoResidencialResidencial baixa renda – faixa 03Não se aplicaNão se aplicaNão se aplica",Mercado_Receita!$N$2:$N$332)</f>
        <v>0</v>
      </c>
      <c r="R16" s="14">
        <f>SUMIF(Mercado_Receita!$T$2:$T$332,"44593B1Energia convencional pré-pagamentoResidencialResidencial baixa renda – faixa 03Não se aplicaNão se aplicaNão se aplica",Mercado_Receita!$N$2:$N$332)</f>
        <v>0</v>
      </c>
      <c r="S16" s="14">
        <f>SUMIF(Mercado_Receita!$T$2:$T$332,"44621B1Energia convencional pré-pagamentoResidencialResidencial baixa renda – faixa 03Não se aplicaNão se aplicaNão se aplica",Mercado_Receita!$N$2:$N$332)</f>
        <v>0</v>
      </c>
      <c r="T16" s="14">
        <f>SUMIF(Mercado_Receita!$T$2:$T$332,"44652B1Energia convencional pré-pagamentoResidencialResidencial baixa renda – faixa 03Não se aplicaNão se aplicaNão se aplica",Mercado_Receita!$N$2:$N$332)</f>
        <v>0</v>
      </c>
      <c r="U16" s="14">
        <f t="shared" si="0"/>
        <v>0</v>
      </c>
      <c r="V16" s="14"/>
      <c r="W16" s="14"/>
    </row>
    <row r="17" spans="1:23" ht="11.25" customHeight="1" x14ac:dyDescent="0.25">
      <c r="A17" s="114"/>
      <c r="B17" s="114"/>
      <c r="C17" s="114"/>
      <c r="D17" s="13" t="s">
        <v>31</v>
      </c>
      <c r="E17" s="13" t="s">
        <v>25</v>
      </c>
      <c r="F17" s="13" t="s">
        <v>25</v>
      </c>
      <c r="G17" s="14" t="s">
        <v>73</v>
      </c>
      <c r="H17" s="14" t="s">
        <v>69</v>
      </c>
      <c r="I17" s="14">
        <f>SUMIF(Mercado_Receita!$T$2:$T$332,"44317B1Energia convencional pré-pagamentoResidencialResidencial baixa renda – faixa 04Não se aplicaNão se aplicaNão se aplica",Mercado_Receita!$N$2:$N$332)</f>
        <v>0</v>
      </c>
      <c r="J17" s="14">
        <f>SUMIF(Mercado_Receita!$T$2:$T$332,"44348B1Energia convencional pré-pagamentoResidencialResidencial baixa renda – faixa 04Não se aplicaNão se aplicaNão se aplica",Mercado_Receita!$N$2:$N$332)</f>
        <v>0</v>
      </c>
      <c r="K17" s="14">
        <f>SUMIF(Mercado_Receita!$T$2:$T$332,"44378B1Energia convencional pré-pagamentoResidencialResidencial baixa renda – faixa 04Não se aplicaNão se aplicaNão se aplica",Mercado_Receita!$N$2:$N$332)</f>
        <v>0</v>
      </c>
      <c r="L17" s="14">
        <f>SUMIF(Mercado_Receita!$T$2:$T$332,"44409B1Energia convencional pré-pagamentoResidencialResidencial baixa renda – faixa 04Não se aplicaNão se aplicaNão se aplica",Mercado_Receita!$N$2:$N$332)</f>
        <v>0</v>
      </c>
      <c r="M17" s="14">
        <f>SUMIF(Mercado_Receita!$T$2:$T$332,"44440B1Energia convencional pré-pagamentoResidencialResidencial baixa renda – faixa 04Não se aplicaNão se aplicaNão se aplica",Mercado_Receita!$N$2:$N$332)</f>
        <v>0</v>
      </c>
      <c r="N17" s="14">
        <f>SUMIF(Mercado_Receita!$T$2:$T$332,"44470B1Energia convencional pré-pagamentoResidencialResidencial baixa renda – faixa 04Não se aplicaNão se aplicaNão se aplica",Mercado_Receita!$N$2:$N$332)</f>
        <v>0</v>
      </c>
      <c r="O17" s="14">
        <f>SUMIF(Mercado_Receita!$T$2:$T$332,"44501B1Energia convencional pré-pagamentoResidencialResidencial baixa renda – faixa 04Não se aplicaNão se aplicaNão se aplica",Mercado_Receita!$N$2:$N$332)</f>
        <v>0</v>
      </c>
      <c r="P17" s="14">
        <f>SUMIF(Mercado_Receita!$T$2:$T$332,"44531B1Energia convencional pré-pagamentoResidencialResidencial baixa renda – faixa 04Não se aplicaNão se aplicaNão se aplica",Mercado_Receita!$N$2:$N$332)</f>
        <v>0</v>
      </c>
      <c r="Q17" s="14">
        <f>SUMIF(Mercado_Receita!$T$2:$T$332,"44562B1Energia convencional pré-pagamentoResidencialResidencial baixa renda – faixa 04Não se aplicaNão se aplicaNão se aplica",Mercado_Receita!$N$2:$N$332)</f>
        <v>0</v>
      </c>
      <c r="R17" s="14">
        <f>SUMIF(Mercado_Receita!$T$2:$T$332,"44593B1Energia convencional pré-pagamentoResidencialResidencial baixa renda – faixa 04Não se aplicaNão se aplicaNão se aplica",Mercado_Receita!$N$2:$N$332)</f>
        <v>0</v>
      </c>
      <c r="S17" s="14">
        <f>SUMIF(Mercado_Receita!$T$2:$T$332,"44621B1Energia convencional pré-pagamentoResidencialResidencial baixa renda – faixa 04Não se aplicaNão se aplicaNão se aplica",Mercado_Receita!$N$2:$N$332)</f>
        <v>0</v>
      </c>
      <c r="T17" s="14">
        <f>SUMIF(Mercado_Receita!$T$2:$T$332,"44652B1Energia convencional pré-pagamentoResidencialResidencial baixa renda – faixa 04Não se aplicaNão se aplicaNão se aplica",Mercado_Receita!$N$2:$N$332)</f>
        <v>0</v>
      </c>
      <c r="U17" s="14">
        <f t="shared" si="0"/>
        <v>0</v>
      </c>
      <c r="V17" s="14"/>
      <c r="W17" s="14"/>
    </row>
    <row r="18" spans="1:23" ht="11.25" customHeight="1" x14ac:dyDescent="0.25">
      <c r="A18" s="113" t="s">
        <v>41</v>
      </c>
      <c r="B18" s="113" t="s">
        <v>68</v>
      </c>
      <c r="C18" s="113" t="s">
        <v>42</v>
      </c>
      <c r="D18" s="113" t="s">
        <v>25</v>
      </c>
      <c r="E18" s="113" t="s">
        <v>25</v>
      </c>
      <c r="F18" s="113" t="s">
        <v>25</v>
      </c>
      <c r="G18" s="14" t="s">
        <v>70</v>
      </c>
      <c r="H18" s="14" t="s">
        <v>69</v>
      </c>
      <c r="I18" s="14">
        <f>SUMIF(Mercado_Receita!$T$2:$T$332,"44317B2Energia horáriaRuralNão se aplicaNão se aplicaNão se aplicaPonta",Mercado_Receita!$N$2:$N$332)</f>
        <v>0.03</v>
      </c>
      <c r="J18" s="14">
        <f>SUMIF(Mercado_Receita!$T$2:$T$332,"44348B2Energia horáriaRuralNão se aplicaNão se aplicaNão se aplicaPonta",Mercado_Receita!$N$2:$N$332)</f>
        <v>0.03</v>
      </c>
      <c r="K18" s="14">
        <f>SUMIF(Mercado_Receita!$T$2:$T$332,"44378B2Energia horáriaRuralNão se aplicaNão se aplicaNão se aplicaPonta",Mercado_Receita!$N$2:$N$332)</f>
        <v>2.9000000000000001E-2</v>
      </c>
      <c r="L18" s="14">
        <f>SUMIF(Mercado_Receita!$T$2:$T$332,"44409B2Energia horáriaRuralNão se aplicaNão se aplicaNão se aplicaPonta",Mercado_Receita!$N$2:$N$332)</f>
        <v>0.03</v>
      </c>
      <c r="M18" s="14">
        <f>SUMIF(Mercado_Receita!$T$2:$T$332,"44440B2Energia horáriaRuralNão se aplicaNão se aplicaNão se aplicaPonta",Mercado_Receita!$N$2:$N$332)</f>
        <v>2.8000000000000001E-2</v>
      </c>
      <c r="N18" s="14">
        <f>SUMIF(Mercado_Receita!$T$2:$T$332,"44470B2Energia horáriaRuralNão se aplicaNão se aplicaNão se aplicaPonta",Mercado_Receita!$N$2:$N$332)</f>
        <v>1.4E-2</v>
      </c>
      <c r="O18" s="14">
        <f>SUMIF(Mercado_Receita!$T$2:$T$332,"44501B2Energia horáriaRuralNão se aplicaNão se aplicaNão se aplicaPonta",Mercado_Receita!$N$2:$N$332)</f>
        <v>0.01</v>
      </c>
      <c r="P18" s="14">
        <f>SUMIF(Mercado_Receita!$T$2:$T$332,"44531B2Energia horáriaRuralNão se aplicaNão se aplicaNão se aplicaPonta",Mercado_Receita!$N$2:$N$332)</f>
        <v>2.7E-2</v>
      </c>
      <c r="Q18" s="14">
        <f>SUMIF(Mercado_Receita!$T$2:$T$332,"44562B2Energia horáriaRuralNão se aplicaNão se aplicaNão se aplicaPonta",Mercado_Receita!$N$2:$N$332)</f>
        <v>4.2000000000000003E-2</v>
      </c>
      <c r="R18" s="14">
        <f>SUMIF(Mercado_Receita!$T$2:$T$332,"44593B2Energia horáriaRuralNão se aplicaNão se aplicaNão se aplicaPonta",Mercado_Receita!$N$2:$N$332)</f>
        <v>3.6999999999999998E-2</v>
      </c>
      <c r="S18" s="14">
        <f>SUMIF(Mercado_Receita!$T$2:$T$332,"44621B2Energia horáriaRuralNão se aplicaNão se aplicaNão se aplicaPonta",Mercado_Receita!$N$2:$N$332)</f>
        <v>3.6999999999999998E-2</v>
      </c>
      <c r="T18" s="14">
        <f>SUMIF(Mercado_Receita!$T$2:$T$332,"44652B2Energia horáriaRuralNão se aplicaNão se aplicaNão se aplicaPonta",Mercado_Receita!$N$2:$N$332)</f>
        <v>2.7E-2</v>
      </c>
      <c r="U18" s="14">
        <f t="shared" si="0"/>
        <v>0.34100000000000003</v>
      </c>
      <c r="V18" s="14"/>
      <c r="W18" s="14"/>
    </row>
    <row r="19" spans="1:23" ht="11.25" customHeight="1" x14ac:dyDescent="0.25">
      <c r="A19" s="114"/>
      <c r="B19" s="114"/>
      <c r="C19" s="114"/>
      <c r="D19" s="114"/>
      <c r="E19" s="114"/>
      <c r="F19" s="114"/>
      <c r="G19" s="14" t="s">
        <v>83</v>
      </c>
      <c r="H19" s="14" t="s">
        <v>69</v>
      </c>
      <c r="I19" s="14">
        <f>SUMIF(Mercado_Receita!$T$2:$T$332,"44317B2Energia horáriaRuralNão se aplicaNão se aplicaNão se aplicaIntermediário",Mercado_Receita!$N$2:$N$332)</f>
        <v>0.02</v>
      </c>
      <c r="J19" s="14">
        <f>SUMIF(Mercado_Receita!$T$2:$T$332,"44348B2Energia horáriaRuralNão se aplicaNão se aplicaNão se aplicaIntermediário",Mercado_Receita!$N$2:$N$332)</f>
        <v>0.02</v>
      </c>
      <c r="K19" s="14">
        <f>SUMIF(Mercado_Receita!$T$2:$T$332,"44378B2Energia horáriaRuralNão se aplicaNão se aplicaNão se aplicaIntermediário",Mercado_Receita!$N$2:$N$332)</f>
        <v>1.9E-2</v>
      </c>
      <c r="L19" s="14">
        <f>SUMIF(Mercado_Receita!$T$2:$T$332,"44409B2Energia horáriaRuralNão se aplicaNão se aplicaNão se aplicaIntermediário",Mercado_Receita!$N$2:$N$332)</f>
        <v>2.1000000000000001E-2</v>
      </c>
      <c r="M19" s="14">
        <f>SUMIF(Mercado_Receita!$T$2:$T$332,"44440B2Energia horáriaRuralNão se aplicaNão se aplicaNão se aplicaIntermediário",Mercado_Receita!$N$2:$N$332)</f>
        <v>2.5000000000000001E-2</v>
      </c>
      <c r="N19" s="14">
        <f>SUMIF(Mercado_Receita!$T$2:$T$332,"44470B2Energia horáriaRuralNão se aplicaNão se aplicaNão se aplicaIntermediário",Mercado_Receita!$N$2:$N$332)</f>
        <v>3.9E-2</v>
      </c>
      <c r="O19" s="14">
        <f>SUMIF(Mercado_Receita!$T$2:$T$332,"44501B2Energia horáriaRuralNão se aplicaNão se aplicaNão se aplicaIntermediário",Mercado_Receita!$N$2:$N$332)</f>
        <v>5.1999999999999998E-2</v>
      </c>
      <c r="P19" s="14">
        <f>SUMIF(Mercado_Receita!$T$2:$T$332,"44531B2Energia horáriaRuralNão se aplicaNão se aplicaNão se aplicaIntermediário",Mercado_Receita!$N$2:$N$332)</f>
        <v>0.1</v>
      </c>
      <c r="Q19" s="14">
        <f>SUMIF(Mercado_Receita!$T$2:$T$332,"44562B2Energia horáriaRuralNão se aplicaNão se aplicaNão se aplicaIntermediário",Mercado_Receita!$N$2:$N$332)</f>
        <v>4.2000000000000003E-2</v>
      </c>
      <c r="R19" s="14">
        <f>SUMIF(Mercado_Receita!$T$2:$T$332,"44593B2Energia horáriaRuralNão se aplicaNão se aplicaNão se aplicaIntermediário",Mercado_Receita!$N$2:$N$332)</f>
        <v>0.105</v>
      </c>
      <c r="S19" s="14">
        <f>SUMIF(Mercado_Receita!$T$2:$T$332,"44621B2Energia horáriaRuralNão se aplicaNão se aplicaNão se aplicaIntermediário",Mercado_Receita!$N$2:$N$332)</f>
        <v>8.5000000000000006E-2</v>
      </c>
      <c r="T19" s="14">
        <f>SUMIF(Mercado_Receita!$T$2:$T$332,"44652B2Energia horáriaRuralNão se aplicaNão se aplicaNão se aplicaIntermediário",Mercado_Receita!$N$2:$N$332)</f>
        <v>2.7E-2</v>
      </c>
      <c r="U19" s="14">
        <f t="shared" si="0"/>
        <v>0.55500000000000005</v>
      </c>
      <c r="V19" s="14"/>
      <c r="W19" s="14"/>
    </row>
    <row r="20" spans="1:23" ht="11.25" customHeight="1" x14ac:dyDescent="0.25">
      <c r="A20" s="114"/>
      <c r="B20" s="114"/>
      <c r="C20" s="114"/>
      <c r="D20" s="114"/>
      <c r="E20" s="114"/>
      <c r="F20" s="114"/>
      <c r="G20" s="14" t="s">
        <v>71</v>
      </c>
      <c r="H20" s="14" t="s">
        <v>69</v>
      </c>
      <c r="I20" s="14">
        <f>SUMIF(Mercado_Receita!$T$2:$T$332,"44317B2Energia horáriaRuralNão se aplicaNão se aplicaNão se aplicaFora ponta",Mercado_Receita!$N$2:$N$332)</f>
        <v>0.35799999999999998</v>
      </c>
      <c r="J20" s="14">
        <f>SUMIF(Mercado_Receita!$T$2:$T$332,"44348B2Energia horáriaRuralNão se aplicaNão se aplicaNão se aplicaFora ponta",Mercado_Receita!$N$2:$N$332)</f>
        <v>0.311</v>
      </c>
      <c r="K20" s="14">
        <f>SUMIF(Mercado_Receita!$T$2:$T$332,"44378B2Energia horáriaRuralNão se aplicaNão se aplicaNão se aplicaFora ponta",Mercado_Receita!$N$2:$N$332)</f>
        <v>0.41899999999999998</v>
      </c>
      <c r="L20" s="14">
        <f>SUMIF(Mercado_Receita!$T$2:$T$332,"44409B2Energia horáriaRuralNão se aplicaNão se aplicaNão se aplicaFora ponta",Mercado_Receita!$N$2:$N$332)</f>
        <v>0.36899999999999999</v>
      </c>
      <c r="M20" s="14">
        <f>SUMIF(Mercado_Receita!$T$2:$T$332,"44440B2Energia horáriaRuralNão se aplicaNão se aplicaNão se aplicaFora ponta",Mercado_Receita!$N$2:$N$332)</f>
        <v>0.7</v>
      </c>
      <c r="N20" s="14">
        <f>SUMIF(Mercado_Receita!$T$2:$T$332,"44470B2Energia horáriaRuralNão se aplicaNão se aplicaNão se aplicaFora ponta",Mercado_Receita!$N$2:$N$332)</f>
        <v>2.4430000000000001</v>
      </c>
      <c r="O20" s="14">
        <f>SUMIF(Mercado_Receita!$T$2:$T$332,"44501B2Energia horáriaRuralNão se aplicaNão se aplicaNão se aplicaFora ponta",Mercado_Receita!$N$2:$N$332)</f>
        <v>2.0289999999999999</v>
      </c>
      <c r="P20" s="14">
        <f>SUMIF(Mercado_Receita!$T$2:$T$332,"44531B2Energia horáriaRuralNão se aplicaNão se aplicaNão se aplicaFora ponta",Mercado_Receita!$N$2:$N$332)</f>
        <v>2.347</v>
      </c>
      <c r="Q20" s="14">
        <f>SUMIF(Mercado_Receita!$T$2:$T$332,"44562B2Energia horáriaRuralNão se aplicaNão se aplicaNão se aplicaFora ponta",Mercado_Receita!$N$2:$N$332)</f>
        <v>0.98799999999999999</v>
      </c>
      <c r="R20" s="14">
        <f>SUMIF(Mercado_Receita!$T$2:$T$332,"44593B2Energia horáriaRuralNão se aplicaNão se aplicaNão se aplicaFora ponta",Mercado_Receita!$N$2:$N$332)</f>
        <v>2.86</v>
      </c>
      <c r="S20" s="14">
        <f>SUMIF(Mercado_Receita!$T$2:$T$332,"44621B2Energia horáriaRuralNão se aplicaNão se aplicaNão se aplicaFora ponta",Mercado_Receita!$N$2:$N$332)</f>
        <v>2.86</v>
      </c>
      <c r="T20" s="14">
        <f>SUMIF(Mercado_Receita!$T$2:$T$332,"44652B2Energia horáriaRuralNão se aplicaNão se aplicaNão se aplicaFora ponta",Mercado_Receita!$N$2:$N$332)</f>
        <v>0.88200000000000001</v>
      </c>
      <c r="U20" s="14">
        <f t="shared" si="0"/>
        <v>16.565999999999999</v>
      </c>
      <c r="V20" s="14"/>
      <c r="W20" s="14"/>
    </row>
    <row r="21" spans="1:23" ht="11.25" customHeight="1" x14ac:dyDescent="0.25">
      <c r="A21" s="114"/>
      <c r="B21" s="13" t="s">
        <v>72</v>
      </c>
      <c r="C21" s="13" t="s">
        <v>42</v>
      </c>
      <c r="D21" s="13" t="s">
        <v>25</v>
      </c>
      <c r="E21" s="13" t="s">
        <v>25</v>
      </c>
      <c r="F21" s="13" t="s">
        <v>25</v>
      </c>
      <c r="G21" s="14" t="s">
        <v>73</v>
      </c>
      <c r="H21" s="14" t="s">
        <v>69</v>
      </c>
      <c r="I21" s="14">
        <f>SUMIF(Mercado_Receita!$T$2:$T$332,"44317B2Energia convencionalRuralNão se aplicaNão se aplicaNão se aplicaNão se aplica",Mercado_Receita!$N$2:$N$332)</f>
        <v>208.55599999999998</v>
      </c>
      <c r="J21" s="14">
        <f>SUMIF(Mercado_Receita!$T$2:$T$332,"44348B2Energia convencionalRuralNão se aplicaNão se aplicaNão se aplicaNão se aplica",Mercado_Receita!$N$2:$N$332)</f>
        <v>206.21</v>
      </c>
      <c r="K21" s="14">
        <f>SUMIF(Mercado_Receita!$T$2:$T$332,"44378B2Energia convencionalRuralNão se aplicaNão se aplicaNão se aplicaNão se aplica",Mercado_Receita!$N$2:$N$332)</f>
        <v>187.47399999999999</v>
      </c>
      <c r="L21" s="14">
        <f>SUMIF(Mercado_Receita!$T$2:$T$332,"44409B2Energia convencionalRuralNão se aplicaNão se aplicaNão se aplicaNão se aplica",Mercado_Receita!$N$2:$N$332)</f>
        <v>187.39899999999997</v>
      </c>
      <c r="M21" s="14">
        <f>SUMIF(Mercado_Receita!$T$2:$T$332,"44440B2Energia convencionalRuralNão se aplicaNão se aplicaNão se aplicaNão se aplica",Mercado_Receita!$N$2:$N$332)</f>
        <v>196.36199999999999</v>
      </c>
      <c r="N21" s="14">
        <f>SUMIF(Mercado_Receita!$T$2:$T$332,"44470B2Energia convencionalRuralNão se aplicaNão se aplicaNão se aplicaNão se aplica",Mercado_Receita!$N$2:$N$332)</f>
        <v>212.25399999999999</v>
      </c>
      <c r="O21" s="14">
        <f>SUMIF(Mercado_Receita!$T$2:$T$332,"44501B2Energia convencionalRuralNão se aplicaNão se aplicaNão se aplicaNão se aplica",Mercado_Receita!$N$2:$N$332)</f>
        <v>254.43399999999997</v>
      </c>
      <c r="P21" s="14">
        <f>SUMIF(Mercado_Receita!$T$2:$T$332,"44531B2Energia convencionalRuralNão se aplicaNão se aplicaNão se aplicaNão se aplica",Mercado_Receita!$N$2:$N$332)</f>
        <v>226.245</v>
      </c>
      <c r="Q21" s="14">
        <f>SUMIF(Mercado_Receita!$T$2:$T$332,"44562B2Energia convencionalRuralNão se aplicaNão se aplicaNão se aplicaNão se aplica",Mercado_Receita!$N$2:$N$332)</f>
        <v>220.60400000000001</v>
      </c>
      <c r="R21" s="14">
        <f>SUMIF(Mercado_Receita!$T$2:$T$332,"44593B2Energia convencionalRuralNão se aplicaNão se aplicaNão se aplicaNão se aplica",Mercado_Receita!$N$2:$N$332)</f>
        <v>218.423</v>
      </c>
      <c r="S21" s="14">
        <f>SUMIF(Mercado_Receita!$T$2:$T$332,"44621B2Energia convencionalRuralNão se aplicaNão se aplicaNão se aplicaNão se aplica",Mercado_Receita!$N$2:$N$332)</f>
        <v>225.32299999999998</v>
      </c>
      <c r="T21" s="14">
        <f>SUMIF(Mercado_Receita!$T$2:$T$332,"44652B2Energia convencionalRuralNão se aplicaNão se aplicaNão se aplicaNão se aplica",Mercado_Receita!$N$2:$N$332)</f>
        <v>206.32600000000002</v>
      </c>
      <c r="U21" s="14">
        <f t="shared" si="0"/>
        <v>2549.6099999999997</v>
      </c>
      <c r="V21" s="14"/>
      <c r="W21" s="14"/>
    </row>
    <row r="22" spans="1:23" ht="11.25" customHeight="1" x14ac:dyDescent="0.25">
      <c r="A22" s="114"/>
      <c r="B22" s="113" t="s">
        <v>68</v>
      </c>
      <c r="C22" s="113" t="s">
        <v>42</v>
      </c>
      <c r="D22" s="113" t="s">
        <v>86</v>
      </c>
      <c r="E22" s="113" t="s">
        <v>25</v>
      </c>
      <c r="F22" s="113" t="s">
        <v>25</v>
      </c>
      <c r="G22" s="14" t="s">
        <v>70</v>
      </c>
      <c r="H22" s="14" t="s">
        <v>69</v>
      </c>
      <c r="I22" s="14">
        <f>SUMIF(Mercado_Receita!$T$2:$T$332,"44317B2Energia horáriaRuralCooperativa de eletrificação ruralNão se aplicaNão se aplicaPonta",Mercado_Receita!$N$2:$N$332)</f>
        <v>0</v>
      </c>
      <c r="J22" s="14">
        <f>SUMIF(Mercado_Receita!$T$2:$T$332,"44348B2Energia horáriaRuralCooperativa de eletrificação ruralNão se aplicaNão se aplicaPonta",Mercado_Receita!$N$2:$N$332)</f>
        <v>0</v>
      </c>
      <c r="K22" s="14">
        <f>SUMIF(Mercado_Receita!$T$2:$T$332,"44378B2Energia horáriaRuralCooperativa de eletrificação ruralNão se aplicaNão se aplicaPonta",Mercado_Receita!$N$2:$N$332)</f>
        <v>0</v>
      </c>
      <c r="L22" s="14">
        <f>SUMIF(Mercado_Receita!$T$2:$T$332,"44409B2Energia horáriaRuralCooperativa de eletrificação ruralNão se aplicaNão se aplicaPonta",Mercado_Receita!$N$2:$N$332)</f>
        <v>0</v>
      </c>
      <c r="M22" s="14">
        <f>SUMIF(Mercado_Receita!$T$2:$T$332,"44440B2Energia horáriaRuralCooperativa de eletrificação ruralNão se aplicaNão se aplicaPonta",Mercado_Receita!$N$2:$N$332)</f>
        <v>0</v>
      </c>
      <c r="N22" s="14">
        <f>SUMIF(Mercado_Receita!$T$2:$T$332,"44470B2Energia horáriaRuralCooperativa de eletrificação ruralNão se aplicaNão se aplicaPonta",Mercado_Receita!$N$2:$N$332)</f>
        <v>0</v>
      </c>
      <c r="O22" s="14">
        <f>SUMIF(Mercado_Receita!$T$2:$T$332,"44501B2Energia horáriaRuralCooperativa de eletrificação ruralNão se aplicaNão se aplicaPonta",Mercado_Receita!$N$2:$N$332)</f>
        <v>0</v>
      </c>
      <c r="P22" s="14">
        <f>SUMIF(Mercado_Receita!$T$2:$T$332,"44531B2Energia horáriaRuralCooperativa de eletrificação ruralNão se aplicaNão se aplicaPonta",Mercado_Receita!$N$2:$N$332)</f>
        <v>0</v>
      </c>
      <c r="Q22" s="14">
        <f>SUMIF(Mercado_Receita!$T$2:$T$332,"44562B2Energia horáriaRuralCooperativa de eletrificação ruralNão se aplicaNão se aplicaPonta",Mercado_Receita!$N$2:$N$332)</f>
        <v>0</v>
      </c>
      <c r="R22" s="14">
        <f>SUMIF(Mercado_Receita!$T$2:$T$332,"44593B2Energia horáriaRuralCooperativa de eletrificação ruralNão se aplicaNão se aplicaPonta",Mercado_Receita!$N$2:$N$332)</f>
        <v>0</v>
      </c>
      <c r="S22" s="14">
        <f>SUMIF(Mercado_Receita!$T$2:$T$332,"44621B2Energia horáriaRuralCooperativa de eletrificação ruralNão se aplicaNão se aplicaPonta",Mercado_Receita!$N$2:$N$332)</f>
        <v>0</v>
      </c>
      <c r="T22" s="14">
        <f>SUMIF(Mercado_Receita!$T$2:$T$332,"44652B2Energia horáriaRuralCooperativa de eletrificação ruralNão se aplicaNão se aplicaPonta",Mercado_Receita!$N$2:$N$332)</f>
        <v>0</v>
      </c>
      <c r="U22" s="14">
        <f t="shared" si="0"/>
        <v>0</v>
      </c>
      <c r="V22" s="14"/>
      <c r="W22" s="14"/>
    </row>
    <row r="23" spans="1:23" ht="11.25" customHeight="1" x14ac:dyDescent="0.25">
      <c r="A23" s="114"/>
      <c r="B23" s="114"/>
      <c r="C23" s="114"/>
      <c r="D23" s="114"/>
      <c r="E23" s="114"/>
      <c r="F23" s="114"/>
      <c r="G23" s="14" t="s">
        <v>83</v>
      </c>
      <c r="H23" s="14" t="s">
        <v>69</v>
      </c>
      <c r="I23" s="14">
        <f>SUMIF(Mercado_Receita!$T$2:$T$332,"44317B2Energia horáriaRuralCooperativa de eletrificação ruralNão se aplicaNão se aplicaIntermediário",Mercado_Receita!$N$2:$N$332)</f>
        <v>0</v>
      </c>
      <c r="J23" s="14">
        <f>SUMIF(Mercado_Receita!$T$2:$T$332,"44348B2Energia horáriaRuralCooperativa de eletrificação ruralNão se aplicaNão se aplicaIntermediário",Mercado_Receita!$N$2:$N$332)</f>
        <v>0</v>
      </c>
      <c r="K23" s="14">
        <f>SUMIF(Mercado_Receita!$T$2:$T$332,"44378B2Energia horáriaRuralCooperativa de eletrificação ruralNão se aplicaNão se aplicaIntermediário",Mercado_Receita!$N$2:$N$332)</f>
        <v>0</v>
      </c>
      <c r="L23" s="14">
        <f>SUMIF(Mercado_Receita!$T$2:$T$332,"44409B2Energia horáriaRuralCooperativa de eletrificação ruralNão se aplicaNão se aplicaIntermediário",Mercado_Receita!$N$2:$N$332)</f>
        <v>0</v>
      </c>
      <c r="M23" s="14">
        <f>SUMIF(Mercado_Receita!$T$2:$T$332,"44440B2Energia horáriaRuralCooperativa de eletrificação ruralNão se aplicaNão se aplicaIntermediário",Mercado_Receita!$N$2:$N$332)</f>
        <v>0</v>
      </c>
      <c r="N23" s="14">
        <f>SUMIF(Mercado_Receita!$T$2:$T$332,"44470B2Energia horáriaRuralCooperativa de eletrificação ruralNão se aplicaNão se aplicaIntermediário",Mercado_Receita!$N$2:$N$332)</f>
        <v>0</v>
      </c>
      <c r="O23" s="14">
        <f>SUMIF(Mercado_Receita!$T$2:$T$332,"44501B2Energia horáriaRuralCooperativa de eletrificação ruralNão se aplicaNão se aplicaIntermediário",Mercado_Receita!$N$2:$N$332)</f>
        <v>0</v>
      </c>
      <c r="P23" s="14">
        <f>SUMIF(Mercado_Receita!$T$2:$T$332,"44531B2Energia horáriaRuralCooperativa de eletrificação ruralNão se aplicaNão se aplicaIntermediário",Mercado_Receita!$N$2:$N$332)</f>
        <v>0</v>
      </c>
      <c r="Q23" s="14">
        <f>SUMIF(Mercado_Receita!$T$2:$T$332,"44562B2Energia horáriaRuralCooperativa de eletrificação ruralNão se aplicaNão se aplicaIntermediário",Mercado_Receita!$N$2:$N$332)</f>
        <v>0</v>
      </c>
      <c r="R23" s="14">
        <f>SUMIF(Mercado_Receita!$T$2:$T$332,"44593B2Energia horáriaRuralCooperativa de eletrificação ruralNão se aplicaNão se aplicaIntermediário",Mercado_Receita!$N$2:$N$332)</f>
        <v>0</v>
      </c>
      <c r="S23" s="14">
        <f>SUMIF(Mercado_Receita!$T$2:$T$332,"44621B2Energia horáriaRuralCooperativa de eletrificação ruralNão se aplicaNão se aplicaIntermediário",Mercado_Receita!$N$2:$N$332)</f>
        <v>0</v>
      </c>
      <c r="T23" s="14">
        <f>SUMIF(Mercado_Receita!$T$2:$T$332,"44652B2Energia horáriaRuralCooperativa de eletrificação ruralNão se aplicaNão se aplicaIntermediário",Mercado_Receita!$N$2:$N$332)</f>
        <v>0</v>
      </c>
      <c r="U23" s="14">
        <f t="shared" si="0"/>
        <v>0</v>
      </c>
      <c r="V23" s="14"/>
      <c r="W23" s="14"/>
    </row>
    <row r="24" spans="1:23" ht="11.25" customHeight="1" x14ac:dyDescent="0.25">
      <c r="A24" s="114"/>
      <c r="B24" s="114"/>
      <c r="C24" s="114"/>
      <c r="D24" s="114"/>
      <c r="E24" s="114"/>
      <c r="F24" s="114"/>
      <c r="G24" s="14" t="s">
        <v>71</v>
      </c>
      <c r="H24" s="14" t="s">
        <v>69</v>
      </c>
      <c r="I24" s="14">
        <f>SUMIF(Mercado_Receita!$T$2:$T$332,"44317B2Energia horáriaRuralCooperativa de eletrificação ruralNão se aplicaNão se aplicaFora ponta",Mercado_Receita!$N$2:$N$332)</f>
        <v>0</v>
      </c>
      <c r="J24" s="14">
        <f>SUMIF(Mercado_Receita!$T$2:$T$332,"44348B2Energia horáriaRuralCooperativa de eletrificação ruralNão se aplicaNão se aplicaFora ponta",Mercado_Receita!$N$2:$N$332)</f>
        <v>0</v>
      </c>
      <c r="K24" s="14">
        <f>SUMIF(Mercado_Receita!$T$2:$T$332,"44378B2Energia horáriaRuralCooperativa de eletrificação ruralNão se aplicaNão se aplicaFora ponta",Mercado_Receita!$N$2:$N$332)</f>
        <v>0</v>
      </c>
      <c r="L24" s="14">
        <f>SUMIF(Mercado_Receita!$T$2:$T$332,"44409B2Energia horáriaRuralCooperativa de eletrificação ruralNão se aplicaNão se aplicaFora ponta",Mercado_Receita!$N$2:$N$332)</f>
        <v>0</v>
      </c>
      <c r="M24" s="14">
        <f>SUMIF(Mercado_Receita!$T$2:$T$332,"44440B2Energia horáriaRuralCooperativa de eletrificação ruralNão se aplicaNão se aplicaFora ponta",Mercado_Receita!$N$2:$N$332)</f>
        <v>0</v>
      </c>
      <c r="N24" s="14">
        <f>SUMIF(Mercado_Receita!$T$2:$T$332,"44470B2Energia horáriaRuralCooperativa de eletrificação ruralNão se aplicaNão se aplicaFora ponta",Mercado_Receita!$N$2:$N$332)</f>
        <v>0</v>
      </c>
      <c r="O24" s="14">
        <f>SUMIF(Mercado_Receita!$T$2:$T$332,"44501B2Energia horáriaRuralCooperativa de eletrificação ruralNão se aplicaNão se aplicaFora ponta",Mercado_Receita!$N$2:$N$332)</f>
        <v>0</v>
      </c>
      <c r="P24" s="14">
        <f>SUMIF(Mercado_Receita!$T$2:$T$332,"44531B2Energia horáriaRuralCooperativa de eletrificação ruralNão se aplicaNão se aplicaFora ponta",Mercado_Receita!$N$2:$N$332)</f>
        <v>0</v>
      </c>
      <c r="Q24" s="14">
        <f>SUMIF(Mercado_Receita!$T$2:$T$332,"44562B2Energia horáriaRuralCooperativa de eletrificação ruralNão se aplicaNão se aplicaFora ponta",Mercado_Receita!$N$2:$N$332)</f>
        <v>0</v>
      </c>
      <c r="R24" s="14">
        <f>SUMIF(Mercado_Receita!$T$2:$T$332,"44593B2Energia horáriaRuralCooperativa de eletrificação ruralNão se aplicaNão se aplicaFora ponta",Mercado_Receita!$N$2:$N$332)</f>
        <v>0</v>
      </c>
      <c r="S24" s="14">
        <f>SUMIF(Mercado_Receita!$T$2:$T$332,"44621B2Energia horáriaRuralCooperativa de eletrificação ruralNão se aplicaNão se aplicaFora ponta",Mercado_Receita!$N$2:$N$332)</f>
        <v>0</v>
      </c>
      <c r="T24" s="14">
        <f>SUMIF(Mercado_Receita!$T$2:$T$332,"44652B2Energia horáriaRuralCooperativa de eletrificação ruralNão se aplicaNão se aplicaFora ponta",Mercado_Receita!$N$2:$N$332)</f>
        <v>0</v>
      </c>
      <c r="U24" s="14">
        <f t="shared" si="0"/>
        <v>0</v>
      </c>
      <c r="V24" s="14"/>
      <c r="W24" s="14"/>
    </row>
    <row r="25" spans="1:23" ht="11.25" customHeight="1" x14ac:dyDescent="0.25">
      <c r="A25" s="114"/>
      <c r="B25" s="13" t="s">
        <v>72</v>
      </c>
      <c r="C25" s="13" t="s">
        <v>42</v>
      </c>
      <c r="D25" s="13" t="s">
        <v>86</v>
      </c>
      <c r="E25" s="13" t="s">
        <v>25</v>
      </c>
      <c r="F25" s="13" t="s">
        <v>25</v>
      </c>
      <c r="G25" s="14" t="s">
        <v>73</v>
      </c>
      <c r="H25" s="14" t="s">
        <v>69</v>
      </c>
      <c r="I25" s="14">
        <f>SUMIF(Mercado_Receita!$T$2:$T$332,"44317B2Energia convencionalRuralCooperativa de eletrificação ruralNão se aplicaNão se aplicaNão se aplica",Mercado_Receita!$N$2:$N$332)</f>
        <v>0</v>
      </c>
      <c r="J25" s="14">
        <f>SUMIF(Mercado_Receita!$T$2:$T$332,"44348B2Energia convencionalRuralCooperativa de eletrificação ruralNão se aplicaNão se aplicaNão se aplica",Mercado_Receita!$N$2:$N$332)</f>
        <v>0</v>
      </c>
      <c r="K25" s="14">
        <f>SUMIF(Mercado_Receita!$T$2:$T$332,"44378B2Energia convencionalRuralCooperativa de eletrificação ruralNão se aplicaNão se aplicaNão se aplica",Mercado_Receita!$N$2:$N$332)</f>
        <v>0</v>
      </c>
      <c r="L25" s="14">
        <f>SUMIF(Mercado_Receita!$T$2:$T$332,"44409B2Energia convencionalRuralCooperativa de eletrificação ruralNão se aplicaNão se aplicaNão se aplica",Mercado_Receita!$N$2:$N$332)</f>
        <v>0</v>
      </c>
      <c r="M25" s="14">
        <f>SUMIF(Mercado_Receita!$T$2:$T$332,"44440B2Energia convencionalRuralCooperativa de eletrificação ruralNão se aplicaNão se aplicaNão se aplica",Mercado_Receita!$N$2:$N$332)</f>
        <v>0</v>
      </c>
      <c r="N25" s="14">
        <f>SUMIF(Mercado_Receita!$T$2:$T$332,"44470B2Energia convencionalRuralCooperativa de eletrificação ruralNão se aplicaNão se aplicaNão se aplica",Mercado_Receita!$N$2:$N$332)</f>
        <v>0</v>
      </c>
      <c r="O25" s="14">
        <f>SUMIF(Mercado_Receita!$T$2:$T$332,"44501B2Energia convencionalRuralCooperativa de eletrificação ruralNão se aplicaNão se aplicaNão se aplica",Mercado_Receita!$N$2:$N$332)</f>
        <v>0</v>
      </c>
      <c r="P25" s="14">
        <f>SUMIF(Mercado_Receita!$T$2:$T$332,"44531B2Energia convencionalRuralCooperativa de eletrificação ruralNão se aplicaNão se aplicaNão se aplica",Mercado_Receita!$N$2:$N$332)</f>
        <v>0</v>
      </c>
      <c r="Q25" s="14">
        <f>SUMIF(Mercado_Receita!$T$2:$T$332,"44562B2Energia convencionalRuralCooperativa de eletrificação ruralNão se aplicaNão se aplicaNão se aplica",Mercado_Receita!$N$2:$N$332)</f>
        <v>0</v>
      </c>
      <c r="R25" s="14">
        <f>SUMIF(Mercado_Receita!$T$2:$T$332,"44593B2Energia convencionalRuralCooperativa de eletrificação ruralNão se aplicaNão se aplicaNão se aplica",Mercado_Receita!$N$2:$N$332)</f>
        <v>0</v>
      </c>
      <c r="S25" s="14">
        <f>SUMIF(Mercado_Receita!$T$2:$T$332,"44621B2Energia convencionalRuralCooperativa de eletrificação ruralNão se aplicaNão se aplicaNão se aplica",Mercado_Receita!$N$2:$N$332)</f>
        <v>0</v>
      </c>
      <c r="T25" s="14">
        <f>SUMIF(Mercado_Receita!$T$2:$T$332,"44652B2Energia convencionalRuralCooperativa de eletrificação ruralNão se aplicaNão se aplicaNão se aplica",Mercado_Receita!$N$2:$N$332)</f>
        <v>0</v>
      </c>
      <c r="U25" s="14">
        <f t="shared" si="0"/>
        <v>0</v>
      </c>
      <c r="V25" s="14"/>
      <c r="W25" s="14"/>
    </row>
    <row r="26" spans="1:23" ht="11.25" customHeight="1" x14ac:dyDescent="0.25">
      <c r="A26" s="114"/>
      <c r="B26" s="113" t="s">
        <v>68</v>
      </c>
      <c r="C26" s="113" t="s">
        <v>42</v>
      </c>
      <c r="D26" s="113" t="s">
        <v>87</v>
      </c>
      <c r="E26" s="113" t="s">
        <v>25</v>
      </c>
      <c r="F26" s="113" t="s">
        <v>25</v>
      </c>
      <c r="G26" s="14" t="s">
        <v>70</v>
      </c>
      <c r="H26" s="14" t="s">
        <v>69</v>
      </c>
      <c r="I26" s="14">
        <f>SUMIF(Mercado_Receita!$T$2:$T$332,"44317B2Energia horáriaRuralServiço público de irrigação ruralNão se aplicaNão se aplicaPonta",Mercado_Receita!$N$2:$N$332)</f>
        <v>0</v>
      </c>
      <c r="J26" s="14">
        <f>SUMIF(Mercado_Receita!$T$2:$T$332,"44348B2Energia horáriaRuralServiço público de irrigação ruralNão se aplicaNão se aplicaPonta",Mercado_Receita!$N$2:$N$332)</f>
        <v>0</v>
      </c>
      <c r="K26" s="14">
        <f>SUMIF(Mercado_Receita!$T$2:$T$332,"44378B2Energia horáriaRuralServiço público de irrigação ruralNão se aplicaNão se aplicaPonta",Mercado_Receita!$N$2:$N$332)</f>
        <v>0</v>
      </c>
      <c r="L26" s="14">
        <f>SUMIF(Mercado_Receita!$T$2:$T$332,"44409B2Energia horáriaRuralServiço público de irrigação ruralNão se aplicaNão se aplicaPonta",Mercado_Receita!$N$2:$N$332)</f>
        <v>0</v>
      </c>
      <c r="M26" s="14">
        <f>SUMIF(Mercado_Receita!$T$2:$T$332,"44440B2Energia horáriaRuralServiço público de irrigação ruralNão se aplicaNão se aplicaPonta",Mercado_Receita!$N$2:$N$332)</f>
        <v>0</v>
      </c>
      <c r="N26" s="14">
        <f>SUMIF(Mercado_Receita!$T$2:$T$332,"44470B2Energia horáriaRuralServiço público de irrigação ruralNão se aplicaNão se aplicaPonta",Mercado_Receita!$N$2:$N$332)</f>
        <v>0</v>
      </c>
      <c r="O26" s="14">
        <f>SUMIF(Mercado_Receita!$T$2:$T$332,"44501B2Energia horáriaRuralServiço público de irrigação ruralNão se aplicaNão se aplicaPonta",Mercado_Receita!$N$2:$N$332)</f>
        <v>0</v>
      </c>
      <c r="P26" s="14">
        <f>SUMIF(Mercado_Receita!$T$2:$T$332,"44531B2Energia horáriaRuralServiço público de irrigação ruralNão se aplicaNão se aplicaPonta",Mercado_Receita!$N$2:$N$332)</f>
        <v>0</v>
      </c>
      <c r="Q26" s="14">
        <f>SUMIF(Mercado_Receita!$T$2:$T$332,"44562B2Energia horáriaRuralServiço público de irrigação ruralNão se aplicaNão se aplicaPonta",Mercado_Receita!$N$2:$N$332)</f>
        <v>0</v>
      </c>
      <c r="R26" s="14">
        <f>SUMIF(Mercado_Receita!$T$2:$T$332,"44593B2Energia horáriaRuralServiço público de irrigação ruralNão se aplicaNão se aplicaPonta",Mercado_Receita!$N$2:$N$332)</f>
        <v>0</v>
      </c>
      <c r="S26" s="14">
        <f>SUMIF(Mercado_Receita!$T$2:$T$332,"44621B2Energia horáriaRuralServiço público de irrigação ruralNão se aplicaNão se aplicaPonta",Mercado_Receita!$N$2:$N$332)</f>
        <v>0</v>
      </c>
      <c r="T26" s="14">
        <f>SUMIF(Mercado_Receita!$T$2:$T$332,"44652B2Energia horáriaRuralServiço público de irrigação ruralNão se aplicaNão se aplicaPonta",Mercado_Receita!$N$2:$N$332)</f>
        <v>0</v>
      </c>
      <c r="U26" s="14">
        <f t="shared" si="0"/>
        <v>0</v>
      </c>
      <c r="V26" s="14"/>
      <c r="W26" s="14"/>
    </row>
    <row r="27" spans="1:23" ht="11.25" customHeight="1" x14ac:dyDescent="0.25">
      <c r="A27" s="114"/>
      <c r="B27" s="114"/>
      <c r="C27" s="114"/>
      <c r="D27" s="114"/>
      <c r="E27" s="114"/>
      <c r="F27" s="114"/>
      <c r="G27" s="14" t="s">
        <v>83</v>
      </c>
      <c r="H27" s="14" t="s">
        <v>69</v>
      </c>
      <c r="I27" s="14">
        <f>SUMIF(Mercado_Receita!$T$2:$T$332,"44317B2Energia horáriaRuralServiço público de irrigação ruralNão se aplicaNão se aplicaIntermediário",Mercado_Receita!$N$2:$N$332)</f>
        <v>0</v>
      </c>
      <c r="J27" s="14">
        <f>SUMIF(Mercado_Receita!$T$2:$T$332,"44348B2Energia horáriaRuralServiço público de irrigação ruralNão se aplicaNão se aplicaIntermediário",Mercado_Receita!$N$2:$N$332)</f>
        <v>0</v>
      </c>
      <c r="K27" s="14">
        <f>SUMIF(Mercado_Receita!$T$2:$T$332,"44378B2Energia horáriaRuralServiço público de irrigação ruralNão se aplicaNão se aplicaIntermediário",Mercado_Receita!$N$2:$N$332)</f>
        <v>0</v>
      </c>
      <c r="L27" s="14">
        <f>SUMIF(Mercado_Receita!$T$2:$T$332,"44409B2Energia horáriaRuralServiço público de irrigação ruralNão se aplicaNão se aplicaIntermediário",Mercado_Receita!$N$2:$N$332)</f>
        <v>0</v>
      </c>
      <c r="M27" s="14">
        <f>SUMIF(Mercado_Receita!$T$2:$T$332,"44440B2Energia horáriaRuralServiço público de irrigação ruralNão se aplicaNão se aplicaIntermediário",Mercado_Receita!$N$2:$N$332)</f>
        <v>0</v>
      </c>
      <c r="N27" s="14">
        <f>SUMIF(Mercado_Receita!$T$2:$T$332,"44470B2Energia horáriaRuralServiço público de irrigação ruralNão se aplicaNão se aplicaIntermediário",Mercado_Receita!$N$2:$N$332)</f>
        <v>0</v>
      </c>
      <c r="O27" s="14">
        <f>SUMIF(Mercado_Receita!$T$2:$T$332,"44501B2Energia horáriaRuralServiço público de irrigação ruralNão se aplicaNão se aplicaIntermediário",Mercado_Receita!$N$2:$N$332)</f>
        <v>0</v>
      </c>
      <c r="P27" s="14">
        <f>SUMIF(Mercado_Receita!$T$2:$T$332,"44531B2Energia horáriaRuralServiço público de irrigação ruralNão se aplicaNão se aplicaIntermediário",Mercado_Receita!$N$2:$N$332)</f>
        <v>0</v>
      </c>
      <c r="Q27" s="14">
        <f>SUMIF(Mercado_Receita!$T$2:$T$332,"44562B2Energia horáriaRuralServiço público de irrigação ruralNão se aplicaNão se aplicaIntermediário",Mercado_Receita!$N$2:$N$332)</f>
        <v>0</v>
      </c>
      <c r="R27" s="14">
        <f>SUMIF(Mercado_Receita!$T$2:$T$332,"44593B2Energia horáriaRuralServiço público de irrigação ruralNão se aplicaNão se aplicaIntermediário",Mercado_Receita!$N$2:$N$332)</f>
        <v>0</v>
      </c>
      <c r="S27" s="14">
        <f>SUMIF(Mercado_Receita!$T$2:$T$332,"44621B2Energia horáriaRuralServiço público de irrigação ruralNão se aplicaNão se aplicaIntermediário",Mercado_Receita!$N$2:$N$332)</f>
        <v>0</v>
      </c>
      <c r="T27" s="14">
        <f>SUMIF(Mercado_Receita!$T$2:$T$332,"44652B2Energia horáriaRuralServiço público de irrigação ruralNão se aplicaNão se aplicaIntermediário",Mercado_Receita!$N$2:$N$332)</f>
        <v>0</v>
      </c>
      <c r="U27" s="14">
        <f t="shared" si="0"/>
        <v>0</v>
      </c>
      <c r="V27" s="14"/>
      <c r="W27" s="14"/>
    </row>
    <row r="28" spans="1:23" ht="11.25" customHeight="1" x14ac:dyDescent="0.25">
      <c r="A28" s="114"/>
      <c r="B28" s="114"/>
      <c r="C28" s="114"/>
      <c r="D28" s="114"/>
      <c r="E28" s="114"/>
      <c r="F28" s="114"/>
      <c r="G28" s="14" t="s">
        <v>71</v>
      </c>
      <c r="H28" s="14" t="s">
        <v>69</v>
      </c>
      <c r="I28" s="14">
        <f>SUMIF(Mercado_Receita!$T$2:$T$332,"44317B2Energia horáriaRuralServiço público de irrigação ruralNão se aplicaNão se aplicaFora ponta",Mercado_Receita!$N$2:$N$332)</f>
        <v>0</v>
      </c>
      <c r="J28" s="14">
        <f>SUMIF(Mercado_Receita!$T$2:$T$332,"44348B2Energia horáriaRuralServiço público de irrigação ruralNão se aplicaNão se aplicaFora ponta",Mercado_Receita!$N$2:$N$332)</f>
        <v>0</v>
      </c>
      <c r="K28" s="14">
        <f>SUMIF(Mercado_Receita!$T$2:$T$332,"44378B2Energia horáriaRuralServiço público de irrigação ruralNão se aplicaNão se aplicaFora ponta",Mercado_Receita!$N$2:$N$332)</f>
        <v>0</v>
      </c>
      <c r="L28" s="14">
        <f>SUMIF(Mercado_Receita!$T$2:$T$332,"44409B2Energia horáriaRuralServiço público de irrigação ruralNão se aplicaNão se aplicaFora ponta",Mercado_Receita!$N$2:$N$332)</f>
        <v>0</v>
      </c>
      <c r="M28" s="14">
        <f>SUMIF(Mercado_Receita!$T$2:$T$332,"44440B2Energia horáriaRuralServiço público de irrigação ruralNão se aplicaNão se aplicaFora ponta",Mercado_Receita!$N$2:$N$332)</f>
        <v>0</v>
      </c>
      <c r="N28" s="14">
        <f>SUMIF(Mercado_Receita!$T$2:$T$332,"44470B2Energia horáriaRuralServiço público de irrigação ruralNão se aplicaNão se aplicaFora ponta",Mercado_Receita!$N$2:$N$332)</f>
        <v>0</v>
      </c>
      <c r="O28" s="14">
        <f>SUMIF(Mercado_Receita!$T$2:$T$332,"44501B2Energia horáriaRuralServiço público de irrigação ruralNão se aplicaNão se aplicaFora ponta",Mercado_Receita!$N$2:$N$332)</f>
        <v>0</v>
      </c>
      <c r="P28" s="14">
        <f>SUMIF(Mercado_Receita!$T$2:$T$332,"44531B2Energia horáriaRuralServiço público de irrigação ruralNão se aplicaNão se aplicaFora ponta",Mercado_Receita!$N$2:$N$332)</f>
        <v>0</v>
      </c>
      <c r="Q28" s="14">
        <f>SUMIF(Mercado_Receita!$T$2:$T$332,"44562B2Energia horáriaRuralServiço público de irrigação ruralNão se aplicaNão se aplicaFora ponta",Mercado_Receita!$N$2:$N$332)</f>
        <v>0</v>
      </c>
      <c r="R28" s="14">
        <f>SUMIF(Mercado_Receita!$T$2:$T$332,"44593B2Energia horáriaRuralServiço público de irrigação ruralNão se aplicaNão se aplicaFora ponta",Mercado_Receita!$N$2:$N$332)</f>
        <v>0</v>
      </c>
      <c r="S28" s="14">
        <f>SUMIF(Mercado_Receita!$T$2:$T$332,"44621B2Energia horáriaRuralServiço público de irrigação ruralNão se aplicaNão se aplicaFora ponta",Mercado_Receita!$N$2:$N$332)</f>
        <v>0</v>
      </c>
      <c r="T28" s="14">
        <f>SUMIF(Mercado_Receita!$T$2:$T$332,"44652B2Energia horáriaRuralServiço público de irrigação ruralNão se aplicaNão se aplicaFora ponta",Mercado_Receita!$N$2:$N$332)</f>
        <v>0</v>
      </c>
      <c r="U28" s="14">
        <f t="shared" si="0"/>
        <v>0</v>
      </c>
      <c r="V28" s="14"/>
      <c r="W28" s="14"/>
    </row>
    <row r="29" spans="1:23" ht="11.25" customHeight="1" x14ac:dyDescent="0.25">
      <c r="A29" s="114"/>
      <c r="B29" s="13" t="s">
        <v>72</v>
      </c>
      <c r="C29" s="13" t="s">
        <v>42</v>
      </c>
      <c r="D29" s="13" t="s">
        <v>87</v>
      </c>
      <c r="E29" s="13" t="s">
        <v>25</v>
      </c>
      <c r="F29" s="13" t="s">
        <v>25</v>
      </c>
      <c r="G29" s="14" t="s">
        <v>73</v>
      </c>
      <c r="H29" s="14" t="s">
        <v>69</v>
      </c>
      <c r="I29" s="14">
        <f>SUMIF(Mercado_Receita!$T$2:$T$332,"44317B2Energia convencionalRuralServiço público de irrigação ruralNão se aplicaNão se aplicaNão se aplica",Mercado_Receita!$N$2:$N$332)</f>
        <v>0</v>
      </c>
      <c r="J29" s="14">
        <f>SUMIF(Mercado_Receita!$T$2:$T$332,"44348B2Energia convencionalRuralServiço público de irrigação ruralNão se aplicaNão se aplicaNão se aplica",Mercado_Receita!$N$2:$N$332)</f>
        <v>0</v>
      </c>
      <c r="K29" s="14">
        <f>SUMIF(Mercado_Receita!$T$2:$T$332,"44378B2Energia convencionalRuralServiço público de irrigação ruralNão se aplicaNão se aplicaNão se aplica",Mercado_Receita!$N$2:$N$332)</f>
        <v>0</v>
      </c>
      <c r="L29" s="14">
        <f>SUMIF(Mercado_Receita!$T$2:$T$332,"44409B2Energia convencionalRuralServiço público de irrigação ruralNão se aplicaNão se aplicaNão se aplica",Mercado_Receita!$N$2:$N$332)</f>
        <v>0</v>
      </c>
      <c r="M29" s="14">
        <f>SUMIF(Mercado_Receita!$T$2:$T$332,"44440B2Energia convencionalRuralServiço público de irrigação ruralNão se aplicaNão se aplicaNão se aplica",Mercado_Receita!$N$2:$N$332)</f>
        <v>0</v>
      </c>
      <c r="N29" s="14">
        <f>SUMIF(Mercado_Receita!$T$2:$T$332,"44470B2Energia convencionalRuralServiço público de irrigação ruralNão se aplicaNão se aplicaNão se aplica",Mercado_Receita!$N$2:$N$332)</f>
        <v>0</v>
      </c>
      <c r="O29" s="14">
        <f>SUMIF(Mercado_Receita!$T$2:$T$332,"44501B2Energia convencionalRuralServiço público de irrigação ruralNão se aplicaNão se aplicaNão se aplica",Mercado_Receita!$N$2:$N$332)</f>
        <v>0</v>
      </c>
      <c r="P29" s="14">
        <f>SUMIF(Mercado_Receita!$T$2:$T$332,"44531B2Energia convencionalRuralServiço público de irrigação ruralNão se aplicaNão se aplicaNão se aplica",Mercado_Receita!$N$2:$N$332)</f>
        <v>0</v>
      </c>
      <c r="Q29" s="14">
        <f>SUMIF(Mercado_Receita!$T$2:$T$332,"44562B2Energia convencionalRuralServiço público de irrigação ruralNão se aplicaNão se aplicaNão se aplica",Mercado_Receita!$N$2:$N$332)</f>
        <v>0</v>
      </c>
      <c r="R29" s="14">
        <f>SUMIF(Mercado_Receita!$T$2:$T$332,"44593B2Energia convencionalRuralServiço público de irrigação ruralNão se aplicaNão se aplicaNão se aplica",Mercado_Receita!$N$2:$N$332)</f>
        <v>0</v>
      </c>
      <c r="S29" s="14">
        <f>SUMIF(Mercado_Receita!$T$2:$T$332,"44621B2Energia convencionalRuralServiço público de irrigação ruralNão se aplicaNão se aplicaNão se aplica",Mercado_Receita!$N$2:$N$332)</f>
        <v>0</v>
      </c>
      <c r="T29" s="14">
        <f>SUMIF(Mercado_Receita!$T$2:$T$332,"44652B2Energia convencionalRuralServiço público de irrigação ruralNão se aplicaNão se aplicaNão se aplica",Mercado_Receita!$N$2:$N$332)</f>
        <v>0</v>
      </c>
      <c r="U29" s="14">
        <f t="shared" si="0"/>
        <v>0</v>
      </c>
      <c r="V29" s="14"/>
      <c r="W29" s="14"/>
    </row>
    <row r="30" spans="1:23" ht="11.25" customHeight="1" x14ac:dyDescent="0.25">
      <c r="A30" s="114"/>
      <c r="B30" s="113" t="s">
        <v>84</v>
      </c>
      <c r="C30" s="113" t="s">
        <v>42</v>
      </c>
      <c r="D30" s="13" t="s">
        <v>25</v>
      </c>
      <c r="E30" s="13" t="s">
        <v>25</v>
      </c>
      <c r="F30" s="13" t="s">
        <v>25</v>
      </c>
      <c r="G30" s="14" t="s">
        <v>73</v>
      </c>
      <c r="H30" s="14" t="s">
        <v>69</v>
      </c>
      <c r="I30" s="14">
        <f>SUMIF(Mercado_Receita!$T$2:$T$332,"44317B2Energia convencional pré-pagamentoRuralNão se aplicaNão se aplicaNão se aplicaNão se aplica",Mercado_Receita!$N$2:$N$332)</f>
        <v>0</v>
      </c>
      <c r="J30" s="14">
        <f>SUMIF(Mercado_Receita!$T$2:$T$332,"44348B2Energia convencional pré-pagamentoRuralNão se aplicaNão se aplicaNão se aplicaNão se aplica",Mercado_Receita!$N$2:$N$332)</f>
        <v>0</v>
      </c>
      <c r="K30" s="14">
        <f>SUMIF(Mercado_Receita!$T$2:$T$332,"44378B2Energia convencional pré-pagamentoRuralNão se aplicaNão se aplicaNão se aplicaNão se aplica",Mercado_Receita!$N$2:$N$332)</f>
        <v>0</v>
      </c>
      <c r="L30" s="14">
        <f>SUMIF(Mercado_Receita!$T$2:$T$332,"44409B2Energia convencional pré-pagamentoRuralNão se aplicaNão se aplicaNão se aplicaNão se aplica",Mercado_Receita!$N$2:$N$332)</f>
        <v>0</v>
      </c>
      <c r="M30" s="14">
        <f>SUMIF(Mercado_Receita!$T$2:$T$332,"44440B2Energia convencional pré-pagamentoRuralNão se aplicaNão se aplicaNão se aplicaNão se aplica",Mercado_Receita!$N$2:$N$332)</f>
        <v>0</v>
      </c>
      <c r="N30" s="14">
        <f>SUMIF(Mercado_Receita!$T$2:$T$332,"44470B2Energia convencional pré-pagamentoRuralNão se aplicaNão se aplicaNão se aplicaNão se aplica",Mercado_Receita!$N$2:$N$332)</f>
        <v>0</v>
      </c>
      <c r="O30" s="14">
        <f>SUMIF(Mercado_Receita!$T$2:$T$332,"44501B2Energia convencional pré-pagamentoRuralNão se aplicaNão se aplicaNão se aplicaNão se aplica",Mercado_Receita!$N$2:$N$332)</f>
        <v>0</v>
      </c>
      <c r="P30" s="14">
        <f>SUMIF(Mercado_Receita!$T$2:$T$332,"44531B2Energia convencional pré-pagamentoRuralNão se aplicaNão se aplicaNão se aplicaNão se aplica",Mercado_Receita!$N$2:$N$332)</f>
        <v>0</v>
      </c>
      <c r="Q30" s="14">
        <f>SUMIF(Mercado_Receita!$T$2:$T$332,"44562B2Energia convencional pré-pagamentoRuralNão se aplicaNão se aplicaNão se aplicaNão se aplica",Mercado_Receita!$N$2:$N$332)</f>
        <v>0</v>
      </c>
      <c r="R30" s="14">
        <f>SUMIF(Mercado_Receita!$T$2:$T$332,"44593B2Energia convencional pré-pagamentoRuralNão se aplicaNão se aplicaNão se aplicaNão se aplica",Mercado_Receita!$N$2:$N$332)</f>
        <v>0</v>
      </c>
      <c r="S30" s="14">
        <f>SUMIF(Mercado_Receita!$T$2:$T$332,"44621B2Energia convencional pré-pagamentoRuralNão se aplicaNão se aplicaNão se aplicaNão se aplica",Mercado_Receita!$N$2:$N$332)</f>
        <v>0</v>
      </c>
      <c r="T30" s="14">
        <f>SUMIF(Mercado_Receita!$T$2:$T$332,"44652B2Energia convencional pré-pagamentoRuralNão se aplicaNão se aplicaNão se aplicaNão se aplica",Mercado_Receita!$N$2:$N$332)</f>
        <v>0</v>
      </c>
      <c r="U30" s="14">
        <f t="shared" si="0"/>
        <v>0</v>
      </c>
      <c r="V30" s="14"/>
      <c r="W30" s="14"/>
    </row>
    <row r="31" spans="1:23" ht="11.25" customHeight="1" x14ac:dyDescent="0.25">
      <c r="A31" s="114"/>
      <c r="B31" s="114"/>
      <c r="C31" s="114"/>
      <c r="D31" s="13" t="s">
        <v>86</v>
      </c>
      <c r="E31" s="13" t="s">
        <v>25</v>
      </c>
      <c r="F31" s="13" t="s">
        <v>25</v>
      </c>
      <c r="G31" s="14" t="s">
        <v>73</v>
      </c>
      <c r="H31" s="14" t="s">
        <v>69</v>
      </c>
      <c r="I31" s="14">
        <f>SUMIF(Mercado_Receita!$T$2:$T$332,"44317B2Energia convencional pré-pagamentoRuralCooperativa de eletrificação ruralNão se aplicaNão se aplicaNão se aplica",Mercado_Receita!$N$2:$N$332)</f>
        <v>0</v>
      </c>
      <c r="J31" s="14">
        <f>SUMIF(Mercado_Receita!$T$2:$T$332,"44348B2Energia convencional pré-pagamentoRuralCooperativa de eletrificação ruralNão se aplicaNão se aplicaNão se aplica",Mercado_Receita!$N$2:$N$332)</f>
        <v>0</v>
      </c>
      <c r="K31" s="14">
        <f>SUMIF(Mercado_Receita!$T$2:$T$332,"44378B2Energia convencional pré-pagamentoRuralCooperativa de eletrificação ruralNão se aplicaNão se aplicaNão se aplica",Mercado_Receita!$N$2:$N$332)</f>
        <v>0</v>
      </c>
      <c r="L31" s="14">
        <f>SUMIF(Mercado_Receita!$T$2:$T$332,"44409B2Energia convencional pré-pagamentoRuralCooperativa de eletrificação ruralNão se aplicaNão se aplicaNão se aplica",Mercado_Receita!$N$2:$N$332)</f>
        <v>0</v>
      </c>
      <c r="M31" s="14">
        <f>SUMIF(Mercado_Receita!$T$2:$T$332,"44440B2Energia convencional pré-pagamentoRuralCooperativa de eletrificação ruralNão se aplicaNão se aplicaNão se aplica",Mercado_Receita!$N$2:$N$332)</f>
        <v>0</v>
      </c>
      <c r="N31" s="14">
        <f>SUMIF(Mercado_Receita!$T$2:$T$332,"44470B2Energia convencional pré-pagamentoRuralCooperativa de eletrificação ruralNão se aplicaNão se aplicaNão se aplica",Mercado_Receita!$N$2:$N$332)</f>
        <v>0</v>
      </c>
      <c r="O31" s="14">
        <f>SUMIF(Mercado_Receita!$T$2:$T$332,"44501B2Energia convencional pré-pagamentoRuralCooperativa de eletrificação ruralNão se aplicaNão se aplicaNão se aplica",Mercado_Receita!$N$2:$N$332)</f>
        <v>0</v>
      </c>
      <c r="P31" s="14">
        <f>SUMIF(Mercado_Receita!$T$2:$T$332,"44531B2Energia convencional pré-pagamentoRuralCooperativa de eletrificação ruralNão se aplicaNão se aplicaNão se aplica",Mercado_Receita!$N$2:$N$332)</f>
        <v>0</v>
      </c>
      <c r="Q31" s="14">
        <f>SUMIF(Mercado_Receita!$T$2:$T$332,"44562B2Energia convencional pré-pagamentoRuralCooperativa de eletrificação ruralNão se aplicaNão se aplicaNão se aplica",Mercado_Receita!$N$2:$N$332)</f>
        <v>0</v>
      </c>
      <c r="R31" s="14">
        <f>SUMIF(Mercado_Receita!$T$2:$T$332,"44593B2Energia convencional pré-pagamentoRuralCooperativa de eletrificação ruralNão se aplicaNão se aplicaNão se aplica",Mercado_Receita!$N$2:$N$332)</f>
        <v>0</v>
      </c>
      <c r="S31" s="14">
        <f>SUMIF(Mercado_Receita!$T$2:$T$332,"44621B2Energia convencional pré-pagamentoRuralCooperativa de eletrificação ruralNão se aplicaNão se aplicaNão se aplica",Mercado_Receita!$N$2:$N$332)</f>
        <v>0</v>
      </c>
      <c r="T31" s="14">
        <f>SUMIF(Mercado_Receita!$T$2:$T$332,"44652B2Energia convencional pré-pagamentoRuralCooperativa de eletrificação ruralNão se aplicaNão se aplicaNão se aplica",Mercado_Receita!$N$2:$N$332)</f>
        <v>0</v>
      </c>
      <c r="U31" s="14">
        <f t="shared" si="0"/>
        <v>0</v>
      </c>
      <c r="V31" s="14"/>
      <c r="W31" s="14"/>
    </row>
    <row r="32" spans="1:23" ht="11.25" customHeight="1" x14ac:dyDescent="0.25">
      <c r="A32" s="114"/>
      <c r="B32" s="114"/>
      <c r="C32" s="114"/>
      <c r="D32" s="13" t="s">
        <v>87</v>
      </c>
      <c r="E32" s="13" t="s">
        <v>25</v>
      </c>
      <c r="F32" s="13" t="s">
        <v>25</v>
      </c>
      <c r="G32" s="14" t="s">
        <v>73</v>
      </c>
      <c r="H32" s="14" t="s">
        <v>69</v>
      </c>
      <c r="I32" s="14">
        <f>SUMIF(Mercado_Receita!$T$2:$T$332,"44317B2Energia convencional pré-pagamentoRuralServiço público de irrigação ruralNão se aplicaNão se aplicaNão se aplica",Mercado_Receita!$N$2:$N$332)</f>
        <v>0</v>
      </c>
      <c r="J32" s="14">
        <f>SUMIF(Mercado_Receita!$T$2:$T$332,"44348B2Energia convencional pré-pagamentoRuralServiço público de irrigação ruralNão se aplicaNão se aplicaNão se aplica",Mercado_Receita!$N$2:$N$332)</f>
        <v>0</v>
      </c>
      <c r="K32" s="14">
        <f>SUMIF(Mercado_Receita!$T$2:$T$332,"44378B2Energia convencional pré-pagamentoRuralServiço público de irrigação ruralNão se aplicaNão se aplicaNão se aplica",Mercado_Receita!$N$2:$N$332)</f>
        <v>0</v>
      </c>
      <c r="L32" s="14">
        <f>SUMIF(Mercado_Receita!$T$2:$T$332,"44409B2Energia convencional pré-pagamentoRuralServiço público de irrigação ruralNão se aplicaNão se aplicaNão se aplica",Mercado_Receita!$N$2:$N$332)</f>
        <v>0</v>
      </c>
      <c r="M32" s="14">
        <f>SUMIF(Mercado_Receita!$T$2:$T$332,"44440B2Energia convencional pré-pagamentoRuralServiço público de irrigação ruralNão se aplicaNão se aplicaNão se aplica",Mercado_Receita!$N$2:$N$332)</f>
        <v>0</v>
      </c>
      <c r="N32" s="14">
        <f>SUMIF(Mercado_Receita!$T$2:$T$332,"44470B2Energia convencional pré-pagamentoRuralServiço público de irrigação ruralNão se aplicaNão se aplicaNão se aplica",Mercado_Receita!$N$2:$N$332)</f>
        <v>0</v>
      </c>
      <c r="O32" s="14">
        <f>SUMIF(Mercado_Receita!$T$2:$T$332,"44501B2Energia convencional pré-pagamentoRuralServiço público de irrigação ruralNão se aplicaNão se aplicaNão se aplica",Mercado_Receita!$N$2:$N$332)</f>
        <v>0</v>
      </c>
      <c r="P32" s="14">
        <f>SUMIF(Mercado_Receita!$T$2:$T$332,"44531B2Energia convencional pré-pagamentoRuralServiço público de irrigação ruralNão se aplicaNão se aplicaNão se aplica",Mercado_Receita!$N$2:$N$332)</f>
        <v>0</v>
      </c>
      <c r="Q32" s="14">
        <f>SUMIF(Mercado_Receita!$T$2:$T$332,"44562B2Energia convencional pré-pagamentoRuralServiço público de irrigação ruralNão se aplicaNão se aplicaNão se aplica",Mercado_Receita!$N$2:$N$332)</f>
        <v>0</v>
      </c>
      <c r="R32" s="14">
        <f>SUMIF(Mercado_Receita!$T$2:$T$332,"44593B2Energia convencional pré-pagamentoRuralServiço público de irrigação ruralNão se aplicaNão se aplicaNão se aplica",Mercado_Receita!$N$2:$N$332)</f>
        <v>0</v>
      </c>
      <c r="S32" s="14">
        <f>SUMIF(Mercado_Receita!$T$2:$T$332,"44621B2Energia convencional pré-pagamentoRuralServiço público de irrigação ruralNão se aplicaNão se aplicaNão se aplica",Mercado_Receita!$N$2:$N$332)</f>
        <v>0</v>
      </c>
      <c r="T32" s="14">
        <f>SUMIF(Mercado_Receita!$T$2:$T$332,"44652B2Energia convencional pré-pagamentoRuralServiço público de irrigação ruralNão se aplicaNão se aplicaNão se aplica",Mercado_Receita!$N$2:$N$332)</f>
        <v>0</v>
      </c>
      <c r="U32" s="14">
        <f t="shared" si="0"/>
        <v>0</v>
      </c>
      <c r="V32" s="14"/>
      <c r="W32" s="14"/>
    </row>
    <row r="33" spans="1:23" ht="11.25" customHeight="1" x14ac:dyDescent="0.25">
      <c r="A33" s="113" t="s">
        <v>32</v>
      </c>
      <c r="B33" s="113" t="s">
        <v>68</v>
      </c>
      <c r="C33" s="113" t="s">
        <v>25</v>
      </c>
      <c r="D33" s="113" t="s">
        <v>25</v>
      </c>
      <c r="E33" s="113" t="s">
        <v>25</v>
      </c>
      <c r="F33" s="113" t="s">
        <v>25</v>
      </c>
      <c r="G33" s="14" t="s">
        <v>70</v>
      </c>
      <c r="H33" s="14" t="s">
        <v>69</v>
      </c>
      <c r="I33" s="14">
        <f>SUMIF(Mercado_Receita!$T$2:$T$332,"44317B3Energia horáriaNão se aplicaNão se aplicaNão se aplicaNão se aplicaPonta",Mercado_Receita!$N$2:$N$332)</f>
        <v>8.9999999999999993E-3</v>
      </c>
      <c r="J33" s="14">
        <f>SUMIF(Mercado_Receita!$T$2:$T$332,"44348B3Energia horáriaNão se aplicaNão se aplicaNão se aplicaNão se aplicaPonta",Mercado_Receita!$N$2:$N$332)</f>
        <v>1.2E-2</v>
      </c>
      <c r="K33" s="14">
        <f>SUMIF(Mercado_Receita!$T$2:$T$332,"44378B3Energia horáriaNão se aplicaNão se aplicaNão se aplicaNão se aplicaPonta",Mercado_Receita!$N$2:$N$332)</f>
        <v>1.4E-2</v>
      </c>
      <c r="L33" s="14">
        <f>SUMIF(Mercado_Receita!$T$2:$T$332,"44409B3Energia horáriaNão se aplicaNão se aplicaNão se aplicaNão se aplicaPonta",Mercado_Receita!$N$2:$N$332)</f>
        <v>1.4999999999999999E-2</v>
      </c>
      <c r="M33" s="14">
        <f>SUMIF(Mercado_Receita!$T$2:$T$332,"44440B3Energia horáriaNão se aplicaNão se aplicaNão se aplicaNão se aplicaPonta",Mercado_Receita!$N$2:$N$332)</f>
        <v>1.2E-2</v>
      </c>
      <c r="N33" s="14">
        <f>SUMIF(Mercado_Receita!$T$2:$T$332,"44470B3Energia horáriaNão se aplicaNão se aplicaNão se aplicaNão se aplicaPonta",Mercado_Receita!$N$2:$N$332)</f>
        <v>1.2999999999999999E-2</v>
      </c>
      <c r="O33" s="14">
        <f>SUMIF(Mercado_Receita!$T$2:$T$332,"44501B3Energia horáriaNão se aplicaNão se aplicaNão se aplicaNão se aplicaPonta",Mercado_Receita!$N$2:$N$332)</f>
        <v>1.2E-2</v>
      </c>
      <c r="P33" s="14">
        <f>SUMIF(Mercado_Receita!$T$2:$T$332,"44531B3Energia horáriaNão se aplicaNão se aplicaNão se aplicaNão se aplicaPonta",Mercado_Receita!$N$2:$N$332)</f>
        <v>1.7000000000000001E-2</v>
      </c>
      <c r="Q33" s="14">
        <f>SUMIF(Mercado_Receita!$T$2:$T$332,"44562B3Energia horáriaNão se aplicaNão se aplicaNão se aplicaNão se aplicaPonta",Mercado_Receita!$N$2:$N$332)</f>
        <v>7.0000000000000001E-3</v>
      </c>
      <c r="R33" s="14">
        <f>SUMIF(Mercado_Receita!$T$2:$T$332,"44593B3Energia horáriaNão se aplicaNão se aplicaNão se aplicaNão se aplicaPonta",Mercado_Receita!$N$2:$N$332)</f>
        <v>5.0000000000000001E-3</v>
      </c>
      <c r="S33" s="14">
        <f>SUMIF(Mercado_Receita!$T$2:$T$332,"44621B3Energia horáriaNão se aplicaNão se aplicaNão se aplicaNão se aplicaPonta",Mercado_Receita!$N$2:$N$332)</f>
        <v>1.2E-2</v>
      </c>
      <c r="T33" s="14">
        <f>SUMIF(Mercado_Receita!$T$2:$T$332,"44652B3Energia horáriaNão se aplicaNão se aplicaNão se aplicaNão se aplicaPonta",Mercado_Receita!$N$2:$N$332)</f>
        <v>8.0000000000000002E-3</v>
      </c>
      <c r="U33" s="14">
        <f t="shared" si="0"/>
        <v>0.13600000000000001</v>
      </c>
      <c r="V33" s="14"/>
      <c r="W33" s="14"/>
    </row>
    <row r="34" spans="1:23" ht="11.25" customHeight="1" x14ac:dyDescent="0.25">
      <c r="A34" s="114"/>
      <c r="B34" s="114"/>
      <c r="C34" s="114"/>
      <c r="D34" s="114"/>
      <c r="E34" s="114"/>
      <c r="F34" s="114"/>
      <c r="G34" s="14" t="s">
        <v>83</v>
      </c>
      <c r="H34" s="14" t="s">
        <v>69</v>
      </c>
      <c r="I34" s="14">
        <f>SUMIF(Mercado_Receita!$T$2:$T$332,"44317B3Energia horáriaNão se aplicaNão se aplicaNão se aplicaNão se aplicaIntermediário",Mercado_Receita!$N$2:$N$332)</f>
        <v>1.0999999999999999E-2</v>
      </c>
      <c r="J34" s="14">
        <f>SUMIF(Mercado_Receita!$T$2:$T$332,"44348B3Energia horáriaNão se aplicaNão se aplicaNão se aplicaNão se aplicaIntermediário",Mercado_Receita!$N$2:$N$332)</f>
        <v>8.9999999999999993E-3</v>
      </c>
      <c r="K34" s="14">
        <f>SUMIF(Mercado_Receita!$T$2:$T$332,"44378B3Energia horáriaNão se aplicaNão se aplicaNão se aplicaNão se aplicaIntermediário",Mercado_Receita!$N$2:$N$332)</f>
        <v>1.9E-2</v>
      </c>
      <c r="L34" s="14">
        <f>SUMIF(Mercado_Receita!$T$2:$T$332,"44409B3Energia horáriaNão se aplicaNão se aplicaNão se aplicaNão se aplicaIntermediário",Mercado_Receita!$N$2:$N$332)</f>
        <v>1.2999999999999999E-2</v>
      </c>
      <c r="M34" s="14">
        <f>SUMIF(Mercado_Receita!$T$2:$T$332,"44440B3Energia horáriaNão se aplicaNão se aplicaNão se aplicaNão se aplicaIntermediário",Mercado_Receita!$N$2:$N$332)</f>
        <v>1.2E-2</v>
      </c>
      <c r="N34" s="14">
        <f>SUMIF(Mercado_Receita!$T$2:$T$332,"44470B3Energia horáriaNão se aplicaNão se aplicaNão se aplicaNão se aplicaIntermediário",Mercado_Receita!$N$2:$N$332)</f>
        <v>1.0999999999999999E-2</v>
      </c>
      <c r="O34" s="14">
        <f>SUMIF(Mercado_Receita!$T$2:$T$332,"44501B3Energia horáriaNão se aplicaNão se aplicaNão se aplicaNão se aplicaIntermediário",Mercado_Receita!$N$2:$N$332)</f>
        <v>1.9E-2</v>
      </c>
      <c r="P34" s="14">
        <f>SUMIF(Mercado_Receita!$T$2:$T$332,"44531B3Energia horáriaNão se aplicaNão se aplicaNão se aplicaNão se aplicaIntermediário",Mercado_Receita!$N$2:$N$332)</f>
        <v>0.02</v>
      </c>
      <c r="Q34" s="14">
        <f>SUMIF(Mercado_Receita!$T$2:$T$332,"44562B3Energia horáriaNão se aplicaNão se aplicaNão se aplicaNão se aplicaIntermediário",Mercado_Receita!$N$2:$N$332)</f>
        <v>1.2999999999999999E-2</v>
      </c>
      <c r="R34" s="14">
        <f>SUMIF(Mercado_Receita!$T$2:$T$332,"44593B3Energia horáriaNão se aplicaNão se aplicaNão se aplicaNão se aplicaIntermediário",Mercado_Receita!$N$2:$N$332)</f>
        <v>1.2E-2</v>
      </c>
      <c r="S34" s="14">
        <f>SUMIF(Mercado_Receita!$T$2:$T$332,"44621B3Energia horáriaNão se aplicaNão se aplicaNão se aplicaNão se aplicaIntermediário",Mercado_Receita!$N$2:$N$332)</f>
        <v>1.4E-2</v>
      </c>
      <c r="T34" s="14">
        <f>SUMIF(Mercado_Receita!$T$2:$T$332,"44652B3Energia horáriaNão se aplicaNão se aplicaNão se aplicaNão se aplicaIntermediário",Mercado_Receita!$N$2:$N$332)</f>
        <v>1.0999999999999999E-2</v>
      </c>
      <c r="U34" s="14">
        <f t="shared" si="0"/>
        <v>0.16400000000000003</v>
      </c>
      <c r="V34" s="14"/>
      <c r="W34" s="14"/>
    </row>
    <row r="35" spans="1:23" ht="11.25" customHeight="1" x14ac:dyDescent="0.25">
      <c r="A35" s="114"/>
      <c r="B35" s="114"/>
      <c r="C35" s="114"/>
      <c r="D35" s="114"/>
      <c r="E35" s="114"/>
      <c r="F35" s="114"/>
      <c r="G35" s="14" t="s">
        <v>71</v>
      </c>
      <c r="H35" s="14" t="s">
        <v>69</v>
      </c>
      <c r="I35" s="14">
        <f>SUMIF(Mercado_Receita!$T$2:$T$332,"44317B3Energia horáriaNão se aplicaNão se aplicaNão se aplicaNão se aplicaFora ponta",Mercado_Receita!$N$2:$N$332)</f>
        <v>0.32700000000000001</v>
      </c>
      <c r="J35" s="14">
        <f>SUMIF(Mercado_Receita!$T$2:$T$332,"44348B3Energia horáriaNão se aplicaNão se aplicaNão se aplicaNão se aplicaFora ponta",Mercado_Receita!$N$2:$N$332)</f>
        <v>0.25700000000000001</v>
      </c>
      <c r="K35" s="14">
        <f>SUMIF(Mercado_Receita!$T$2:$T$332,"44378B3Energia horáriaNão se aplicaNão se aplicaNão se aplicaNão se aplicaFora ponta",Mercado_Receita!$N$2:$N$332)</f>
        <v>0.34399999999999997</v>
      </c>
      <c r="L35" s="14">
        <f>SUMIF(Mercado_Receita!$T$2:$T$332,"44409B3Energia horáriaNão se aplicaNão se aplicaNão se aplicaNão se aplicaFora ponta",Mercado_Receita!$N$2:$N$332)</f>
        <v>0.47299999999999998</v>
      </c>
      <c r="M35" s="14">
        <f>SUMIF(Mercado_Receita!$T$2:$T$332,"44440B3Energia horáriaNão se aplicaNão se aplicaNão se aplicaNão se aplicaFora ponta",Mercado_Receita!$N$2:$N$332)</f>
        <v>0.52200000000000002</v>
      </c>
      <c r="N35" s="14">
        <f>SUMIF(Mercado_Receita!$T$2:$T$332,"44470B3Energia horáriaNão se aplicaNão se aplicaNão se aplicaNão se aplicaFora ponta",Mercado_Receita!$N$2:$N$332)</f>
        <v>0.501</v>
      </c>
      <c r="O35" s="14">
        <f>SUMIF(Mercado_Receita!$T$2:$T$332,"44501B3Energia horáriaNão se aplicaNão se aplicaNão se aplicaNão se aplicaFora ponta",Mercado_Receita!$N$2:$N$332)</f>
        <v>0.53900000000000003</v>
      </c>
      <c r="P35" s="14">
        <f>SUMIF(Mercado_Receita!$T$2:$T$332,"44531B3Energia horáriaNão se aplicaNão se aplicaNão se aplicaNão se aplicaFora ponta",Mercado_Receita!$N$2:$N$332)</f>
        <v>0.56599999999999995</v>
      </c>
      <c r="Q35" s="14">
        <f>SUMIF(Mercado_Receita!$T$2:$T$332,"44562B3Energia horáriaNão se aplicaNão se aplicaNão se aplicaNão se aplicaFora ponta",Mercado_Receita!$N$2:$N$332)</f>
        <v>0.39500000000000002</v>
      </c>
      <c r="R35" s="14">
        <f>SUMIF(Mercado_Receita!$T$2:$T$332,"44593B3Energia horáriaNão se aplicaNão se aplicaNão se aplicaNão se aplicaFora ponta",Mercado_Receita!$N$2:$N$332)</f>
        <v>0.35899999999999999</v>
      </c>
      <c r="S35" s="14">
        <f>SUMIF(Mercado_Receita!$T$2:$T$332,"44621B3Energia horáriaNão se aplicaNão se aplicaNão se aplicaNão se aplicaFora ponta",Mercado_Receita!$N$2:$N$332)</f>
        <v>0.41099999999999998</v>
      </c>
      <c r="T35" s="14">
        <f>SUMIF(Mercado_Receita!$T$2:$T$332,"44652B3Energia horáriaNão se aplicaNão se aplicaNão se aplicaNão se aplicaFora ponta",Mercado_Receita!$N$2:$N$332)</f>
        <v>0.378</v>
      </c>
      <c r="U35" s="14">
        <f t="shared" si="0"/>
        <v>5.0719999999999992</v>
      </c>
      <c r="V35" s="14"/>
      <c r="W35" s="14"/>
    </row>
    <row r="36" spans="1:23" ht="11.25" customHeight="1" x14ac:dyDescent="0.25">
      <c r="A36" s="114"/>
      <c r="B36" s="13" t="s">
        <v>72</v>
      </c>
      <c r="C36" s="13" t="s">
        <v>25</v>
      </c>
      <c r="D36" s="13" t="s">
        <v>25</v>
      </c>
      <c r="E36" s="13" t="s">
        <v>25</v>
      </c>
      <c r="F36" s="13" t="s">
        <v>25</v>
      </c>
      <c r="G36" s="14" t="s">
        <v>73</v>
      </c>
      <c r="H36" s="14" t="s">
        <v>69</v>
      </c>
      <c r="I36" s="14">
        <f>SUMIF(Mercado_Receita!$T$2:$T$332,"44317B3Energia convencionalNão se aplicaNão se aplicaNão se aplicaNão se aplicaNão se aplica",Mercado_Receita!$N$2:$N$332)</f>
        <v>146.35399999999998</v>
      </c>
      <c r="J36" s="14">
        <f>SUMIF(Mercado_Receita!$T$2:$T$332,"44348B3Energia convencionalNão se aplicaNão se aplicaNão se aplicaNão se aplicaNão se aplica",Mercado_Receita!$N$2:$N$332)</f>
        <v>141.184</v>
      </c>
      <c r="K36" s="14">
        <f>SUMIF(Mercado_Receita!$T$2:$T$332,"44378B3Energia convencionalNão se aplicaNão se aplicaNão se aplicaNão se aplicaNão se aplica",Mercado_Receita!$N$2:$N$332)</f>
        <v>137.56</v>
      </c>
      <c r="L36" s="14">
        <f>SUMIF(Mercado_Receita!$T$2:$T$332,"44409B3Energia convencionalNão se aplicaNão se aplicaNão se aplicaNão se aplicaNão se aplica",Mercado_Receita!$N$2:$N$332)</f>
        <v>133.22899999999998</v>
      </c>
      <c r="M36" s="14">
        <f>SUMIF(Mercado_Receita!$T$2:$T$332,"44440B3Energia convencionalNão se aplicaNão se aplicaNão se aplicaNão se aplicaNão se aplica",Mercado_Receita!$N$2:$N$332)</f>
        <v>145.09199999999998</v>
      </c>
      <c r="N36" s="14">
        <f>SUMIF(Mercado_Receita!$T$2:$T$332,"44470B3Energia convencionalNão se aplicaNão se aplicaNão se aplicaNão se aplicaNão se aplica",Mercado_Receita!$N$2:$N$332)</f>
        <v>140.17700000000002</v>
      </c>
      <c r="O36" s="14">
        <f>SUMIF(Mercado_Receita!$T$2:$T$332,"44501B3Energia convencionalNão se aplicaNão se aplicaNão se aplicaNão se aplicaNão se aplica",Mercado_Receita!$N$2:$N$332)</f>
        <v>164.37</v>
      </c>
      <c r="P36" s="14">
        <f>SUMIF(Mercado_Receita!$T$2:$T$332,"44531B3Energia convencionalNão se aplicaNão se aplicaNão se aplicaNão se aplicaNão se aplica",Mercado_Receita!$N$2:$N$332)</f>
        <v>161.24700000000001</v>
      </c>
      <c r="Q36" s="14">
        <f>SUMIF(Mercado_Receita!$T$2:$T$332,"44562B3Energia convencionalNão se aplicaNão se aplicaNão se aplicaNão se aplicaNão se aplica",Mercado_Receita!$N$2:$N$332)</f>
        <v>152.13999999999999</v>
      </c>
      <c r="R36" s="14">
        <f>SUMIF(Mercado_Receita!$T$2:$T$332,"44593B3Energia convencionalNão se aplicaNão se aplicaNão se aplicaNão se aplicaNão se aplica",Mercado_Receita!$N$2:$N$332)</f>
        <v>145.59899999999999</v>
      </c>
      <c r="S36" s="14">
        <f>SUMIF(Mercado_Receita!$T$2:$T$332,"44621B3Energia convencionalNão se aplicaNão se aplicaNão se aplicaNão se aplicaNão se aplica",Mercado_Receita!$N$2:$N$332)</f>
        <v>159.203</v>
      </c>
      <c r="T36" s="14">
        <f>SUMIF(Mercado_Receita!$T$2:$T$332,"44652B3Energia convencionalNão se aplicaNão se aplicaNão se aplicaNão se aplicaNão se aplica",Mercado_Receita!$N$2:$N$332)</f>
        <v>165.267</v>
      </c>
      <c r="U36" s="14">
        <f t="shared" si="0"/>
        <v>1791.422</v>
      </c>
      <c r="V36" s="14"/>
      <c r="W36" s="14"/>
    </row>
    <row r="37" spans="1:23" ht="11.25" customHeight="1" x14ac:dyDescent="0.25">
      <c r="A37" s="114"/>
      <c r="B37" s="13" t="s">
        <v>84</v>
      </c>
      <c r="C37" s="13" t="s">
        <v>25</v>
      </c>
      <c r="D37" s="13" t="s">
        <v>25</v>
      </c>
      <c r="E37" s="13" t="s">
        <v>25</v>
      </c>
      <c r="F37" s="13" t="s">
        <v>25</v>
      </c>
      <c r="G37" s="14" t="s">
        <v>73</v>
      </c>
      <c r="H37" s="14" t="s">
        <v>69</v>
      </c>
      <c r="I37" s="14">
        <f>SUMIF(Mercado_Receita!$T$2:$T$332,"44317B3Energia convencional pré-pagamentoNão se aplicaNão se aplicaNão se aplicaNão se aplicaNão se aplica",Mercado_Receita!$N$2:$N$332)</f>
        <v>0</v>
      </c>
      <c r="J37" s="14">
        <f>SUMIF(Mercado_Receita!$T$2:$T$332,"44348B3Energia convencional pré-pagamentoNão se aplicaNão se aplicaNão se aplicaNão se aplicaNão se aplica",Mercado_Receita!$N$2:$N$332)</f>
        <v>0</v>
      </c>
      <c r="K37" s="14">
        <f>SUMIF(Mercado_Receita!$T$2:$T$332,"44378B3Energia convencional pré-pagamentoNão se aplicaNão se aplicaNão se aplicaNão se aplicaNão se aplica",Mercado_Receita!$N$2:$N$332)</f>
        <v>0</v>
      </c>
      <c r="L37" s="14">
        <f>SUMIF(Mercado_Receita!$T$2:$T$332,"44409B3Energia convencional pré-pagamentoNão se aplicaNão se aplicaNão se aplicaNão se aplicaNão se aplica",Mercado_Receita!$N$2:$N$332)</f>
        <v>0</v>
      </c>
      <c r="M37" s="14">
        <f>SUMIF(Mercado_Receita!$T$2:$T$332,"44440B3Energia convencional pré-pagamentoNão se aplicaNão se aplicaNão se aplicaNão se aplicaNão se aplica",Mercado_Receita!$N$2:$N$332)</f>
        <v>0</v>
      </c>
      <c r="N37" s="14">
        <f>SUMIF(Mercado_Receita!$T$2:$T$332,"44470B3Energia convencional pré-pagamentoNão se aplicaNão se aplicaNão se aplicaNão se aplicaNão se aplica",Mercado_Receita!$N$2:$N$332)</f>
        <v>0</v>
      </c>
      <c r="O37" s="14">
        <f>SUMIF(Mercado_Receita!$T$2:$T$332,"44501B3Energia convencional pré-pagamentoNão se aplicaNão se aplicaNão se aplicaNão se aplicaNão se aplica",Mercado_Receita!$N$2:$N$332)</f>
        <v>0</v>
      </c>
      <c r="P37" s="14">
        <f>SUMIF(Mercado_Receita!$T$2:$T$332,"44531B3Energia convencional pré-pagamentoNão se aplicaNão se aplicaNão se aplicaNão se aplicaNão se aplica",Mercado_Receita!$N$2:$N$332)</f>
        <v>0</v>
      </c>
      <c r="Q37" s="14">
        <f>SUMIF(Mercado_Receita!$T$2:$T$332,"44562B3Energia convencional pré-pagamentoNão se aplicaNão se aplicaNão se aplicaNão se aplicaNão se aplica",Mercado_Receita!$N$2:$N$332)</f>
        <v>0</v>
      </c>
      <c r="R37" s="14">
        <f>SUMIF(Mercado_Receita!$T$2:$T$332,"44593B3Energia convencional pré-pagamentoNão se aplicaNão se aplicaNão se aplicaNão se aplicaNão se aplica",Mercado_Receita!$N$2:$N$332)</f>
        <v>0</v>
      </c>
      <c r="S37" s="14">
        <f>SUMIF(Mercado_Receita!$T$2:$T$332,"44621B3Energia convencional pré-pagamentoNão se aplicaNão se aplicaNão se aplicaNão se aplicaNão se aplica",Mercado_Receita!$N$2:$N$332)</f>
        <v>0</v>
      </c>
      <c r="T37" s="14">
        <f>SUMIF(Mercado_Receita!$T$2:$T$332,"44652B3Energia convencional pré-pagamentoNão se aplicaNão se aplicaNão se aplicaNão se aplicaNão se aplica",Mercado_Receita!$N$2:$N$332)</f>
        <v>0</v>
      </c>
      <c r="U37" s="14">
        <f t="shared" si="0"/>
        <v>0</v>
      </c>
      <c r="V37" s="14"/>
      <c r="W37" s="14"/>
    </row>
    <row r="38" spans="1:23" ht="11.25" customHeight="1" x14ac:dyDescent="0.25">
      <c r="A38" s="113" t="s">
        <v>44</v>
      </c>
      <c r="B38" s="113" t="s">
        <v>72</v>
      </c>
      <c r="C38" s="113" t="s">
        <v>45</v>
      </c>
      <c r="D38" s="13" t="s">
        <v>46</v>
      </c>
      <c r="E38" s="13" t="s">
        <v>25</v>
      </c>
      <c r="F38" s="13" t="s">
        <v>25</v>
      </c>
      <c r="G38" s="14" t="s">
        <v>73</v>
      </c>
      <c r="H38" s="14" t="s">
        <v>69</v>
      </c>
      <c r="I38" s="14">
        <f>SUMIF(Mercado_Receita!$T$2:$T$332,"44317B4Energia convencionalIluminação públicaIluminação pública – B4aNão se aplicaNão se aplicaNão se aplica",Mercado_Receita!$N$2:$N$332)</f>
        <v>132.27799999999999</v>
      </c>
      <c r="J38" s="14">
        <f>SUMIF(Mercado_Receita!$T$2:$T$332,"44348B4Energia convencionalIluminação públicaIluminação pública – B4aNão se aplicaNão se aplicaNão se aplica",Mercado_Receita!$N$2:$N$332)</f>
        <v>124.815</v>
      </c>
      <c r="K38" s="14">
        <f>SUMIF(Mercado_Receita!$T$2:$T$332,"44378B4Energia convencionalIluminação públicaIluminação pública – B4aNão se aplicaNão se aplicaNão se aplica",Mercado_Receita!$N$2:$N$332)</f>
        <v>135.209</v>
      </c>
      <c r="L38" s="14">
        <f>SUMIF(Mercado_Receita!$T$2:$T$332,"44409B4Energia convencionalIluminação públicaIluminação pública – B4aNão se aplicaNão se aplicaNão se aplica",Mercado_Receita!$N$2:$N$332)</f>
        <v>127.328</v>
      </c>
      <c r="M38" s="14">
        <f>SUMIF(Mercado_Receita!$T$2:$T$332,"44440B4Energia convencionalIluminação públicaIluminação pública – B4aNão se aplicaNão se aplicaNão se aplica",Mercado_Receita!$N$2:$N$332)</f>
        <v>127.422</v>
      </c>
      <c r="N38" s="14">
        <f>SUMIF(Mercado_Receita!$T$2:$T$332,"44470B4Energia convencionalIluminação públicaIluminação pública – B4aNão se aplicaNão se aplicaNão se aplica",Mercado_Receita!$N$2:$N$332)</f>
        <v>129.19499999999999</v>
      </c>
      <c r="O38" s="14">
        <f>SUMIF(Mercado_Receita!$T$2:$T$332,"44501B4Energia convencionalIluminação públicaIluminação pública – B4aNão se aplicaNão se aplicaNão se aplica",Mercado_Receita!$N$2:$N$332)</f>
        <v>122.45399999999999</v>
      </c>
      <c r="P38" s="14">
        <f>SUMIF(Mercado_Receita!$T$2:$T$332,"44531B4Energia convencionalIluminação públicaIluminação pública – B4aNão se aplicaNão se aplicaNão se aplica",Mercado_Receita!$N$2:$N$332)</f>
        <v>128.922</v>
      </c>
      <c r="Q38" s="14">
        <f>SUMIF(Mercado_Receita!$T$2:$T$332,"44562B4Energia convencionalIluminação públicaIluminação pública – B4aNão se aplicaNão se aplicaNão se aplica",Mercado_Receita!$N$2:$N$332)</f>
        <v>132.09399999999999</v>
      </c>
      <c r="R38" s="14">
        <f>SUMIF(Mercado_Receita!$T$2:$T$332,"44593B4Energia convencionalIluminação públicaIluminação pública – B4aNão se aplicaNão se aplicaNão se aplica",Mercado_Receita!$N$2:$N$332)</f>
        <v>114.63</v>
      </c>
      <c r="S38" s="14">
        <f>SUMIF(Mercado_Receita!$T$2:$T$332,"44621B4Energia convencionalIluminação públicaIluminação pública – B4aNão se aplicaNão se aplicaNão se aplica",Mercado_Receita!$N$2:$N$332)</f>
        <v>127.53400000000001</v>
      </c>
      <c r="T38" s="14">
        <f>SUMIF(Mercado_Receita!$T$2:$T$332,"44652B4Energia convencionalIluminação públicaIluminação pública – B4aNão se aplicaNão se aplicaNão se aplica",Mercado_Receita!$N$2:$N$332)</f>
        <v>116.187</v>
      </c>
      <c r="U38" s="14">
        <f t="shared" si="0"/>
        <v>1518.0680000000002</v>
      </c>
      <c r="V38" s="14"/>
      <c r="W38" s="14"/>
    </row>
    <row r="39" spans="1:23" ht="11.25" customHeight="1" x14ac:dyDescent="0.25">
      <c r="A39" s="114"/>
      <c r="B39" s="114"/>
      <c r="C39" s="114"/>
      <c r="D39" s="14" t="s">
        <v>88</v>
      </c>
      <c r="E39" s="14" t="s">
        <v>25</v>
      </c>
      <c r="F39" s="14" t="s">
        <v>25</v>
      </c>
      <c r="G39" s="14" t="s">
        <v>73</v>
      </c>
      <c r="H39" s="14" t="s">
        <v>69</v>
      </c>
      <c r="I39" s="14">
        <f>SUMIF(Mercado_Receita!$T$2:$T$332,"44317B4Energia convencionalIluminação públicaIluminação pública – B4bNão se aplicaNão se aplicaNão se aplica",Mercado_Receita!$N$2:$N$332)</f>
        <v>0</v>
      </c>
      <c r="J39" s="14">
        <f>SUMIF(Mercado_Receita!$T$2:$T$332,"44348B4Energia convencionalIluminação públicaIluminação pública – B4bNão se aplicaNão se aplicaNão se aplica",Mercado_Receita!$N$2:$N$332)</f>
        <v>0</v>
      </c>
      <c r="K39" s="14">
        <f>SUMIF(Mercado_Receita!$T$2:$T$332,"44378B4Energia convencionalIluminação públicaIluminação pública – B4bNão se aplicaNão se aplicaNão se aplica",Mercado_Receita!$N$2:$N$332)</f>
        <v>0</v>
      </c>
      <c r="L39" s="14">
        <f>SUMIF(Mercado_Receita!$T$2:$T$332,"44409B4Energia convencionalIluminação públicaIluminação pública – B4bNão se aplicaNão se aplicaNão se aplica",Mercado_Receita!$N$2:$N$332)</f>
        <v>0</v>
      </c>
      <c r="M39" s="14">
        <f>SUMIF(Mercado_Receita!$T$2:$T$332,"44440B4Energia convencionalIluminação públicaIluminação pública – B4bNão se aplicaNão se aplicaNão se aplica",Mercado_Receita!$N$2:$N$332)</f>
        <v>0</v>
      </c>
      <c r="N39" s="14">
        <f>SUMIF(Mercado_Receita!$T$2:$T$332,"44470B4Energia convencionalIluminação públicaIluminação pública – B4bNão se aplicaNão se aplicaNão se aplica",Mercado_Receita!$N$2:$N$332)</f>
        <v>0</v>
      </c>
      <c r="O39" s="14">
        <f>SUMIF(Mercado_Receita!$T$2:$T$332,"44501B4Energia convencionalIluminação públicaIluminação pública – B4bNão se aplicaNão se aplicaNão se aplica",Mercado_Receita!$N$2:$N$332)</f>
        <v>0</v>
      </c>
      <c r="P39" s="14">
        <f>SUMIF(Mercado_Receita!$T$2:$T$332,"44531B4Energia convencionalIluminação públicaIluminação pública – B4bNão se aplicaNão se aplicaNão se aplica",Mercado_Receita!$N$2:$N$332)</f>
        <v>0</v>
      </c>
      <c r="Q39" s="14">
        <f>SUMIF(Mercado_Receita!$T$2:$T$332,"44562B4Energia convencionalIluminação públicaIluminação pública – B4bNão se aplicaNão se aplicaNão se aplica",Mercado_Receita!$N$2:$N$332)</f>
        <v>0</v>
      </c>
      <c r="R39" s="14">
        <f>SUMIF(Mercado_Receita!$T$2:$T$332,"44593B4Energia convencionalIluminação públicaIluminação pública – B4bNão se aplicaNão se aplicaNão se aplica",Mercado_Receita!$N$2:$N$332)</f>
        <v>0</v>
      </c>
      <c r="S39" s="14">
        <f>SUMIF(Mercado_Receita!$T$2:$T$332,"44621B4Energia convencionalIluminação públicaIluminação pública – B4bNão se aplicaNão se aplicaNão se aplica",Mercado_Receita!$N$2:$N$332)</f>
        <v>0</v>
      </c>
      <c r="T39" s="14">
        <f>SUMIF(Mercado_Receita!$T$2:$T$332,"44652B4Energia convencionalIluminação públicaIluminação pública – B4bNão se aplicaNão se aplicaNão se aplica",Mercado_Receita!$N$2:$N$332)</f>
        <v>0</v>
      </c>
      <c r="U39" s="14">
        <f t="shared" si="0"/>
        <v>0</v>
      </c>
      <c r="V39" s="14"/>
      <c r="W39" s="14"/>
    </row>
    <row r="40" spans="1:23" ht="11.25" customHeight="1" x14ac:dyDescent="0.25">
      <c r="A40" s="115" t="s">
        <v>507</v>
      </c>
      <c r="B40" s="116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4"/>
      <c r="W40" s="14"/>
    </row>
  </sheetData>
  <mergeCells count="44">
    <mergeCell ref="A38:A39"/>
    <mergeCell ref="B38:B39"/>
    <mergeCell ref="C38:C39"/>
    <mergeCell ref="A40:U40"/>
    <mergeCell ref="C30:C32"/>
    <mergeCell ref="B30:B32"/>
    <mergeCell ref="A18:A32"/>
    <mergeCell ref="F33:F35"/>
    <mergeCell ref="E33:E35"/>
    <mergeCell ref="D33:D35"/>
    <mergeCell ref="C33:C35"/>
    <mergeCell ref="B33:B35"/>
    <mergeCell ref="A33:A37"/>
    <mergeCell ref="F22:F24"/>
    <mergeCell ref="E22:E24"/>
    <mergeCell ref="D22:D24"/>
    <mergeCell ref="C22:C24"/>
    <mergeCell ref="B22:B24"/>
    <mergeCell ref="F26:F28"/>
    <mergeCell ref="E26:E28"/>
    <mergeCell ref="D26:D28"/>
    <mergeCell ref="C26:C28"/>
    <mergeCell ref="B26:B28"/>
    <mergeCell ref="C13:C17"/>
    <mergeCell ref="B13:B17"/>
    <mergeCell ref="A5:A17"/>
    <mergeCell ref="F18:F20"/>
    <mergeCell ref="E18:E20"/>
    <mergeCell ref="D18:D20"/>
    <mergeCell ref="C18:C20"/>
    <mergeCell ref="B18:B20"/>
    <mergeCell ref="F5:F7"/>
    <mergeCell ref="E5:E7"/>
    <mergeCell ref="D5:D7"/>
    <mergeCell ref="C5:C7"/>
    <mergeCell ref="B5:B7"/>
    <mergeCell ref="C8:C12"/>
    <mergeCell ref="B8:B12"/>
    <mergeCell ref="A2:A4"/>
    <mergeCell ref="F2:F3"/>
    <mergeCell ref="E2:E3"/>
    <mergeCell ref="D2:D3"/>
    <mergeCell ref="C2:C3"/>
    <mergeCell ref="B2:B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B71B4-2C14-41CA-A8B7-1B39A0D423D6}">
  <dimension ref="A1:AD200"/>
  <sheetViews>
    <sheetView showGridLines="0" topLeftCell="A36" workbookViewId="0">
      <selection activeCell="L48" sqref="L48:M51"/>
    </sheetView>
  </sheetViews>
  <sheetFormatPr defaultRowHeight="12" customHeight="1" x14ac:dyDescent="0.2"/>
  <cols>
    <col min="1" max="1" width="10.5703125" style="16" bestFit="1" customWidth="1"/>
    <col min="2" max="2" width="14.42578125" style="16" bestFit="1" customWidth="1"/>
    <col min="3" max="3" width="18.42578125" style="16" bestFit="1" customWidth="1"/>
    <col min="4" max="4" width="15" style="16" bestFit="1" customWidth="1"/>
    <col min="5" max="5" width="14.5703125" style="16" bestFit="1" customWidth="1"/>
    <col min="6" max="6" width="4.42578125" style="16" bestFit="1" customWidth="1"/>
    <col min="7" max="11" width="9.140625" style="16"/>
    <col min="12" max="12" width="34.140625" style="16" bestFit="1" customWidth="1"/>
    <col min="13" max="13" width="10" style="16" bestFit="1" customWidth="1"/>
    <col min="14" max="14" width="36.140625" style="16" bestFit="1" customWidth="1"/>
    <col min="15" max="15" width="30.7109375" style="16" customWidth="1"/>
    <col min="16" max="16" width="13.140625" style="16" bestFit="1" customWidth="1"/>
    <col min="17" max="17" width="9.28515625" style="16" bestFit="1" customWidth="1"/>
    <col min="18" max="18" width="9.42578125" style="16" bestFit="1" customWidth="1"/>
    <col min="19" max="19" width="12.5703125" style="16" bestFit="1" customWidth="1"/>
    <col min="20" max="20" width="15.42578125" style="16" bestFit="1" customWidth="1"/>
    <col min="21" max="21" width="10.85546875" style="16" bestFit="1" customWidth="1"/>
    <col min="22" max="22" width="13.28515625" style="16" bestFit="1" customWidth="1"/>
    <col min="23" max="23" width="5" style="16" bestFit="1" customWidth="1"/>
    <col min="24" max="24" width="48.85546875" style="16" bestFit="1" customWidth="1"/>
    <col min="25" max="26" width="5" style="16" bestFit="1" customWidth="1"/>
    <col min="27" max="27" width="2" style="16" bestFit="1" customWidth="1"/>
    <col min="28" max="16384" width="9.140625" style="16"/>
  </cols>
  <sheetData>
    <row r="1" spans="1:30" ht="12" customHeight="1" x14ac:dyDescent="0.2">
      <c r="A1" s="10" t="s">
        <v>546</v>
      </c>
      <c r="B1" s="10" t="s">
        <v>547</v>
      </c>
      <c r="C1" s="10" t="s">
        <v>548</v>
      </c>
      <c r="D1" s="10" t="s">
        <v>549</v>
      </c>
      <c r="E1" s="10" t="s">
        <v>550</v>
      </c>
      <c r="F1" s="10" t="s">
        <v>551</v>
      </c>
      <c r="G1" s="7"/>
      <c r="H1" s="7"/>
      <c r="I1" s="7"/>
      <c r="J1" s="7"/>
      <c r="K1" s="7"/>
      <c r="L1" s="124" t="s">
        <v>552</v>
      </c>
      <c r="M1" s="124"/>
      <c r="N1" s="7"/>
      <c r="O1" s="119" t="s">
        <v>639</v>
      </c>
      <c r="P1" s="120"/>
      <c r="Q1" s="120"/>
      <c r="R1" s="120"/>
      <c r="S1" s="120"/>
      <c r="T1" s="120"/>
      <c r="U1" s="120"/>
      <c r="V1" s="7"/>
      <c r="W1" s="7"/>
      <c r="X1" s="7"/>
      <c r="Y1" s="7"/>
      <c r="Z1" s="7"/>
      <c r="AA1" s="7"/>
      <c r="AB1" s="7"/>
      <c r="AC1" s="7"/>
      <c r="AD1" s="7"/>
    </row>
    <row r="2" spans="1:30" ht="12" customHeight="1" x14ac:dyDescent="0.2">
      <c r="A2" s="125" t="s">
        <v>508</v>
      </c>
      <c r="B2" s="125" t="s">
        <v>509</v>
      </c>
      <c r="C2" s="18" t="s">
        <v>593</v>
      </c>
      <c r="D2" s="15">
        <v>0</v>
      </c>
      <c r="E2" s="15"/>
      <c r="F2" s="15"/>
      <c r="G2" s="17"/>
      <c r="H2" s="17"/>
      <c r="I2" s="17"/>
      <c r="J2" s="17"/>
      <c r="K2" s="17"/>
      <c r="L2" s="32" t="s">
        <v>553</v>
      </c>
      <c r="M2" s="79">
        <v>0.21260000000000001</v>
      </c>
      <c r="N2" s="17"/>
      <c r="O2" s="44" t="s">
        <v>640</v>
      </c>
      <c r="P2" s="44" t="s">
        <v>641</v>
      </c>
      <c r="Q2" s="44" t="s">
        <v>642</v>
      </c>
      <c r="R2" s="44" t="s">
        <v>34</v>
      </c>
      <c r="S2" s="44" t="s">
        <v>643</v>
      </c>
      <c r="T2" s="44" t="s">
        <v>80</v>
      </c>
      <c r="U2" s="44"/>
      <c r="V2" s="17"/>
      <c r="W2" s="17"/>
      <c r="X2" s="32" t="s">
        <v>606</v>
      </c>
      <c r="Y2" s="17"/>
      <c r="Z2" s="17"/>
      <c r="AA2" s="17" t="s">
        <v>651</v>
      </c>
      <c r="AB2" s="17"/>
      <c r="AC2" s="17"/>
      <c r="AD2" s="17"/>
    </row>
    <row r="3" spans="1:30" ht="12" customHeight="1" x14ac:dyDescent="0.2">
      <c r="A3" s="126"/>
      <c r="B3" s="126"/>
      <c r="C3" s="18" t="s">
        <v>510</v>
      </c>
      <c r="D3" s="15">
        <v>22294.131810006256</v>
      </c>
      <c r="E3" s="15">
        <v>-878.65841579449477</v>
      </c>
      <c r="F3" s="15">
        <v>0</v>
      </c>
      <c r="G3" s="17"/>
      <c r="H3" s="17"/>
      <c r="I3" s="17"/>
      <c r="J3" s="17"/>
      <c r="K3" s="17"/>
      <c r="L3" s="32" t="s">
        <v>554</v>
      </c>
      <c r="M3" s="79"/>
      <c r="N3" s="17"/>
      <c r="O3" s="45">
        <v>1</v>
      </c>
      <c r="P3" s="45">
        <v>1</v>
      </c>
      <c r="Q3" s="45">
        <v>1</v>
      </c>
      <c r="R3" s="45">
        <v>1</v>
      </c>
      <c r="S3" s="45">
        <v>1</v>
      </c>
      <c r="T3" s="45">
        <v>1</v>
      </c>
      <c r="U3" s="45" t="s">
        <v>644</v>
      </c>
      <c r="V3" s="17"/>
      <c r="W3" s="17"/>
      <c r="X3" s="32" t="s">
        <v>607</v>
      </c>
      <c r="Y3" s="17"/>
      <c r="Z3" s="17"/>
      <c r="AA3" s="17">
        <v>0</v>
      </c>
      <c r="AB3" s="17"/>
      <c r="AC3" s="17"/>
      <c r="AD3" s="17"/>
    </row>
    <row r="4" spans="1:30" ht="12" customHeight="1" x14ac:dyDescent="0.2">
      <c r="A4" s="126"/>
      <c r="B4" s="126"/>
      <c r="C4" s="18" t="s">
        <v>511</v>
      </c>
      <c r="D4" s="15">
        <f>$M$22-D$30</f>
        <v>0</v>
      </c>
      <c r="E4" s="15">
        <f>IF((D4+D$30)&lt;&gt;0,$M$20*D4/(D4+D$30),0)</f>
        <v>0</v>
      </c>
      <c r="F4" s="15">
        <f>IF((D4+D$30)&lt;&gt;0,$M$21*D4/(D4+D$30),0)</f>
        <v>0</v>
      </c>
      <c r="G4" s="17"/>
      <c r="H4" s="17"/>
      <c r="I4" s="17"/>
      <c r="J4" s="17"/>
      <c r="K4" s="17"/>
      <c r="L4" s="32" t="s">
        <v>555</v>
      </c>
      <c r="M4" s="79">
        <v>0.14660863250101475</v>
      </c>
      <c r="N4" s="17"/>
      <c r="O4" s="45">
        <v>1</v>
      </c>
      <c r="P4" s="45">
        <v>1</v>
      </c>
      <c r="Q4" s="45">
        <v>1</v>
      </c>
      <c r="R4" s="45">
        <v>1</v>
      </c>
      <c r="S4" s="45">
        <v>1</v>
      </c>
      <c r="T4" s="45">
        <v>1</v>
      </c>
      <c r="U4" s="45" t="s">
        <v>79</v>
      </c>
      <c r="V4" s="17"/>
      <c r="W4" s="17"/>
      <c r="X4" s="17"/>
      <c r="Y4" s="17"/>
      <c r="Z4" s="17"/>
      <c r="AA4" s="17"/>
      <c r="AB4" s="17"/>
      <c r="AC4" s="17"/>
      <c r="AD4" s="17"/>
    </row>
    <row r="5" spans="1:30" ht="12" customHeight="1" x14ac:dyDescent="0.2">
      <c r="A5" s="126"/>
      <c r="B5" s="126"/>
      <c r="C5" s="18" t="s">
        <v>512</v>
      </c>
      <c r="D5" s="15">
        <v>0</v>
      </c>
      <c r="E5" s="15"/>
      <c r="F5" s="15"/>
      <c r="G5" s="17"/>
      <c r="H5" s="17"/>
      <c r="I5" s="17"/>
      <c r="J5" s="17"/>
      <c r="K5" s="17"/>
      <c r="L5" s="32" t="s">
        <v>556</v>
      </c>
      <c r="M5" s="79">
        <v>1E-14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</row>
    <row r="6" spans="1:30" ht="12" customHeight="1" x14ac:dyDescent="0.2">
      <c r="A6" s="126"/>
      <c r="B6" s="126"/>
      <c r="C6" s="18" t="s">
        <v>513</v>
      </c>
      <c r="D6" s="15">
        <v>0</v>
      </c>
      <c r="E6" s="15">
        <v>0</v>
      </c>
      <c r="F6" s="15">
        <v>0</v>
      </c>
      <c r="G6" s="17"/>
      <c r="H6" s="17"/>
      <c r="I6" s="17"/>
      <c r="J6" s="17"/>
      <c r="K6" s="17"/>
      <c r="L6" s="32" t="s">
        <v>557</v>
      </c>
      <c r="M6" s="79">
        <v>0</v>
      </c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</row>
    <row r="7" spans="1:30" ht="12" customHeight="1" x14ac:dyDescent="0.2">
      <c r="A7" s="126"/>
      <c r="B7" s="126"/>
      <c r="C7" s="18" t="s">
        <v>514</v>
      </c>
      <c r="D7" s="15">
        <v>326721.76126000017</v>
      </c>
      <c r="E7" s="15">
        <v>-2691.1137489444864</v>
      </c>
      <c r="F7" s="15">
        <v>0</v>
      </c>
      <c r="G7" s="17"/>
      <c r="H7" s="17"/>
      <c r="I7" s="17"/>
      <c r="J7" s="17"/>
      <c r="K7" s="17"/>
      <c r="L7" s="32" t="s">
        <v>558</v>
      </c>
      <c r="M7" s="32">
        <f>M8+M9+M10+M11</f>
        <v>1629.2540599999938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</row>
    <row r="8" spans="1:30" ht="12" customHeight="1" x14ac:dyDescent="0.2">
      <c r="A8" s="126"/>
      <c r="B8" s="126"/>
      <c r="C8" s="18" t="s">
        <v>515</v>
      </c>
      <c r="D8" s="15">
        <v>123162.64722000006</v>
      </c>
      <c r="E8" s="15">
        <v>-1175.0322466898426</v>
      </c>
      <c r="F8" s="15">
        <v>0</v>
      </c>
      <c r="G8" s="17"/>
      <c r="H8" s="17"/>
      <c r="I8" s="17"/>
      <c r="J8" s="17"/>
      <c r="K8" s="17"/>
      <c r="L8" s="80" t="s">
        <v>559</v>
      </c>
      <c r="M8" s="32">
        <v>1629.2540599999938</v>
      </c>
      <c r="N8" s="17"/>
      <c r="O8" s="32" t="s">
        <v>592</v>
      </c>
      <c r="P8" s="45">
        <v>0</v>
      </c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</row>
    <row r="9" spans="1:30" ht="12" customHeight="1" x14ac:dyDescent="0.2">
      <c r="A9" s="126"/>
      <c r="B9" s="126"/>
      <c r="C9" s="18" t="s">
        <v>516</v>
      </c>
      <c r="D9" s="15"/>
      <c r="E9" s="15"/>
      <c r="F9" s="15"/>
      <c r="G9" s="17"/>
      <c r="H9" s="17"/>
      <c r="I9" s="17"/>
      <c r="J9" s="17"/>
      <c r="K9" s="17"/>
      <c r="L9" s="81" t="s">
        <v>560</v>
      </c>
      <c r="M9" s="32">
        <v>0</v>
      </c>
      <c r="N9" s="17"/>
      <c r="O9" s="32" t="s">
        <v>597</v>
      </c>
      <c r="P9" s="45">
        <f>SUM(Mercado_Receita!$J$2:$J$332)</f>
        <v>1445</v>
      </c>
      <c r="Q9" s="45">
        <v>1445</v>
      </c>
      <c r="R9" s="45" t="str">
        <f>IF(ABS(P9-Q9)&gt;1,"ERRO BADNET","OK BADNET")</f>
        <v>OK BADNET</v>
      </c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</row>
    <row r="10" spans="1:30" ht="12" customHeight="1" x14ac:dyDescent="0.2">
      <c r="A10" s="126"/>
      <c r="B10" s="127"/>
      <c r="C10" s="18" t="s">
        <v>517</v>
      </c>
      <c r="D10" s="15">
        <f>SUM(D$2:D9)</f>
        <v>472178.54029000649</v>
      </c>
      <c r="E10" s="15">
        <f>SUM(E$2:E9)</f>
        <v>-4744.8044114288241</v>
      </c>
      <c r="F10" s="15">
        <f>SUM(F$2:F9)</f>
        <v>0</v>
      </c>
      <c r="G10" s="17"/>
      <c r="H10" s="17"/>
      <c r="I10" s="17"/>
      <c r="J10" s="17"/>
      <c r="K10" s="17"/>
      <c r="L10" s="80" t="s">
        <v>561</v>
      </c>
      <c r="M10" s="32">
        <v>0</v>
      </c>
      <c r="N10" s="17"/>
      <c r="O10" s="32" t="s">
        <v>598</v>
      </c>
      <c r="P10" s="45">
        <f>SUM(Mercado_Receita!$L$2:$L$332)</f>
        <v>11220.682999999999</v>
      </c>
      <c r="Q10" s="45">
        <v>11220.683000000001</v>
      </c>
      <c r="R10" s="45" t="str">
        <f>IF(ABS(P10-Q10)&gt;1,"ERRO BADNET","OK BADNET")</f>
        <v>OK BADNET</v>
      </c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</row>
    <row r="11" spans="1:30" ht="12" customHeight="1" x14ac:dyDescent="0.2">
      <c r="A11" s="126"/>
      <c r="B11" s="125" t="s">
        <v>518</v>
      </c>
      <c r="C11" s="18" t="s">
        <v>519</v>
      </c>
      <c r="D11" s="15">
        <v>0</v>
      </c>
      <c r="E11" s="15">
        <v>0</v>
      </c>
      <c r="F11" s="15">
        <f>IF((+$D$11+$D$12+$D$16+$D$17+$D$38)&lt;&gt;0,$M$19*$D$11/(+$D$11+$D$12+$D$16+$D$17+$D$38),0)</f>
        <v>0</v>
      </c>
      <c r="G11" s="17"/>
      <c r="H11" s="17"/>
      <c r="I11" s="17"/>
      <c r="J11" s="17"/>
      <c r="K11" s="17"/>
      <c r="L11" s="80" t="s">
        <v>562</v>
      </c>
      <c r="M11" s="32">
        <v>0</v>
      </c>
      <c r="N11" s="17"/>
      <c r="O11" s="32" t="s">
        <v>599</v>
      </c>
      <c r="P11" s="45">
        <f>SUM(Mercado_Receita!$N$2:$N$332)</f>
        <v>11220.682999999999</v>
      </c>
      <c r="Q11" s="45">
        <v>11220.683000000001</v>
      </c>
      <c r="R11" s="45" t="str">
        <f>IF(ABS(P11-Q11)&gt;1,"ERRO BADNET","OK BADNET")</f>
        <v>OK BADNET</v>
      </c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</row>
    <row r="12" spans="1:30" ht="12" customHeight="1" x14ac:dyDescent="0.2">
      <c r="A12" s="126"/>
      <c r="B12" s="126"/>
      <c r="C12" s="18" t="s">
        <v>520</v>
      </c>
      <c r="D12" s="15">
        <v>0</v>
      </c>
      <c r="E12" s="15">
        <v>0</v>
      </c>
      <c r="F12" s="15">
        <f>IF((+$D$11+$D$12+$D$16+$D$17+$D$38)&lt;&gt;0,$M$19*$D$12/(+$D$11+$D$12+$D$16+$D$17+$D$38),0)</f>
        <v>0</v>
      </c>
      <c r="G12" s="17"/>
      <c r="H12" s="17"/>
      <c r="I12" s="17"/>
      <c r="J12" s="17"/>
      <c r="K12" s="17"/>
      <c r="L12" s="32" t="s">
        <v>563</v>
      </c>
      <c r="M12" s="32">
        <v>12849.937059999998</v>
      </c>
      <c r="N12" s="17"/>
      <c r="O12" s="32" t="s">
        <v>600</v>
      </c>
      <c r="P12" s="45">
        <f>SUMIF('MERCADO TUSD'!$H$2:$H$48,"kW",'MERCADO TUSD'!$U$2:$U$48)</f>
        <v>1445</v>
      </c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</row>
    <row r="13" spans="1:30" ht="12" customHeight="1" x14ac:dyDescent="0.2">
      <c r="A13" s="126"/>
      <c r="B13" s="126"/>
      <c r="C13" s="18" t="s">
        <v>521</v>
      </c>
      <c r="D13" s="15">
        <f>-$M$51+0</f>
        <v>0</v>
      </c>
      <c r="E13" s="15"/>
      <c r="F13" s="15"/>
      <c r="G13" s="17"/>
      <c r="H13" s="17"/>
      <c r="I13" s="17"/>
      <c r="J13" s="17"/>
      <c r="K13" s="17"/>
      <c r="L13" s="32" t="s">
        <v>564</v>
      </c>
      <c r="M13" s="32">
        <v>158.70614807366212</v>
      </c>
      <c r="N13" s="17"/>
      <c r="O13" s="32" t="s">
        <v>601</v>
      </c>
      <c r="P13" s="45">
        <f>SUMIF('MERCADO TUSD'!$H$2:$H$48,"MWh",'MERCADO TUSD'!$U$2:$U$48)</f>
        <v>11220.683000000001</v>
      </c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 spans="1:30" ht="12" customHeight="1" x14ac:dyDescent="0.2">
      <c r="A14" s="126"/>
      <c r="B14" s="126"/>
      <c r="C14" s="18" t="s">
        <v>522</v>
      </c>
      <c r="D14" s="15"/>
      <c r="E14" s="15"/>
      <c r="F14" s="15"/>
      <c r="G14" s="17"/>
      <c r="H14" s="17"/>
      <c r="I14" s="17"/>
      <c r="J14" s="17"/>
      <c r="K14" s="17"/>
      <c r="L14" s="32" t="s">
        <v>565</v>
      </c>
      <c r="M14" s="32">
        <v>250.43822450731611</v>
      </c>
      <c r="N14" s="17"/>
      <c r="O14" s="32" t="s">
        <v>602</v>
      </c>
      <c r="P14" s="45">
        <f>SUMIF('MERCADO TE'!$H$2:$H$39,"MWh",'MERCADO TE'!$U$2:$U$39)</f>
        <v>11220.683000000001</v>
      </c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 spans="1:30" ht="12" customHeight="1" x14ac:dyDescent="0.2">
      <c r="A15" s="126"/>
      <c r="B15" s="126"/>
      <c r="C15" s="18" t="s">
        <v>523</v>
      </c>
      <c r="D15" s="15">
        <v>1447629.078219</v>
      </c>
      <c r="E15" s="15">
        <v>53063.032490582591</v>
      </c>
      <c r="F15" s="15">
        <v>0</v>
      </c>
      <c r="G15" s="17"/>
      <c r="H15" s="17"/>
      <c r="I15" s="17"/>
      <c r="J15" s="17"/>
      <c r="K15" s="17"/>
      <c r="L15" s="32" t="s">
        <v>566</v>
      </c>
      <c r="M15" s="32">
        <f>M14*M12</f>
        <v>3218115.4223371609</v>
      </c>
      <c r="N15" s="17"/>
      <c r="O15" s="32" t="s">
        <v>603</v>
      </c>
      <c r="P15" s="45" t="str">
        <f>IF(ABS(P9-P12)&gt;1,"ERRO","OK")</f>
        <v>OK</v>
      </c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ht="12" customHeight="1" x14ac:dyDescent="0.2">
      <c r="A16" s="126"/>
      <c r="B16" s="126"/>
      <c r="C16" s="18" t="s">
        <v>524</v>
      </c>
      <c r="D16" s="15">
        <v>0</v>
      </c>
      <c r="E16" s="15"/>
      <c r="F16" s="15">
        <f>IF((+$D$11+$D$12+$D$16+$D$17+$D$38)&lt;&gt;0,$M$19*$D$16/(+$D$11+$D$12+$D$16+$D$17+$D$38),0)</f>
        <v>0</v>
      </c>
      <c r="G16" s="17"/>
      <c r="H16" s="17"/>
      <c r="I16" s="17"/>
      <c r="J16" s="17"/>
      <c r="K16" s="17"/>
      <c r="L16" s="32" t="s">
        <v>567</v>
      </c>
      <c r="M16" s="32">
        <v>-154953.14839294582</v>
      </c>
      <c r="N16" s="17"/>
      <c r="O16" s="32" t="s">
        <v>604</v>
      </c>
      <c r="P16" s="45" t="str">
        <f>IF(ABS(P10-P13)&gt;1,"ERRO","OK")</f>
        <v>OK</v>
      </c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</row>
    <row r="17" spans="1:30" ht="12" customHeight="1" x14ac:dyDescent="0.2">
      <c r="A17" s="126"/>
      <c r="B17" s="126"/>
      <c r="C17" s="18" t="s">
        <v>525</v>
      </c>
      <c r="D17" s="15">
        <v>0</v>
      </c>
      <c r="E17" s="15"/>
      <c r="F17" s="15">
        <f>IF((+$D$11+$D$12+$D$16+$D$17+$D$38)&lt;&gt;0,$M$19*$D$17/(+$D$11+$D$12+$D$16+$D$17+$D$38),0)</f>
        <v>0</v>
      </c>
      <c r="G17" s="17"/>
      <c r="H17" s="17"/>
      <c r="I17" s="17"/>
      <c r="J17" s="17"/>
      <c r="K17" s="17"/>
      <c r="L17" s="32" t="s">
        <v>568</v>
      </c>
      <c r="M17" s="32">
        <v>0</v>
      </c>
      <c r="N17" s="17"/>
      <c r="O17" s="32" t="s">
        <v>605</v>
      </c>
      <c r="P17" s="45" t="str">
        <f>IF(ABS(P11-P14)&gt;1,"ERRO","OK")</f>
        <v>OK</v>
      </c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</row>
    <row r="18" spans="1:30" ht="12" customHeight="1" x14ac:dyDescent="0.2">
      <c r="A18" s="126"/>
      <c r="B18" s="127"/>
      <c r="C18" s="18" t="s">
        <v>517</v>
      </c>
      <c r="D18" s="15">
        <f>SUM(D$11:D17)</f>
        <v>1447629.078219</v>
      </c>
      <c r="E18" s="15">
        <f>SUM(E$11:E17)</f>
        <v>53063.032490582591</v>
      </c>
      <c r="F18" s="15">
        <f>SUM(F$11:F17)</f>
        <v>0</v>
      </c>
      <c r="G18" s="17"/>
      <c r="H18" s="17"/>
      <c r="I18" s="17"/>
      <c r="J18" s="17"/>
      <c r="K18" s="17"/>
      <c r="L18" s="32" t="s">
        <v>569</v>
      </c>
      <c r="M18" s="32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</row>
    <row r="19" spans="1:30" ht="12" customHeight="1" x14ac:dyDescent="0.2">
      <c r="A19" s="126"/>
      <c r="B19" s="125" t="s">
        <v>526</v>
      </c>
      <c r="C19" s="18" t="s">
        <v>527</v>
      </c>
      <c r="D19" s="15">
        <v>5374442.8200000003</v>
      </c>
      <c r="E19" s="15">
        <v>-1029915.1601314496</v>
      </c>
      <c r="F19" s="15">
        <v>0</v>
      </c>
      <c r="G19" s="17"/>
      <c r="H19" s="17"/>
      <c r="I19" s="17"/>
      <c r="J19" s="17"/>
      <c r="K19" s="17"/>
      <c r="L19" s="32" t="s">
        <v>570</v>
      </c>
      <c r="M19" s="32">
        <v>0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</row>
    <row r="20" spans="1:30" ht="12" customHeight="1" x14ac:dyDescent="0.2">
      <c r="A20" s="126"/>
      <c r="B20" s="127"/>
      <c r="C20" s="18" t="s">
        <v>517</v>
      </c>
      <c r="D20" s="15">
        <f>SUM(D$19:D19)</f>
        <v>5374442.8200000003</v>
      </c>
      <c r="E20" s="15">
        <f>SUM(E$19:E19)</f>
        <v>-1029915.1601314496</v>
      </c>
      <c r="F20" s="15">
        <f>SUM(F$19:F19)</f>
        <v>0</v>
      </c>
      <c r="G20" s="17"/>
      <c r="H20" s="17"/>
      <c r="I20" s="17"/>
      <c r="J20" s="17"/>
      <c r="K20" s="17"/>
      <c r="L20" s="32" t="s">
        <v>571</v>
      </c>
      <c r="M20" s="32">
        <v>0</v>
      </c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</row>
    <row r="21" spans="1:30" ht="12" customHeight="1" x14ac:dyDescent="0.2">
      <c r="A21" s="126"/>
      <c r="B21" s="125" t="s">
        <v>528</v>
      </c>
      <c r="C21" s="18" t="s">
        <v>529</v>
      </c>
      <c r="D21" s="15"/>
      <c r="E21" s="15">
        <f>IF($D$46&lt;&gt;0,(1-$D$45/$D$46)*0,0)+-9235.43018057695</f>
        <v>-9235.4301805769501</v>
      </c>
      <c r="F21" s="15"/>
      <c r="G21" s="17"/>
      <c r="H21" s="17"/>
      <c r="I21" s="17"/>
      <c r="J21" s="17"/>
      <c r="K21" s="17"/>
      <c r="L21" s="32" t="s">
        <v>572</v>
      </c>
      <c r="M21" s="32">
        <v>0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</row>
    <row r="22" spans="1:30" ht="12" customHeight="1" x14ac:dyDescent="0.2">
      <c r="A22" s="126"/>
      <c r="B22" s="126"/>
      <c r="C22" s="18" t="s">
        <v>530</v>
      </c>
      <c r="D22" s="15"/>
      <c r="E22" s="15"/>
      <c r="F22" s="15"/>
      <c r="G22" s="17"/>
      <c r="H22" s="17"/>
      <c r="I22" s="17"/>
      <c r="J22" s="17"/>
      <c r="K22" s="17"/>
      <c r="L22" s="32" t="s">
        <v>594</v>
      </c>
      <c r="M22" s="32">
        <v>0</v>
      </c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</row>
    <row r="23" spans="1:30" ht="12" customHeight="1" x14ac:dyDescent="0.2">
      <c r="A23" s="126"/>
      <c r="B23" s="127"/>
      <c r="C23" s="18" t="s">
        <v>517</v>
      </c>
      <c r="D23" s="15">
        <f>SUM(D$21:D22)</f>
        <v>0</v>
      </c>
      <c r="E23" s="15">
        <f>SUM(E$21:E22)</f>
        <v>-9235.4301805769501</v>
      </c>
      <c r="F23" s="15">
        <f>SUM(F$21:F22)</f>
        <v>0</v>
      </c>
      <c r="G23" s="17"/>
      <c r="H23" s="17"/>
      <c r="I23" s="17"/>
      <c r="J23" s="17"/>
      <c r="K23" s="17"/>
      <c r="L23" s="32" t="s">
        <v>573</v>
      </c>
      <c r="M23" s="32">
        <v>14</v>
      </c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</row>
    <row r="24" spans="1:30" ht="12" customHeight="1" x14ac:dyDescent="0.2">
      <c r="A24" s="126"/>
      <c r="B24" s="125" t="s">
        <v>531</v>
      </c>
      <c r="C24" s="18" t="s">
        <v>532</v>
      </c>
      <c r="D24" s="15">
        <f>$M$14*$M$8</f>
        <v>408027.49405773473</v>
      </c>
      <c r="E24" s="15">
        <f>$M$16*$M$8/$M$12</f>
        <v>-19646.636785082319</v>
      </c>
      <c r="F24" s="15">
        <f>$M$17*$M$8/$M$12</f>
        <v>0</v>
      </c>
      <c r="G24" s="17"/>
      <c r="H24" s="17"/>
      <c r="I24" s="17"/>
      <c r="J24" s="17"/>
      <c r="K24" s="17"/>
      <c r="L24" s="32" t="s">
        <v>574</v>
      </c>
      <c r="M24" s="32">
        <v>0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</row>
    <row r="25" spans="1:30" ht="12" customHeight="1" x14ac:dyDescent="0.2">
      <c r="A25" s="126"/>
      <c r="B25" s="126"/>
      <c r="C25" s="18" t="s">
        <v>533</v>
      </c>
      <c r="D25" s="15">
        <f>$M$14*$M$10</f>
        <v>0</v>
      </c>
      <c r="E25" s="15">
        <f>$M$16*$M$10/$M$12</f>
        <v>0</v>
      </c>
      <c r="F25" s="15">
        <f>$M$17*$M$10/$M$12</f>
        <v>0</v>
      </c>
      <c r="G25" s="17"/>
      <c r="H25" s="17"/>
      <c r="I25" s="17"/>
      <c r="J25" s="17"/>
      <c r="K25" s="17"/>
      <c r="L25" s="32" t="s">
        <v>575</v>
      </c>
      <c r="M25" s="32">
        <v>0</v>
      </c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</row>
    <row r="26" spans="1:30" ht="12" customHeight="1" x14ac:dyDescent="0.2">
      <c r="A26" s="126"/>
      <c r="B26" s="126"/>
      <c r="C26" s="18" t="s">
        <v>534</v>
      </c>
      <c r="D26" s="15">
        <f>$M$14*$M$9</f>
        <v>0</v>
      </c>
      <c r="E26" s="15">
        <f>$M$16*$M$9/$M$12</f>
        <v>0</v>
      </c>
      <c r="F26" s="15">
        <f>$M$17*$M$9/$M$12</f>
        <v>0</v>
      </c>
      <c r="G26" s="17"/>
      <c r="H26" s="17"/>
      <c r="I26" s="17"/>
      <c r="J26" s="17"/>
      <c r="K26" s="17"/>
      <c r="L26" s="32" t="s">
        <v>576</v>
      </c>
      <c r="M26" s="32">
        <v>0</v>
      </c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</row>
    <row r="27" spans="1:30" ht="12" customHeight="1" x14ac:dyDescent="0.2">
      <c r="A27" s="126"/>
      <c r="B27" s="126"/>
      <c r="C27" s="18" t="s">
        <v>535</v>
      </c>
      <c r="D27" s="15"/>
      <c r="E27" s="15"/>
      <c r="F27" s="15"/>
      <c r="G27" s="17"/>
      <c r="H27" s="17"/>
      <c r="I27" s="17"/>
      <c r="J27" s="17"/>
      <c r="K27" s="17"/>
      <c r="L27" s="32" t="s">
        <v>577</v>
      </c>
      <c r="M27" s="32">
        <v>0</v>
      </c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</row>
    <row r="28" spans="1:30" ht="12" customHeight="1" x14ac:dyDescent="0.2">
      <c r="A28" s="126"/>
      <c r="B28" s="127"/>
      <c r="C28" s="18" t="s">
        <v>517</v>
      </c>
      <c r="D28" s="15">
        <f>SUM(D$24:D27)</f>
        <v>408027.49405773473</v>
      </c>
      <c r="E28" s="15">
        <f>SUM(E$24:E27)</f>
        <v>-19646.636785082319</v>
      </c>
      <c r="F28" s="15">
        <f>SUM(F$24:F27)</f>
        <v>0</v>
      </c>
      <c r="G28" s="17"/>
      <c r="H28" s="17"/>
      <c r="I28" s="17"/>
      <c r="J28" s="17"/>
      <c r="K28" s="17"/>
      <c r="L28" s="32" t="s">
        <v>578</v>
      </c>
      <c r="M28" s="32">
        <v>0</v>
      </c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</row>
    <row r="29" spans="1:30" ht="12" customHeight="1" x14ac:dyDescent="0.2">
      <c r="A29" s="127"/>
      <c r="B29" s="117" t="s">
        <v>517</v>
      </c>
      <c r="C29" s="118"/>
      <c r="D29" s="15">
        <f>SUMIF(C$2:C28,"SUBTOTAL",D$2:D28)</f>
        <v>7702277.9325667415</v>
      </c>
      <c r="E29" s="15">
        <f>SUMIF(C$2:C28,"SUBTOTAL",E$2:E28)</f>
        <v>-1010478.999017955</v>
      </c>
      <c r="F29" s="15">
        <f>SUMIF(C$2:C28,"SUBTOTAL",F$2:F28)</f>
        <v>0</v>
      </c>
      <c r="G29" s="17"/>
      <c r="H29" s="17"/>
      <c r="I29" s="17"/>
      <c r="J29" s="17"/>
      <c r="K29" s="17"/>
      <c r="L29" s="32" t="s">
        <v>579</v>
      </c>
      <c r="M29" s="32">
        <v>0</v>
      </c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</row>
    <row r="30" spans="1:30" ht="12" customHeight="1" x14ac:dyDescent="0.2">
      <c r="A30" s="125" t="s">
        <v>536</v>
      </c>
      <c r="B30" s="125" t="s">
        <v>509</v>
      </c>
      <c r="C30" s="18" t="s">
        <v>511</v>
      </c>
      <c r="D30" s="15">
        <f>IFERROR($M$5*(+D$31+D$32+D$33+D$35+D$37+D$38+D$39+D$43)+($M$5^2)*(+D$31+D$32+D$33+D$35+D$37+D$38+D$39+D$43)/$M$22*(+$E$2+$F$2+$E$3+$F$3+$E$8+$F$8+$E$9+$F$9+$E$11+$F$11+$E$12+$F$12+$E$13+$F$13+$E$14+$F$14+$E$15+$F$15+$E$16+$F$16+$E$17+$F$17+$E$19+$F$19+$E$22+$F$22+$E$24+$F$24+$E$25+$F$25+$E$26+$F$26+$E$27+$F$27+$E$31+$F$31+$E$32+$F$32+$E$33+$F$33+$E$35+$F$35+$E$37+$F$37+$E$38+$F$38+$E$39+$F$39+$E$43+$F$43),0)</f>
        <v>0</v>
      </c>
      <c r="E30" s="15">
        <f>IF((D30+D$4)&lt;&gt;0,$M$20*D30/(D30+D$4),0)</f>
        <v>0</v>
      </c>
      <c r="F30" s="15">
        <f>IF((D30+D$4)&lt;&gt;0,$M$21*D30/(D30+D$4),0)</f>
        <v>0</v>
      </c>
      <c r="G30" s="17"/>
      <c r="H30" s="17"/>
      <c r="I30" s="17"/>
      <c r="J30" s="17"/>
      <c r="K30" s="17"/>
      <c r="L30" s="32" t="s">
        <v>580</v>
      </c>
      <c r="M30" s="32">
        <v>0</v>
      </c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</row>
    <row r="31" spans="1:30" ht="12" customHeight="1" x14ac:dyDescent="0.2">
      <c r="A31" s="126"/>
      <c r="B31" s="126"/>
      <c r="C31" s="18" t="s">
        <v>537</v>
      </c>
      <c r="D31" s="15">
        <v>0</v>
      </c>
      <c r="E31" s="15">
        <v>0</v>
      </c>
      <c r="F31" s="15">
        <v>0</v>
      </c>
      <c r="G31" s="17"/>
      <c r="H31" s="17"/>
      <c r="I31" s="17"/>
      <c r="J31" s="17"/>
      <c r="K31" s="17"/>
      <c r="L31" s="32" t="s">
        <v>581</v>
      </c>
      <c r="M31" s="32">
        <v>0</v>
      </c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</row>
    <row r="32" spans="1:30" ht="12" customHeight="1" x14ac:dyDescent="0.2">
      <c r="A32" s="126"/>
      <c r="B32" s="126"/>
      <c r="C32" s="18" t="s">
        <v>538</v>
      </c>
      <c r="D32" s="15">
        <v>0</v>
      </c>
      <c r="E32" s="15">
        <v>0</v>
      </c>
      <c r="F32" s="15">
        <v>0</v>
      </c>
      <c r="G32" s="17"/>
      <c r="H32" s="17"/>
      <c r="I32" s="17"/>
      <c r="J32" s="17"/>
      <c r="K32" s="17"/>
      <c r="L32" s="32" t="s">
        <v>582</v>
      </c>
      <c r="M32" s="32">
        <v>0.45</v>
      </c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</row>
    <row r="33" spans="1:30" ht="12" customHeight="1" x14ac:dyDescent="0.2">
      <c r="A33" s="126"/>
      <c r="B33" s="126"/>
      <c r="C33" s="18" t="s">
        <v>596</v>
      </c>
      <c r="D33" s="15"/>
      <c r="E33" s="15">
        <v>0</v>
      </c>
      <c r="F33" s="15">
        <v>0</v>
      </c>
      <c r="G33" s="17"/>
      <c r="H33" s="17"/>
      <c r="I33" s="17"/>
      <c r="J33" s="17"/>
      <c r="K33" s="17"/>
      <c r="L33" s="32" t="s">
        <v>583</v>
      </c>
      <c r="M33" s="32">
        <v>0.4</v>
      </c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</row>
    <row r="34" spans="1:30" ht="12" customHeight="1" x14ac:dyDescent="0.2">
      <c r="A34" s="126"/>
      <c r="B34" s="127"/>
      <c r="C34" s="18" t="s">
        <v>517</v>
      </c>
      <c r="D34" s="15">
        <f>SUM(D$30:D33)</f>
        <v>0</v>
      </c>
      <c r="E34" s="15">
        <f>SUM(E$30:E33)</f>
        <v>0</v>
      </c>
      <c r="F34" s="15">
        <f>SUM(F$30:F33)</f>
        <v>0</v>
      </c>
      <c r="G34" s="17"/>
      <c r="H34" s="17"/>
      <c r="I34" s="17"/>
      <c r="J34" s="17"/>
      <c r="K34" s="17"/>
      <c r="L34" s="32" t="s">
        <v>584</v>
      </c>
      <c r="M34" s="32">
        <v>0.65</v>
      </c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</row>
    <row r="35" spans="1:30" ht="12" customHeight="1" x14ac:dyDescent="0.2">
      <c r="A35" s="126"/>
      <c r="B35" s="125" t="s">
        <v>539</v>
      </c>
      <c r="C35" s="18" t="s">
        <v>540</v>
      </c>
      <c r="D35" s="15">
        <f>$M$14*($M$12-$M$7)</f>
        <v>2810087.9282794264</v>
      </c>
      <c r="E35" s="15">
        <f>$M$16*($M$12-$M$7)/$M$12</f>
        <v>-135306.5116078635</v>
      </c>
      <c r="F35" s="15">
        <f>$M$17*($M$12-$M$7)/$M$12</f>
        <v>0</v>
      </c>
      <c r="G35" s="17"/>
      <c r="H35" s="17"/>
      <c r="I35" s="17"/>
      <c r="J35" s="17"/>
      <c r="K35" s="17"/>
      <c r="L35" s="32" t="s">
        <v>585</v>
      </c>
      <c r="M35" s="32">
        <v>0.4</v>
      </c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</row>
    <row r="36" spans="1:30" ht="12" customHeight="1" x14ac:dyDescent="0.2">
      <c r="A36" s="126"/>
      <c r="B36" s="127"/>
      <c r="C36" s="18" t="s">
        <v>517</v>
      </c>
      <c r="D36" s="15">
        <f>SUM(D$35:D35)</f>
        <v>2810087.9282794264</v>
      </c>
      <c r="E36" s="15">
        <f>SUM(E$35:E35)</f>
        <v>-135306.5116078635</v>
      </c>
      <c r="F36" s="15">
        <f>SUM(F$35:F35)</f>
        <v>0</v>
      </c>
      <c r="G36" s="17"/>
      <c r="H36" s="17"/>
      <c r="I36" s="17"/>
      <c r="J36" s="17"/>
      <c r="K36" s="17"/>
      <c r="L36" s="32" t="s">
        <v>586</v>
      </c>
      <c r="M36" s="32">
        <v>0.1</v>
      </c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</row>
    <row r="37" spans="1:30" ht="12" customHeight="1" x14ac:dyDescent="0.2">
      <c r="A37" s="126"/>
      <c r="B37" s="125" t="s">
        <v>518</v>
      </c>
      <c r="C37" s="18" t="s">
        <v>541</v>
      </c>
      <c r="D37" s="15">
        <v>0</v>
      </c>
      <c r="E37" s="15">
        <v>0</v>
      </c>
      <c r="F37" s="15">
        <v>0</v>
      </c>
      <c r="G37" s="17"/>
      <c r="H37" s="17"/>
      <c r="I37" s="17"/>
      <c r="J37" s="17"/>
      <c r="K37" s="17"/>
      <c r="L37" s="32" t="s">
        <v>587</v>
      </c>
      <c r="M37" s="32">
        <v>0</v>
      </c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</row>
    <row r="38" spans="1:30" ht="12" customHeight="1" x14ac:dyDescent="0.2">
      <c r="A38" s="126"/>
      <c r="B38" s="126"/>
      <c r="C38" s="18" t="s">
        <v>542</v>
      </c>
      <c r="D38" s="15">
        <v>0</v>
      </c>
      <c r="E38" s="15">
        <v>0</v>
      </c>
      <c r="F38" s="15">
        <f>IF((+$D$11+$D$12+$D$16+$D$17+$D$38)&lt;&gt;0,$M$19*$D$38/(+$D$11+$D$12+$D$16+$D$17+$D$38),0)</f>
        <v>0</v>
      </c>
      <c r="G38" s="17"/>
      <c r="H38" s="17"/>
      <c r="I38" s="17"/>
      <c r="J38" s="17"/>
      <c r="K38" s="17"/>
      <c r="L38" s="32" t="s">
        <v>588</v>
      </c>
      <c r="M38" s="32">
        <f>IFERROR(VLOOKUP("Convencional1RuralNão se aplicaRURALB2",Descontos!B1:U88,VLOOKUP("Convencional1RuralNão se aplicaRURALB2",Descontos!B1:U88,20,FALSE)+12,FALSE),100)</f>
        <v>0.06</v>
      </c>
      <c r="N38" s="17" t="s">
        <v>645</v>
      </c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</row>
    <row r="39" spans="1:30" ht="12" customHeight="1" x14ac:dyDescent="0.2">
      <c r="A39" s="126"/>
      <c r="B39" s="126"/>
      <c r="C39" s="18" t="s">
        <v>543</v>
      </c>
      <c r="D39" s="15"/>
      <c r="E39" s="15"/>
      <c r="F39" s="15"/>
      <c r="G39" s="17"/>
      <c r="H39" s="17"/>
      <c r="I39" s="17"/>
      <c r="J39" s="17"/>
      <c r="K39" s="17"/>
      <c r="L39" s="32" t="s">
        <v>589</v>
      </c>
      <c r="M39" s="32">
        <f>IFERROR(VLOOKUP("Convencional1RuralCooperativa de eletrificação ruralPlanilha CUSTOB2",Descontos!B1:U88,VLOOKUP("Convencional1RuralCooperativa de eletrificação ruralPlanilha CUSTOB2",Descontos!B1:U88,20,FALSE)+12,FALSE),100)</f>
        <v>0.06</v>
      </c>
      <c r="N39" s="17">
        <v>0.3</v>
      </c>
      <c r="O39" s="17" t="s">
        <v>662</v>
      </c>
      <c r="P39" s="17" t="s">
        <v>663</v>
      </c>
      <c r="Q39" s="17" t="s">
        <v>664</v>
      </c>
      <c r="R39" s="17" t="s">
        <v>665</v>
      </c>
      <c r="S39" s="17" t="s">
        <v>1</v>
      </c>
      <c r="T39" s="17" t="s">
        <v>666</v>
      </c>
      <c r="U39" s="17"/>
      <c r="V39" s="17"/>
      <c r="W39" s="17"/>
      <c r="X39" s="17"/>
      <c r="Y39" s="17"/>
      <c r="Z39" s="17"/>
      <c r="AA39" s="17"/>
      <c r="AB39" s="17"/>
      <c r="AC39" s="17"/>
      <c r="AD39" s="17"/>
    </row>
    <row r="40" spans="1:30" ht="12" customHeight="1" x14ac:dyDescent="0.25">
      <c r="A40" s="126"/>
      <c r="B40" s="127"/>
      <c r="C40" s="18" t="s">
        <v>517</v>
      </c>
      <c r="D40" s="15">
        <f>SUM(D$37:D39)</f>
        <v>0</v>
      </c>
      <c r="E40" s="15">
        <f>SUM(E$37:E39)</f>
        <v>0</v>
      </c>
      <c r="F40" s="15">
        <f>SUM(F$37:F39)</f>
        <v>0</v>
      </c>
      <c r="G40" s="17"/>
      <c r="H40" s="17"/>
      <c r="I40" s="17"/>
      <c r="J40" s="17"/>
      <c r="K40" s="17"/>
      <c r="L40" s="32" t="s">
        <v>590</v>
      </c>
      <c r="M40" s="32">
        <f>IFERROR(VLOOKUP("Convencional1RuralServiço público de irrigação ruralPlanilha CUSTOB2",Descontos!B1:U88,VLOOKUP("Convencional1RuralServiço público de irrigação ruralPlanilha CUSTOB2",Descontos!B1:U88,20,FALSE)+12,FALSE),100)</f>
        <v>0.08</v>
      </c>
      <c r="N40" s="17">
        <v>0.4</v>
      </c>
      <c r="O40" s="51"/>
      <c r="P40" s="51"/>
      <c r="Q40" s="51"/>
      <c r="R40" s="51"/>
      <c r="S40" s="51"/>
      <c r="T40" s="51"/>
      <c r="U40" s="17"/>
      <c r="V40" s="17"/>
      <c r="W40" s="17"/>
      <c r="X40" s="17"/>
      <c r="Y40" s="17"/>
      <c r="Z40" s="17"/>
      <c r="AA40" s="17"/>
      <c r="AB40" s="17"/>
      <c r="AC40" s="17"/>
      <c r="AD40" s="17"/>
    </row>
    <row r="41" spans="1:30" ht="12" customHeight="1" x14ac:dyDescent="0.25">
      <c r="A41" s="126"/>
      <c r="B41" s="125" t="s">
        <v>528</v>
      </c>
      <c r="C41" s="18" t="s">
        <v>529</v>
      </c>
      <c r="D41" s="15"/>
      <c r="E41" s="15">
        <f>IF($D$46&lt;&gt;0,($D$45/$D$46)* 0,0)+30125.721087432</f>
        <v>30125.721087432001</v>
      </c>
      <c r="F41" s="15"/>
      <c r="G41" s="17"/>
      <c r="H41" s="17"/>
      <c r="I41" s="17"/>
      <c r="J41" s="17"/>
      <c r="K41" s="17"/>
      <c r="L41" s="17"/>
      <c r="M41" s="17"/>
      <c r="N41" s="17"/>
      <c r="O41" s="51"/>
      <c r="P41" s="51"/>
      <c r="Q41" s="51"/>
      <c r="R41" s="51"/>
      <c r="S41" s="51"/>
      <c r="T41" s="51"/>
      <c r="U41" s="17"/>
      <c r="V41" s="17"/>
      <c r="W41" s="17"/>
      <c r="X41" s="17"/>
      <c r="Y41" s="17"/>
      <c r="Z41" s="17"/>
      <c r="AA41" s="17"/>
      <c r="AB41" s="17"/>
      <c r="AC41" s="17"/>
      <c r="AD41" s="17"/>
    </row>
    <row r="42" spans="1:30" ht="12" customHeight="1" x14ac:dyDescent="0.25">
      <c r="A42" s="126"/>
      <c r="B42" s="127"/>
      <c r="C42" s="18" t="s">
        <v>517</v>
      </c>
      <c r="D42" s="15">
        <f>SUM(D$41:D41)</f>
        <v>0</v>
      </c>
      <c r="E42" s="15">
        <f>SUM(E$41:E41)</f>
        <v>30125.721087432001</v>
      </c>
      <c r="F42" s="15">
        <f>SUM(F$41:F41)</f>
        <v>0</v>
      </c>
      <c r="G42" s="17"/>
      <c r="H42" s="17"/>
      <c r="I42" s="17"/>
      <c r="J42" s="17"/>
      <c r="K42" s="17"/>
      <c r="L42" s="17"/>
      <c r="M42" s="17"/>
      <c r="N42" s="17"/>
      <c r="O42" s="51"/>
      <c r="P42" s="51"/>
      <c r="Q42" s="51"/>
      <c r="R42" s="51"/>
      <c r="S42" s="51"/>
      <c r="T42" s="51"/>
      <c r="U42" s="17"/>
      <c r="V42" s="17"/>
      <c r="W42" s="17"/>
      <c r="X42" s="17"/>
      <c r="Y42" s="17"/>
      <c r="Z42" s="17"/>
      <c r="AA42" s="17"/>
      <c r="AB42" s="17"/>
      <c r="AC42" s="17"/>
      <c r="AD42" s="17"/>
    </row>
    <row r="43" spans="1:30" ht="12" customHeight="1" x14ac:dyDescent="0.25">
      <c r="A43" s="126"/>
      <c r="B43" s="125" t="s">
        <v>531</v>
      </c>
      <c r="C43" s="18" t="s">
        <v>544</v>
      </c>
      <c r="D43" s="15">
        <f>$M$14*$M$11</f>
        <v>0</v>
      </c>
      <c r="E43" s="15">
        <f>$M$16*$M$11/$M$12</f>
        <v>0</v>
      </c>
      <c r="F43" s="15">
        <f>$M$17*$M$11/$M$12</f>
        <v>0</v>
      </c>
      <c r="G43" s="17"/>
      <c r="H43" s="17"/>
      <c r="I43" s="17"/>
      <c r="J43" s="17"/>
      <c r="K43" s="17"/>
      <c r="L43" s="17"/>
      <c r="M43" s="17"/>
      <c r="N43" s="17"/>
      <c r="O43" s="51"/>
      <c r="P43" s="51"/>
      <c r="Q43" s="51"/>
      <c r="R43" s="51"/>
      <c r="S43" s="51"/>
      <c r="T43" s="51"/>
      <c r="U43" s="17"/>
      <c r="V43" s="17"/>
      <c r="W43" s="17"/>
      <c r="X43" s="17"/>
      <c r="Y43" s="17"/>
      <c r="Z43" s="17"/>
      <c r="AA43" s="17"/>
      <c r="AB43" s="17"/>
      <c r="AC43" s="17"/>
      <c r="AD43" s="17"/>
    </row>
    <row r="44" spans="1:30" ht="12" customHeight="1" x14ac:dyDescent="0.25">
      <c r="A44" s="126"/>
      <c r="B44" s="127"/>
      <c r="C44" s="18" t="s">
        <v>517</v>
      </c>
      <c r="D44" s="15">
        <f>SUM(D$43:D43)</f>
        <v>0</v>
      </c>
      <c r="E44" s="15">
        <f>SUM(E$43:E43)</f>
        <v>0</v>
      </c>
      <c r="F44" s="15">
        <f>SUM(F$43:F43)</f>
        <v>0</v>
      </c>
      <c r="G44" s="17"/>
      <c r="H44" s="17"/>
      <c r="I44" s="17"/>
      <c r="J44" s="17"/>
      <c r="K44" s="17"/>
      <c r="L44" s="17"/>
      <c r="M44" s="17"/>
      <c r="N44" s="17"/>
      <c r="O44" s="51"/>
      <c r="P44" s="51"/>
      <c r="Q44" s="51"/>
      <c r="R44" s="51"/>
      <c r="S44" s="51"/>
      <c r="T44" s="51"/>
      <c r="U44" s="17"/>
      <c r="V44" s="17"/>
      <c r="W44" s="17"/>
      <c r="X44" s="17"/>
      <c r="Y44" s="17"/>
      <c r="Z44" s="17"/>
      <c r="AA44" s="17"/>
      <c r="AB44" s="17"/>
      <c r="AC44" s="17"/>
      <c r="AD44" s="17"/>
    </row>
    <row r="45" spans="1:30" ht="12" customHeight="1" x14ac:dyDescent="0.25">
      <c r="A45" s="127"/>
      <c r="B45" s="117" t="s">
        <v>517</v>
      </c>
      <c r="C45" s="118"/>
      <c r="D45" s="15">
        <f>SUMIF(C$30:C44,"SUBTOTAL",D$30:D44)</f>
        <v>2810087.9282794264</v>
      </c>
      <c r="E45" s="15">
        <f>SUMIF(C$30:C44,"SUBTOTAL",E$30:E44)</f>
        <v>-105180.7905204315</v>
      </c>
      <c r="F45" s="15">
        <f>SUMIF(C$30:C44,"SUBTOTAL",F$30:F44)</f>
        <v>0</v>
      </c>
      <c r="G45" s="17"/>
      <c r="H45" s="17"/>
      <c r="I45" s="17"/>
      <c r="J45" s="17"/>
      <c r="K45" s="17"/>
      <c r="L45" s="17"/>
      <c r="M45" s="17"/>
      <c r="N45" s="17"/>
      <c r="O45" s="51"/>
      <c r="P45" s="51"/>
      <c r="Q45" s="51"/>
      <c r="R45" s="51"/>
      <c r="S45" s="51"/>
      <c r="T45" s="51"/>
      <c r="U45" s="17"/>
      <c r="V45" s="17"/>
      <c r="W45" s="17"/>
      <c r="X45" s="17"/>
      <c r="Y45" s="17"/>
      <c r="Z45" s="17"/>
      <c r="AA45" s="17"/>
      <c r="AB45" s="17"/>
      <c r="AC45" s="17"/>
      <c r="AD45" s="17"/>
    </row>
    <row r="46" spans="1:30" ht="12" customHeight="1" x14ac:dyDescent="0.25">
      <c r="A46" s="117" t="s">
        <v>545</v>
      </c>
      <c r="B46" s="123"/>
      <c r="C46" s="118"/>
      <c r="D46" s="15">
        <f>SUMIF(C$2:C45,"SUBTOTAL",D$2:D45)</f>
        <v>10512365.860846167</v>
      </c>
      <c r="E46" s="15">
        <f>SUMIF(C$2:C45,"SUBTOTAL",E$2:E45)</f>
        <v>-1115659.7895383865</v>
      </c>
      <c r="F46" s="15">
        <f>SUMIF(C$2:C45,"SUBTOTAL",F$2:F45)</f>
        <v>0</v>
      </c>
      <c r="G46" s="17"/>
      <c r="H46" s="17"/>
      <c r="I46" s="17"/>
      <c r="J46" s="17"/>
      <c r="K46" s="17"/>
      <c r="L46" s="17"/>
      <c r="M46" s="17"/>
      <c r="N46" s="17"/>
      <c r="O46" s="51"/>
      <c r="P46" s="51"/>
      <c r="Q46" s="51"/>
      <c r="R46" s="51"/>
      <c r="S46" s="51"/>
      <c r="T46" s="51"/>
      <c r="U46" s="17"/>
      <c r="V46" s="17"/>
      <c r="W46" s="17"/>
      <c r="X46" s="17"/>
      <c r="Y46" s="17"/>
      <c r="Z46" s="17"/>
      <c r="AA46" s="17"/>
      <c r="AB46" s="17"/>
      <c r="AC46" s="17"/>
      <c r="AD46" s="17"/>
    </row>
    <row r="47" spans="1:30" ht="12" customHeight="1" x14ac:dyDescent="0.25">
      <c r="A47" s="121" t="s">
        <v>637</v>
      </c>
      <c r="B47" s="122"/>
      <c r="C47" s="122"/>
      <c r="D47" s="42">
        <f ca="1">'TUSD BE'!$AM$53+'TUSD BE'!$AM$57+'TE BE'!$AA$44</f>
        <v>10512365.860846167</v>
      </c>
      <c r="E47" s="42">
        <f ca="1">'TUSD BF'!$AM$53+'TE BF'!$AA$44</f>
        <v>-1115659.7895383865</v>
      </c>
      <c r="F47" s="42">
        <f ca="1">'TUSD CVA'!$AM$53+'TE CVA'!$AA$44</f>
        <v>0</v>
      </c>
      <c r="L47" s="9"/>
      <c r="M47" s="17"/>
      <c r="O47" s="51"/>
      <c r="P47" s="51"/>
      <c r="Q47" s="51"/>
      <c r="R47" s="51"/>
      <c r="S47" s="51"/>
      <c r="T47" s="51"/>
    </row>
    <row r="48" spans="1:30" ht="12" customHeight="1" x14ac:dyDescent="0.25">
      <c r="A48" s="121" t="s">
        <v>638</v>
      </c>
      <c r="B48" s="122"/>
      <c r="C48" s="122"/>
      <c r="D48" s="43" t="str">
        <f ca="1">IF(ABS(D47-D46)&gt;1,"ERRO","OK")</f>
        <v>OK</v>
      </c>
      <c r="E48" s="43" t="str">
        <f ca="1">IF(ABS(E47-E46)&gt;1,"ERRO","OK")</f>
        <v>OK</v>
      </c>
      <c r="F48" s="43" t="str">
        <f ca="1">IF(ABS(F47-F46)&gt;1,"ERRO","OK")</f>
        <v>OK</v>
      </c>
      <c r="L48" s="77"/>
      <c r="M48" s="32"/>
      <c r="O48" s="51"/>
      <c r="P48" s="51"/>
      <c r="Q48" s="51"/>
      <c r="R48" s="51"/>
      <c r="S48" s="51"/>
      <c r="T48" s="51"/>
    </row>
    <row r="49" spans="4:20" ht="12" customHeight="1" x14ac:dyDescent="0.25">
      <c r="L49" s="77"/>
      <c r="M49" s="32"/>
      <c r="O49" s="51"/>
      <c r="P49" s="51"/>
      <c r="Q49" s="51"/>
      <c r="R49" s="51"/>
      <c r="S49" s="51"/>
      <c r="T49" s="51"/>
    </row>
    <row r="50" spans="4:20" ht="12" customHeight="1" x14ac:dyDescent="0.25">
      <c r="D50" s="57">
        <f ca="1">SUM(D47:F47)</f>
        <v>9396706.0713077802</v>
      </c>
      <c r="L50" s="77"/>
      <c r="M50" s="32"/>
      <c r="O50" s="51"/>
      <c r="P50" s="51"/>
      <c r="Q50" s="51"/>
      <c r="R50" s="51"/>
      <c r="S50" s="51"/>
      <c r="T50" s="51"/>
    </row>
    <row r="51" spans="4:20" ht="12" customHeight="1" x14ac:dyDescent="0.25">
      <c r="D51" s="78">
        <f ca="1">SUM(SUBSIDIO!AJ2:AJ9)+EFEITO!AU9</f>
        <v>9396706.0713075772</v>
      </c>
      <c r="L51" s="68" t="s">
        <v>591</v>
      </c>
      <c r="M51" s="73">
        <v>0</v>
      </c>
      <c r="O51" s="51"/>
      <c r="P51" s="51"/>
      <c r="Q51" s="51"/>
      <c r="R51" s="51"/>
      <c r="S51" s="51"/>
      <c r="T51" s="51"/>
    </row>
    <row r="52" spans="4:20" ht="12" customHeight="1" x14ac:dyDescent="0.25">
      <c r="O52" s="51"/>
      <c r="P52" s="51"/>
      <c r="Q52" s="51"/>
      <c r="R52" s="51"/>
      <c r="S52" s="51"/>
      <c r="T52" s="51"/>
    </row>
    <row r="53" spans="4:20" ht="12" customHeight="1" x14ac:dyDescent="0.25">
      <c r="O53" s="51"/>
      <c r="P53" s="51"/>
      <c r="Q53" s="51"/>
      <c r="R53" s="51"/>
      <c r="S53" s="51"/>
      <c r="T53" s="51"/>
    </row>
    <row r="54" spans="4:20" ht="12" customHeight="1" x14ac:dyDescent="0.25">
      <c r="O54" s="51"/>
      <c r="P54" s="51"/>
      <c r="Q54" s="51"/>
      <c r="R54" s="51"/>
      <c r="S54" s="51"/>
      <c r="T54" s="51"/>
    </row>
    <row r="55" spans="4:20" ht="12" customHeight="1" x14ac:dyDescent="0.25">
      <c r="O55" s="51"/>
      <c r="P55" s="51"/>
      <c r="Q55" s="51"/>
      <c r="R55" s="51"/>
      <c r="S55" s="51"/>
      <c r="T55" s="51"/>
    </row>
    <row r="56" spans="4:20" ht="12" customHeight="1" x14ac:dyDescent="0.25">
      <c r="O56" s="51"/>
      <c r="P56" s="51"/>
      <c r="Q56" s="51"/>
      <c r="R56" s="51"/>
      <c r="S56" s="51"/>
      <c r="T56" s="51"/>
    </row>
    <row r="57" spans="4:20" ht="12" customHeight="1" x14ac:dyDescent="0.25">
      <c r="O57" s="51"/>
      <c r="P57" s="51"/>
      <c r="Q57" s="51"/>
      <c r="R57" s="51"/>
      <c r="S57" s="51"/>
      <c r="T57" s="51"/>
    </row>
    <row r="58" spans="4:20" ht="12" customHeight="1" x14ac:dyDescent="0.25">
      <c r="O58" s="51"/>
      <c r="P58" s="51"/>
      <c r="Q58" s="51"/>
      <c r="R58" s="51"/>
      <c r="S58" s="51"/>
      <c r="T58" s="51"/>
    </row>
    <row r="59" spans="4:20" ht="12" customHeight="1" x14ac:dyDescent="0.25">
      <c r="O59" s="51"/>
      <c r="P59" s="51"/>
      <c r="Q59" s="51"/>
      <c r="R59" s="51"/>
      <c r="S59" s="51"/>
      <c r="T59" s="51"/>
    </row>
    <row r="60" spans="4:20" ht="12" customHeight="1" x14ac:dyDescent="0.25">
      <c r="O60" s="51"/>
      <c r="P60" s="51"/>
      <c r="Q60" s="51"/>
      <c r="R60" s="51"/>
      <c r="S60" s="51"/>
      <c r="T60" s="51"/>
    </row>
    <row r="61" spans="4:20" ht="12" customHeight="1" x14ac:dyDescent="0.25">
      <c r="O61" s="51"/>
      <c r="P61" s="51"/>
      <c r="Q61" s="51"/>
      <c r="R61" s="51"/>
      <c r="S61" s="51"/>
      <c r="T61" s="51"/>
    </row>
    <row r="62" spans="4:20" ht="12" customHeight="1" x14ac:dyDescent="0.25">
      <c r="O62" s="51"/>
      <c r="P62" s="51"/>
      <c r="Q62" s="51"/>
      <c r="R62" s="51"/>
      <c r="S62" s="51"/>
      <c r="T62" s="51"/>
    </row>
    <row r="63" spans="4:20" ht="12" customHeight="1" x14ac:dyDescent="0.25">
      <c r="O63" s="51"/>
      <c r="P63" s="51"/>
      <c r="Q63" s="51"/>
      <c r="R63" s="51"/>
      <c r="S63" s="51"/>
      <c r="T63" s="51"/>
    </row>
    <row r="64" spans="4:20" ht="12" customHeight="1" x14ac:dyDescent="0.25">
      <c r="O64" s="51"/>
      <c r="P64" s="51"/>
      <c r="Q64" s="51"/>
      <c r="R64" s="51"/>
      <c r="S64" s="51"/>
      <c r="T64" s="51"/>
    </row>
    <row r="65" spans="15:20" ht="12" customHeight="1" x14ac:dyDescent="0.25">
      <c r="O65" s="51"/>
      <c r="P65" s="51"/>
      <c r="Q65" s="51"/>
      <c r="R65" s="51"/>
      <c r="S65" s="51"/>
      <c r="T65" s="51"/>
    </row>
    <row r="66" spans="15:20" ht="12" customHeight="1" x14ac:dyDescent="0.25">
      <c r="O66" s="51"/>
      <c r="P66" s="51"/>
      <c r="Q66" s="51"/>
      <c r="R66" s="51"/>
      <c r="S66" s="51"/>
      <c r="T66" s="51"/>
    </row>
    <row r="67" spans="15:20" ht="12" customHeight="1" x14ac:dyDescent="0.25">
      <c r="O67" s="51"/>
      <c r="P67" s="51"/>
      <c r="Q67" s="51"/>
      <c r="R67" s="51"/>
      <c r="S67" s="51"/>
      <c r="T67" s="51"/>
    </row>
    <row r="68" spans="15:20" ht="12" customHeight="1" x14ac:dyDescent="0.25">
      <c r="O68" s="51"/>
      <c r="P68" s="51"/>
      <c r="Q68" s="51"/>
      <c r="R68" s="51"/>
      <c r="S68" s="51"/>
      <c r="T68" s="51"/>
    </row>
    <row r="69" spans="15:20" ht="12" customHeight="1" x14ac:dyDescent="0.25">
      <c r="O69" s="51"/>
      <c r="P69" s="51"/>
      <c r="Q69" s="51"/>
      <c r="R69" s="51"/>
      <c r="S69" s="51"/>
      <c r="T69" s="51"/>
    </row>
    <row r="70" spans="15:20" ht="12" customHeight="1" x14ac:dyDescent="0.25">
      <c r="O70" s="51"/>
      <c r="P70" s="51"/>
      <c r="Q70" s="51"/>
      <c r="R70" s="51"/>
      <c r="S70" s="51"/>
      <c r="T70" s="51"/>
    </row>
    <row r="71" spans="15:20" ht="12" customHeight="1" x14ac:dyDescent="0.25">
      <c r="O71" s="51"/>
      <c r="P71" s="51"/>
      <c r="Q71" s="51"/>
      <c r="R71" s="51"/>
      <c r="S71" s="51"/>
      <c r="T71" s="51"/>
    </row>
    <row r="72" spans="15:20" ht="12" customHeight="1" x14ac:dyDescent="0.25">
      <c r="O72" s="51"/>
      <c r="P72" s="51"/>
      <c r="Q72" s="51"/>
      <c r="R72" s="51"/>
      <c r="S72" s="51"/>
      <c r="T72" s="51"/>
    </row>
    <row r="73" spans="15:20" ht="12" customHeight="1" x14ac:dyDescent="0.25">
      <c r="O73" s="51"/>
      <c r="P73" s="51"/>
      <c r="Q73" s="51"/>
      <c r="R73" s="51"/>
      <c r="S73" s="51"/>
      <c r="T73" s="51"/>
    </row>
    <row r="74" spans="15:20" ht="12" customHeight="1" x14ac:dyDescent="0.25">
      <c r="O74" s="51"/>
      <c r="P74" s="51"/>
      <c r="Q74" s="51"/>
      <c r="R74" s="51"/>
      <c r="S74" s="51"/>
      <c r="T74" s="51"/>
    </row>
    <row r="75" spans="15:20" ht="12" customHeight="1" x14ac:dyDescent="0.25">
      <c r="O75" s="51"/>
      <c r="P75" s="51"/>
      <c r="Q75" s="51"/>
      <c r="R75" s="51"/>
      <c r="S75" s="51"/>
      <c r="T75" s="51"/>
    </row>
    <row r="76" spans="15:20" ht="12" customHeight="1" x14ac:dyDescent="0.25">
      <c r="O76" s="51"/>
      <c r="P76" s="51"/>
      <c r="Q76" s="51"/>
      <c r="R76" s="51"/>
      <c r="S76" s="51"/>
      <c r="T76" s="51"/>
    </row>
    <row r="77" spans="15:20" ht="12" customHeight="1" x14ac:dyDescent="0.25">
      <c r="O77" s="51"/>
      <c r="P77" s="51"/>
      <c r="Q77" s="51"/>
      <c r="R77" s="51"/>
      <c r="S77" s="51"/>
      <c r="T77" s="51"/>
    </row>
    <row r="78" spans="15:20" ht="12" customHeight="1" x14ac:dyDescent="0.25">
      <c r="O78" s="51"/>
      <c r="P78" s="51"/>
      <c r="Q78" s="51"/>
      <c r="R78" s="51"/>
      <c r="S78" s="51"/>
      <c r="T78" s="51"/>
    </row>
    <row r="79" spans="15:20" ht="12" customHeight="1" x14ac:dyDescent="0.25">
      <c r="O79" s="51"/>
      <c r="P79" s="51"/>
      <c r="Q79" s="51"/>
      <c r="R79" s="51"/>
      <c r="S79" s="51"/>
      <c r="T79" s="51"/>
    </row>
    <row r="80" spans="15:20" ht="12" customHeight="1" x14ac:dyDescent="0.25">
      <c r="O80" s="51"/>
      <c r="P80" s="51"/>
      <c r="Q80" s="51"/>
      <c r="R80" s="51"/>
      <c r="S80" s="51"/>
      <c r="T80" s="51"/>
    </row>
    <row r="81" spans="15:20" ht="12" customHeight="1" x14ac:dyDescent="0.25">
      <c r="O81" s="51"/>
      <c r="P81" s="51"/>
      <c r="Q81" s="51"/>
      <c r="R81" s="51"/>
      <c r="S81" s="51"/>
      <c r="T81" s="51"/>
    </row>
    <row r="82" spans="15:20" ht="12" customHeight="1" x14ac:dyDescent="0.25">
      <c r="O82" s="51"/>
      <c r="P82" s="51"/>
      <c r="Q82" s="51"/>
      <c r="R82" s="51"/>
      <c r="S82" s="51"/>
      <c r="T82" s="51"/>
    </row>
    <row r="83" spans="15:20" ht="12" customHeight="1" x14ac:dyDescent="0.25">
      <c r="O83" s="51"/>
      <c r="P83" s="51"/>
      <c r="Q83" s="51"/>
      <c r="R83" s="51"/>
      <c r="S83" s="51"/>
      <c r="T83" s="51"/>
    </row>
    <row r="84" spans="15:20" ht="12" customHeight="1" x14ac:dyDescent="0.25">
      <c r="O84" s="51"/>
      <c r="P84" s="51"/>
      <c r="Q84" s="51"/>
      <c r="R84" s="51"/>
      <c r="S84" s="51"/>
      <c r="T84" s="51"/>
    </row>
    <row r="85" spans="15:20" ht="12" customHeight="1" x14ac:dyDescent="0.25">
      <c r="O85" s="51"/>
      <c r="P85" s="51"/>
      <c r="Q85" s="51"/>
      <c r="R85" s="51"/>
      <c r="S85" s="51"/>
      <c r="T85" s="51"/>
    </row>
    <row r="86" spans="15:20" ht="12" customHeight="1" x14ac:dyDescent="0.25">
      <c r="O86" s="51"/>
      <c r="P86" s="51"/>
      <c r="Q86" s="51"/>
      <c r="R86" s="51"/>
      <c r="S86" s="51"/>
      <c r="T86" s="51"/>
    </row>
    <row r="87" spans="15:20" ht="12" customHeight="1" x14ac:dyDescent="0.25">
      <c r="O87" s="51"/>
      <c r="P87" s="51"/>
      <c r="Q87" s="51"/>
      <c r="R87" s="51"/>
      <c r="S87" s="51"/>
      <c r="T87" s="51"/>
    </row>
    <row r="88" spans="15:20" ht="12" customHeight="1" x14ac:dyDescent="0.25">
      <c r="O88" s="51"/>
      <c r="P88" s="51"/>
      <c r="Q88" s="51"/>
      <c r="R88" s="51"/>
      <c r="S88" s="51"/>
      <c r="T88" s="51"/>
    </row>
    <row r="89" spans="15:20" ht="12" customHeight="1" x14ac:dyDescent="0.25">
      <c r="O89" s="51"/>
      <c r="P89" s="51"/>
      <c r="Q89" s="51"/>
      <c r="R89" s="51"/>
      <c r="S89" s="51"/>
      <c r="T89" s="51"/>
    </row>
    <row r="90" spans="15:20" ht="12" customHeight="1" x14ac:dyDescent="0.25">
      <c r="O90" s="51"/>
      <c r="P90" s="51"/>
      <c r="Q90" s="51"/>
      <c r="R90" s="51"/>
      <c r="S90" s="51"/>
      <c r="T90" s="51"/>
    </row>
    <row r="91" spans="15:20" ht="12" customHeight="1" x14ac:dyDescent="0.25">
      <c r="O91" s="51"/>
      <c r="P91" s="51"/>
      <c r="Q91" s="51"/>
      <c r="R91" s="51"/>
      <c r="S91" s="51"/>
      <c r="T91" s="51"/>
    </row>
    <row r="92" spans="15:20" ht="12" customHeight="1" x14ac:dyDescent="0.25">
      <c r="O92" s="51"/>
      <c r="P92" s="51"/>
      <c r="Q92" s="51"/>
      <c r="R92" s="51"/>
      <c r="S92" s="51"/>
      <c r="T92" s="51"/>
    </row>
    <row r="93" spans="15:20" ht="12" customHeight="1" x14ac:dyDescent="0.25">
      <c r="O93" s="51"/>
      <c r="P93" s="51"/>
      <c r="Q93" s="51"/>
      <c r="R93" s="51"/>
      <c r="S93" s="51"/>
      <c r="T93" s="51"/>
    </row>
    <row r="94" spans="15:20" ht="12" customHeight="1" x14ac:dyDescent="0.25">
      <c r="O94" s="51"/>
      <c r="P94" s="51"/>
      <c r="Q94" s="51"/>
      <c r="R94" s="51"/>
      <c r="S94" s="51"/>
      <c r="T94" s="51"/>
    </row>
    <row r="95" spans="15:20" ht="12" customHeight="1" x14ac:dyDescent="0.25">
      <c r="O95" s="51"/>
      <c r="P95" s="51"/>
      <c r="Q95" s="51"/>
      <c r="R95" s="51"/>
      <c r="S95" s="51"/>
      <c r="T95" s="51"/>
    </row>
    <row r="96" spans="15:20" ht="12" customHeight="1" x14ac:dyDescent="0.25">
      <c r="O96" s="51"/>
      <c r="P96" s="51"/>
      <c r="Q96" s="51"/>
      <c r="R96" s="51"/>
      <c r="S96" s="51"/>
      <c r="T96" s="51"/>
    </row>
    <row r="97" spans="15:30" ht="12" customHeight="1" x14ac:dyDescent="0.25">
      <c r="O97" s="51"/>
      <c r="P97" s="51"/>
      <c r="Q97" s="51"/>
      <c r="R97" s="51"/>
      <c r="S97" s="51"/>
      <c r="T97" s="51"/>
    </row>
    <row r="98" spans="15:30" ht="12" customHeight="1" x14ac:dyDescent="0.25">
      <c r="O98" s="51"/>
      <c r="P98" s="51"/>
      <c r="Q98" s="51"/>
      <c r="R98" s="51"/>
      <c r="S98" s="51"/>
      <c r="T98" s="51"/>
    </row>
    <row r="99" spans="15:30" ht="12" customHeight="1" x14ac:dyDescent="0.25">
      <c r="O99" s="50"/>
      <c r="P99" s="50"/>
      <c r="Q99" s="50"/>
      <c r="R99" s="50"/>
      <c r="S99" s="50"/>
      <c r="T99" s="50"/>
    </row>
    <row r="100" spans="15:30" ht="12" customHeight="1" x14ac:dyDescent="0.25"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</row>
    <row r="101" spans="15:30" ht="12" customHeight="1" x14ac:dyDescent="0.25">
      <c r="O101" s="51" t="s">
        <v>662</v>
      </c>
      <c r="P101" s="51" t="s">
        <v>667</v>
      </c>
      <c r="Q101" s="51" t="s">
        <v>668</v>
      </c>
      <c r="R101" s="51" t="s">
        <v>669</v>
      </c>
      <c r="S101" s="51" t="s">
        <v>670</v>
      </c>
      <c r="T101" s="51" t="s">
        <v>671</v>
      </c>
      <c r="U101" s="51" t="s">
        <v>672</v>
      </c>
      <c r="V101" s="51" t="s">
        <v>673</v>
      </c>
      <c r="W101" s="51"/>
      <c r="X101" s="51"/>
      <c r="Y101" s="51"/>
      <c r="Z101" s="51"/>
      <c r="AA101" s="51"/>
      <c r="AB101" s="51"/>
      <c r="AC101" s="51"/>
      <c r="AD101" s="51"/>
    </row>
    <row r="102" spans="15:30" ht="12" customHeight="1" x14ac:dyDescent="0.25">
      <c r="O102" s="51" t="s">
        <v>33</v>
      </c>
      <c r="P102" s="51" t="s">
        <v>23</v>
      </c>
      <c r="Q102" s="51" t="s">
        <v>41</v>
      </c>
      <c r="R102" s="51" t="s">
        <v>42</v>
      </c>
      <c r="S102" s="51" t="s">
        <v>25</v>
      </c>
      <c r="T102" s="51" t="s">
        <v>42</v>
      </c>
      <c r="U102" s="51">
        <v>4</v>
      </c>
      <c r="V102" s="51">
        <v>0.3</v>
      </c>
      <c r="W102" s="51">
        <v>0.24</v>
      </c>
      <c r="X102" s="51">
        <v>0.18</v>
      </c>
      <c r="Y102" s="51">
        <v>0.12</v>
      </c>
      <c r="Z102" s="51">
        <v>0.06</v>
      </c>
      <c r="AA102" s="51">
        <v>0</v>
      </c>
      <c r="AB102" s="51"/>
      <c r="AC102" s="51"/>
      <c r="AD102" s="51"/>
    </row>
    <row r="103" spans="15:30" ht="12" customHeight="1" x14ac:dyDescent="0.25"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</row>
    <row r="104" spans="15:30" ht="12" customHeight="1" x14ac:dyDescent="0.25"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</row>
    <row r="105" spans="15:30" ht="12" customHeight="1" x14ac:dyDescent="0.25"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</row>
    <row r="106" spans="15:30" ht="12" customHeight="1" x14ac:dyDescent="0.25"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</row>
    <row r="107" spans="15:30" ht="12" customHeight="1" x14ac:dyDescent="0.25"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</row>
    <row r="108" spans="15:30" ht="12" customHeight="1" x14ac:dyDescent="0.25"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</row>
    <row r="109" spans="15:30" ht="12" customHeight="1" x14ac:dyDescent="0.25"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</row>
    <row r="110" spans="15:30" ht="12" customHeight="1" x14ac:dyDescent="0.25"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</row>
    <row r="111" spans="15:30" ht="12" customHeight="1" x14ac:dyDescent="0.25"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</row>
    <row r="112" spans="15:30" ht="12" customHeight="1" x14ac:dyDescent="0.25"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</row>
    <row r="113" spans="15:30" ht="12" customHeight="1" x14ac:dyDescent="0.25"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</row>
    <row r="114" spans="15:30" ht="12" customHeight="1" x14ac:dyDescent="0.25"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</row>
    <row r="115" spans="15:30" ht="12" customHeight="1" x14ac:dyDescent="0.25"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</row>
    <row r="116" spans="15:30" ht="12" customHeight="1" x14ac:dyDescent="0.25"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</row>
    <row r="117" spans="15:30" ht="12" customHeight="1" x14ac:dyDescent="0.25"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</row>
    <row r="118" spans="15:30" ht="12" customHeight="1" x14ac:dyDescent="0.25"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</row>
    <row r="119" spans="15:30" ht="12" customHeight="1" x14ac:dyDescent="0.25"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</row>
    <row r="120" spans="15:30" ht="12" customHeight="1" x14ac:dyDescent="0.25"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</row>
    <row r="121" spans="15:30" ht="12" customHeight="1" x14ac:dyDescent="0.25"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</row>
    <row r="122" spans="15:30" ht="12" customHeight="1" x14ac:dyDescent="0.25"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</row>
    <row r="123" spans="15:30" ht="12" customHeight="1" x14ac:dyDescent="0.25"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</row>
    <row r="124" spans="15:30" ht="12" customHeight="1" x14ac:dyDescent="0.25"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</row>
    <row r="125" spans="15:30" ht="12" customHeight="1" x14ac:dyDescent="0.25"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</row>
    <row r="126" spans="15:30" ht="12" customHeight="1" x14ac:dyDescent="0.25"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</row>
    <row r="127" spans="15:30" ht="12" customHeight="1" x14ac:dyDescent="0.25"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</row>
    <row r="128" spans="15:30" ht="12" customHeight="1" x14ac:dyDescent="0.25"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</row>
    <row r="129" spans="15:30" ht="12" customHeight="1" x14ac:dyDescent="0.25"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</row>
    <row r="130" spans="15:30" ht="12" customHeight="1" x14ac:dyDescent="0.25"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</row>
    <row r="131" spans="15:30" ht="12" customHeight="1" x14ac:dyDescent="0.25"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</row>
    <row r="132" spans="15:30" ht="12" customHeight="1" x14ac:dyDescent="0.25"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</row>
    <row r="133" spans="15:30" ht="12" customHeight="1" x14ac:dyDescent="0.25"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</row>
    <row r="134" spans="15:30" ht="12" customHeight="1" x14ac:dyDescent="0.25"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</row>
    <row r="135" spans="15:30" ht="12" customHeight="1" x14ac:dyDescent="0.25"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</row>
    <row r="136" spans="15:30" ht="12" customHeight="1" x14ac:dyDescent="0.25"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</row>
    <row r="137" spans="15:30" ht="12" customHeight="1" x14ac:dyDescent="0.25"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</row>
    <row r="138" spans="15:30" ht="12" customHeight="1" x14ac:dyDescent="0.25"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</row>
    <row r="139" spans="15:30" ht="12" customHeight="1" x14ac:dyDescent="0.25"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</row>
    <row r="140" spans="15:30" ht="12" customHeight="1" x14ac:dyDescent="0.25"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</row>
    <row r="141" spans="15:30" ht="12" customHeight="1" x14ac:dyDescent="0.25"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</row>
    <row r="142" spans="15:30" ht="12" customHeight="1" x14ac:dyDescent="0.25"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</row>
    <row r="143" spans="15:30" ht="12" customHeight="1" x14ac:dyDescent="0.25"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</row>
    <row r="144" spans="15:30" ht="12" customHeight="1" x14ac:dyDescent="0.25"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</row>
    <row r="145" spans="15:30" ht="12" customHeight="1" x14ac:dyDescent="0.25"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</row>
    <row r="146" spans="15:30" ht="12" customHeight="1" x14ac:dyDescent="0.25"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</row>
    <row r="147" spans="15:30" ht="12" customHeight="1" x14ac:dyDescent="0.25"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</row>
    <row r="148" spans="15:30" ht="12" customHeight="1" x14ac:dyDescent="0.25"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</row>
    <row r="149" spans="15:30" ht="12" customHeight="1" x14ac:dyDescent="0.25"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</row>
    <row r="150" spans="15:30" ht="12" customHeight="1" x14ac:dyDescent="0.25"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</row>
    <row r="151" spans="15:30" ht="12" customHeight="1" x14ac:dyDescent="0.25"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</row>
    <row r="152" spans="15:30" ht="12" customHeight="1" x14ac:dyDescent="0.25"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</row>
    <row r="153" spans="15:30" ht="12" customHeight="1" x14ac:dyDescent="0.25"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</row>
    <row r="154" spans="15:30" ht="12" customHeight="1" x14ac:dyDescent="0.25"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</row>
    <row r="155" spans="15:30" ht="12" customHeight="1" x14ac:dyDescent="0.25"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</row>
    <row r="156" spans="15:30" ht="12" customHeight="1" x14ac:dyDescent="0.25"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</row>
    <row r="157" spans="15:30" ht="12" customHeight="1" x14ac:dyDescent="0.25"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</row>
    <row r="158" spans="15:30" ht="12" customHeight="1" x14ac:dyDescent="0.25"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</row>
    <row r="159" spans="15:30" ht="12" customHeight="1" x14ac:dyDescent="0.25"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</row>
    <row r="160" spans="15:30" ht="12" customHeight="1" x14ac:dyDescent="0.25"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</row>
    <row r="161" spans="15:30" ht="12" customHeight="1" x14ac:dyDescent="0.25"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</row>
    <row r="162" spans="15:30" ht="12" customHeight="1" x14ac:dyDescent="0.25"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</row>
    <row r="163" spans="15:30" ht="12" customHeight="1" x14ac:dyDescent="0.25"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</row>
    <row r="164" spans="15:30" ht="12" customHeight="1" x14ac:dyDescent="0.25"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</row>
    <row r="165" spans="15:30" ht="12" customHeight="1" x14ac:dyDescent="0.25"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</row>
    <row r="166" spans="15:30" ht="12" customHeight="1" x14ac:dyDescent="0.25"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</row>
    <row r="167" spans="15:30" ht="12" customHeight="1" x14ac:dyDescent="0.25"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</row>
    <row r="168" spans="15:30" ht="12" customHeight="1" x14ac:dyDescent="0.25"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</row>
    <row r="169" spans="15:30" ht="12" customHeight="1" x14ac:dyDescent="0.25"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</row>
    <row r="170" spans="15:30" ht="12" customHeight="1" x14ac:dyDescent="0.25"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</row>
    <row r="171" spans="15:30" ht="12" customHeight="1" x14ac:dyDescent="0.25"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</row>
    <row r="172" spans="15:30" ht="12" customHeight="1" x14ac:dyDescent="0.25"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</row>
    <row r="173" spans="15:30" ht="12" customHeight="1" x14ac:dyDescent="0.25"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</row>
    <row r="174" spans="15:30" ht="12" customHeight="1" x14ac:dyDescent="0.25"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</row>
    <row r="175" spans="15:30" ht="12" customHeight="1" x14ac:dyDescent="0.25"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</row>
    <row r="176" spans="15:30" ht="12" customHeight="1" x14ac:dyDescent="0.25"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</row>
    <row r="177" spans="15:30" ht="12" customHeight="1" x14ac:dyDescent="0.25"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</row>
    <row r="178" spans="15:30" ht="12" customHeight="1" x14ac:dyDescent="0.25"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</row>
    <row r="179" spans="15:30" ht="12" customHeight="1" x14ac:dyDescent="0.25"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</row>
    <row r="180" spans="15:30" ht="12" customHeight="1" x14ac:dyDescent="0.25"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</row>
    <row r="181" spans="15:30" ht="12" customHeight="1" x14ac:dyDescent="0.25"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</row>
    <row r="182" spans="15:30" ht="12" customHeight="1" x14ac:dyDescent="0.25"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</row>
    <row r="183" spans="15:30" ht="12" customHeight="1" x14ac:dyDescent="0.25"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</row>
    <row r="184" spans="15:30" ht="12" customHeight="1" x14ac:dyDescent="0.25"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</row>
    <row r="185" spans="15:30" ht="12" customHeight="1" x14ac:dyDescent="0.25"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</row>
    <row r="186" spans="15:30" ht="12" customHeight="1" x14ac:dyDescent="0.25"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</row>
    <row r="187" spans="15:30" ht="12" customHeight="1" x14ac:dyDescent="0.25"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</row>
    <row r="188" spans="15:30" ht="12" customHeight="1" x14ac:dyDescent="0.25"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</row>
    <row r="189" spans="15:30" ht="12" customHeight="1" x14ac:dyDescent="0.25"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</row>
    <row r="190" spans="15:30" ht="12" customHeight="1" x14ac:dyDescent="0.25"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</row>
    <row r="191" spans="15:30" ht="12" customHeight="1" x14ac:dyDescent="0.25"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</row>
    <row r="192" spans="15:30" ht="12" customHeight="1" x14ac:dyDescent="0.25"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</row>
    <row r="193" spans="15:30" ht="12" customHeight="1" x14ac:dyDescent="0.25"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</row>
    <row r="194" spans="15:30" ht="12" customHeight="1" x14ac:dyDescent="0.25"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</row>
    <row r="195" spans="15:30" ht="12" customHeight="1" x14ac:dyDescent="0.25"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</row>
    <row r="196" spans="15:30" ht="12" customHeight="1" x14ac:dyDescent="0.25"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</row>
    <row r="197" spans="15:30" ht="12" customHeight="1" x14ac:dyDescent="0.25"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</row>
    <row r="198" spans="15:30" ht="12" customHeight="1" x14ac:dyDescent="0.25"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</row>
    <row r="199" spans="15:30" ht="12" customHeight="1" x14ac:dyDescent="0.25"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</row>
    <row r="200" spans="15:30" ht="12" customHeight="1" x14ac:dyDescent="0.25"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</row>
  </sheetData>
  <mergeCells count="19">
    <mergeCell ref="B37:B40"/>
    <mergeCell ref="B41:B42"/>
    <mergeCell ref="B43:B44"/>
    <mergeCell ref="B45:C45"/>
    <mergeCell ref="O1:U1"/>
    <mergeCell ref="A47:C47"/>
    <mergeCell ref="A48:C48"/>
    <mergeCell ref="A46:C46"/>
    <mergeCell ref="L1:M1"/>
    <mergeCell ref="A2:A29"/>
    <mergeCell ref="A30:A45"/>
    <mergeCell ref="B2:B10"/>
    <mergeCell ref="B11:B18"/>
    <mergeCell ref="B19:B20"/>
    <mergeCell ref="B21:B23"/>
    <mergeCell ref="B24:B28"/>
    <mergeCell ref="B29:C29"/>
    <mergeCell ref="B30:B34"/>
    <mergeCell ref="B35:B36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D0C63-B81B-4082-8539-A47D2980952C}">
  <dimension ref="A1:AP51"/>
  <sheetViews>
    <sheetView showGridLines="0" topLeftCell="A29" workbookViewId="0">
      <selection activeCell="K62" sqref="K62:P62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9" width="8.7109375" style="9" bestFit="1" customWidth="1"/>
    <col min="20" max="20" width="9.28515625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5703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570312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128" t="s">
        <v>59</v>
      </c>
      <c r="B1" s="128" t="s">
        <v>60</v>
      </c>
      <c r="C1" s="128" t="s">
        <v>61</v>
      </c>
      <c r="D1" s="128" t="s">
        <v>62</v>
      </c>
      <c r="E1" s="128" t="s">
        <v>63</v>
      </c>
      <c r="F1" s="128" t="s">
        <v>15</v>
      </c>
      <c r="G1" s="128" t="s">
        <v>65</v>
      </c>
      <c r="H1" s="128" t="s">
        <v>66</v>
      </c>
      <c r="I1" s="128" t="s">
        <v>608</v>
      </c>
      <c r="J1" s="119"/>
      <c r="L1" s="129" t="s">
        <v>609</v>
      </c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P1" s="129" t="s">
        <v>610</v>
      </c>
    </row>
    <row r="2" spans="1:42" ht="11.25" customHeight="1" x14ac:dyDescent="0.25">
      <c r="A2" s="128"/>
      <c r="B2" s="128"/>
      <c r="C2" s="128"/>
      <c r="D2" s="128"/>
      <c r="E2" s="128"/>
      <c r="F2" s="128"/>
      <c r="G2" s="128"/>
      <c r="H2" s="128"/>
      <c r="I2" s="128"/>
      <c r="J2" s="119"/>
      <c r="L2" s="129" t="s">
        <v>508</v>
      </c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P2" s="130"/>
    </row>
    <row r="3" spans="1:42" ht="11.25" customHeight="1" x14ac:dyDescent="0.25">
      <c r="A3" s="128"/>
      <c r="B3" s="128"/>
      <c r="C3" s="128"/>
      <c r="D3" s="128"/>
      <c r="E3" s="128"/>
      <c r="F3" s="128"/>
      <c r="G3" s="128"/>
      <c r="H3" s="128"/>
      <c r="I3" s="128"/>
      <c r="J3" s="119"/>
      <c r="L3" s="129" t="s">
        <v>509</v>
      </c>
      <c r="M3" s="129"/>
      <c r="N3" s="129"/>
      <c r="O3" s="129"/>
      <c r="P3" s="129"/>
      <c r="Q3" s="129"/>
      <c r="R3" s="129"/>
      <c r="S3" s="129"/>
      <c r="T3" s="129"/>
      <c r="U3" s="129" t="s">
        <v>518</v>
      </c>
      <c r="V3" s="129"/>
      <c r="W3" s="129"/>
      <c r="X3" s="129"/>
      <c r="Y3" s="129"/>
      <c r="Z3" s="129"/>
      <c r="AA3" s="129"/>
      <c r="AB3" s="129"/>
      <c r="AC3" s="129" t="s">
        <v>526</v>
      </c>
      <c r="AD3" s="129"/>
      <c r="AE3" s="129" t="s">
        <v>528</v>
      </c>
      <c r="AF3" s="129"/>
      <c r="AG3" s="129"/>
      <c r="AH3" s="129" t="s">
        <v>531</v>
      </c>
      <c r="AI3" s="129"/>
      <c r="AJ3" s="129"/>
      <c r="AK3" s="129"/>
      <c r="AL3" s="129"/>
      <c r="AM3" s="129" t="s">
        <v>517</v>
      </c>
      <c r="AP3" s="130"/>
    </row>
    <row r="4" spans="1:42" ht="11.25" customHeight="1" x14ac:dyDescent="0.25">
      <c r="A4" s="128"/>
      <c r="B4" s="128"/>
      <c r="C4" s="128"/>
      <c r="D4" s="128"/>
      <c r="E4" s="128"/>
      <c r="F4" s="128"/>
      <c r="G4" s="128"/>
      <c r="H4" s="128"/>
      <c r="I4" s="128"/>
      <c r="J4" s="119"/>
      <c r="L4" s="41" t="s">
        <v>593</v>
      </c>
      <c r="M4" s="41" t="s">
        <v>510</v>
      </c>
      <c r="N4" s="41" t="s">
        <v>511</v>
      </c>
      <c r="O4" s="41" t="s">
        <v>512</v>
      </c>
      <c r="P4" s="41" t="s">
        <v>513</v>
      </c>
      <c r="Q4" s="41" t="s">
        <v>514</v>
      </c>
      <c r="R4" s="41" t="s">
        <v>515</v>
      </c>
      <c r="S4" s="41" t="s">
        <v>516</v>
      </c>
      <c r="T4" s="41" t="s">
        <v>517</v>
      </c>
      <c r="U4" s="41" t="s">
        <v>519</v>
      </c>
      <c r="V4" s="41" t="s">
        <v>520</v>
      </c>
      <c r="W4" s="41" t="s">
        <v>521</v>
      </c>
      <c r="X4" s="41" t="s">
        <v>522</v>
      </c>
      <c r="Y4" s="41" t="s">
        <v>523</v>
      </c>
      <c r="Z4" s="41" t="s">
        <v>524</v>
      </c>
      <c r="AA4" s="41" t="s">
        <v>525</v>
      </c>
      <c r="AB4" s="41" t="s">
        <v>517</v>
      </c>
      <c r="AC4" s="41" t="s">
        <v>527</v>
      </c>
      <c r="AD4" s="41" t="s">
        <v>517</v>
      </c>
      <c r="AE4" s="41" t="s">
        <v>529</v>
      </c>
      <c r="AF4" s="41" t="s">
        <v>530</v>
      </c>
      <c r="AG4" s="41" t="s">
        <v>517</v>
      </c>
      <c r="AH4" s="41" t="s">
        <v>532</v>
      </c>
      <c r="AI4" s="41" t="s">
        <v>533</v>
      </c>
      <c r="AJ4" s="41" t="s">
        <v>534</v>
      </c>
      <c r="AK4" s="41" t="s">
        <v>535</v>
      </c>
      <c r="AL4" s="41" t="s">
        <v>517</v>
      </c>
      <c r="AM4" s="131"/>
      <c r="AP4" s="130"/>
    </row>
    <row r="5" spans="1:42" ht="11.25" customHeight="1" x14ac:dyDescent="0.25">
      <c r="A5" s="132" t="s">
        <v>34</v>
      </c>
      <c r="B5" s="132" t="s">
        <v>74</v>
      </c>
      <c r="C5" s="132" t="s">
        <v>25</v>
      </c>
      <c r="D5" s="132" t="s">
        <v>25</v>
      </c>
      <c r="E5" s="132" t="s">
        <v>25</v>
      </c>
      <c r="F5" s="132" t="s">
        <v>25</v>
      </c>
      <c r="G5" s="21" t="s">
        <v>76</v>
      </c>
      <c r="H5" s="21" t="s">
        <v>75</v>
      </c>
      <c r="I5" s="21">
        <f>'MERCADO TUSD'!$U$2</f>
        <v>0</v>
      </c>
      <c r="J5" s="17"/>
      <c r="L5" s="39"/>
      <c r="M5" s="39"/>
      <c r="N5" s="39"/>
      <c r="O5" s="39"/>
      <c r="P5" s="39"/>
      <c r="Q5" s="39"/>
      <c r="R5" s="39"/>
      <c r="S5" s="39"/>
      <c r="T5" s="39"/>
      <c r="U5" s="39">
        <v>0</v>
      </c>
      <c r="V5" s="39">
        <v>0</v>
      </c>
      <c r="W5" s="39">
        <v>0</v>
      </c>
      <c r="X5" s="39">
        <v>0</v>
      </c>
      <c r="Y5" s="39">
        <v>75.962400000000002</v>
      </c>
      <c r="Z5" s="39">
        <v>0</v>
      </c>
      <c r="AA5" s="39">
        <v>0</v>
      </c>
      <c r="AB5" s="39"/>
      <c r="AC5" s="39">
        <v>83.398799999999994</v>
      </c>
      <c r="AD5" s="39"/>
      <c r="AE5" s="39"/>
      <c r="AF5" s="39"/>
      <c r="AG5" s="39"/>
      <c r="AH5" s="39"/>
      <c r="AI5" s="39"/>
      <c r="AJ5" s="39"/>
      <c r="AK5" s="39"/>
      <c r="AL5" s="39"/>
      <c r="AM5" s="39"/>
      <c r="AP5" s="39">
        <v>1</v>
      </c>
    </row>
    <row r="6" spans="1:42" ht="11.25" customHeight="1" x14ac:dyDescent="0.25">
      <c r="A6" s="132"/>
      <c r="B6" s="132"/>
      <c r="C6" s="132"/>
      <c r="D6" s="132"/>
      <c r="E6" s="132"/>
      <c r="F6" s="132"/>
      <c r="G6" s="21" t="s">
        <v>77</v>
      </c>
      <c r="H6" s="21" t="s">
        <v>75</v>
      </c>
      <c r="I6" s="21">
        <f>'MERCADO TUSD'!$U$3</f>
        <v>0</v>
      </c>
      <c r="J6" s="17"/>
      <c r="L6" s="39"/>
      <c r="M6" s="39"/>
      <c r="N6" s="39"/>
      <c r="O6" s="39"/>
      <c r="P6" s="39"/>
      <c r="Q6" s="39"/>
      <c r="R6" s="39"/>
      <c r="S6" s="39"/>
      <c r="T6" s="39"/>
      <c r="U6" s="39">
        <v>0</v>
      </c>
      <c r="V6" s="39">
        <v>0</v>
      </c>
      <c r="W6" s="39">
        <v>0</v>
      </c>
      <c r="X6" s="39">
        <v>0</v>
      </c>
      <c r="Y6" s="39">
        <v>23.959900000000001</v>
      </c>
      <c r="Z6" s="39">
        <v>0</v>
      </c>
      <c r="AA6" s="39">
        <v>0</v>
      </c>
      <c r="AB6" s="39"/>
      <c r="AC6" s="39">
        <v>26.305499999999999</v>
      </c>
      <c r="AD6" s="39"/>
      <c r="AE6" s="39"/>
      <c r="AF6" s="39"/>
      <c r="AG6" s="39"/>
      <c r="AH6" s="39"/>
      <c r="AI6" s="39"/>
      <c r="AJ6" s="39"/>
      <c r="AK6" s="39"/>
      <c r="AL6" s="39"/>
      <c r="AM6" s="39"/>
      <c r="AP6" s="39">
        <v>1</v>
      </c>
    </row>
    <row r="7" spans="1:42" ht="11.25" customHeight="1" x14ac:dyDescent="0.25">
      <c r="A7" s="132"/>
      <c r="B7" s="132"/>
      <c r="C7" s="132"/>
      <c r="D7" s="132"/>
      <c r="E7" s="132"/>
      <c r="F7" s="132"/>
      <c r="G7" s="21" t="s">
        <v>73</v>
      </c>
      <c r="H7" s="21" t="s">
        <v>69</v>
      </c>
      <c r="I7" s="21">
        <f>'MERCADO TUSD'!$U$4</f>
        <v>0</v>
      </c>
      <c r="J7" s="17"/>
      <c r="L7" s="39"/>
      <c r="M7" s="39"/>
      <c r="N7" s="39"/>
      <c r="O7" s="39"/>
      <c r="P7" s="39"/>
      <c r="Q7" s="39"/>
      <c r="R7" s="39"/>
      <c r="S7" s="39"/>
      <c r="T7" s="39"/>
      <c r="U7" s="39">
        <v>0</v>
      </c>
      <c r="V7" s="39">
        <v>0</v>
      </c>
      <c r="W7" s="39">
        <v>0</v>
      </c>
      <c r="X7" s="39">
        <v>0</v>
      </c>
      <c r="Y7" s="39">
        <v>0</v>
      </c>
      <c r="Z7" s="39">
        <v>0</v>
      </c>
      <c r="AA7" s="39">
        <v>0</v>
      </c>
      <c r="AB7" s="39"/>
      <c r="AC7" s="39">
        <v>0</v>
      </c>
      <c r="AD7" s="39"/>
      <c r="AE7" s="39"/>
      <c r="AF7" s="39"/>
      <c r="AG7" s="39"/>
      <c r="AH7" s="39"/>
      <c r="AI7" s="39"/>
      <c r="AJ7" s="39"/>
      <c r="AK7" s="39"/>
      <c r="AL7" s="39"/>
      <c r="AM7" s="39"/>
      <c r="AP7" s="39">
        <v>1</v>
      </c>
    </row>
    <row r="8" spans="1:42" ht="11.25" customHeight="1" x14ac:dyDescent="0.25">
      <c r="A8" s="132"/>
      <c r="B8" s="132"/>
      <c r="C8" s="132"/>
      <c r="D8" s="132"/>
      <c r="E8" s="40" t="s">
        <v>78</v>
      </c>
      <c r="F8" s="40" t="s">
        <v>25</v>
      </c>
      <c r="G8" s="21" t="s">
        <v>73</v>
      </c>
      <c r="H8" s="21" t="s">
        <v>69</v>
      </c>
      <c r="I8" s="21">
        <f>'MERCADO TUSD'!$U$5</f>
        <v>0</v>
      </c>
      <c r="J8" s="17"/>
      <c r="L8" s="39"/>
      <c r="M8" s="39"/>
      <c r="N8" s="39"/>
      <c r="O8" s="39"/>
      <c r="P8" s="39"/>
      <c r="Q8" s="39"/>
      <c r="R8" s="39"/>
      <c r="S8" s="39"/>
      <c r="T8" s="39"/>
      <c r="U8" s="39">
        <v>0</v>
      </c>
      <c r="V8" s="39">
        <v>0</v>
      </c>
      <c r="W8" s="39">
        <v>0</v>
      </c>
      <c r="X8" s="39">
        <v>0</v>
      </c>
      <c r="Y8" s="39">
        <v>0</v>
      </c>
      <c r="Z8" s="39">
        <v>0</v>
      </c>
      <c r="AA8" s="39">
        <v>0</v>
      </c>
      <c r="AB8" s="39"/>
      <c r="AC8" s="39">
        <v>0</v>
      </c>
      <c r="AD8" s="39"/>
      <c r="AE8" s="39"/>
      <c r="AF8" s="39"/>
      <c r="AG8" s="39"/>
      <c r="AH8" s="39"/>
      <c r="AI8" s="39"/>
      <c r="AJ8" s="39"/>
      <c r="AK8" s="39"/>
      <c r="AL8" s="39"/>
      <c r="AM8" s="39"/>
      <c r="AP8" s="39">
        <v>1</v>
      </c>
    </row>
    <row r="9" spans="1:42" ht="11.25" customHeight="1" x14ac:dyDescent="0.25">
      <c r="A9" s="132"/>
      <c r="B9" s="40" t="s">
        <v>79</v>
      </c>
      <c r="C9" s="40" t="s">
        <v>25</v>
      </c>
      <c r="D9" s="40" t="s">
        <v>25</v>
      </c>
      <c r="E9" s="40" t="s">
        <v>25</v>
      </c>
      <c r="F9" s="40" t="s">
        <v>25</v>
      </c>
      <c r="G9" s="21" t="s">
        <v>9</v>
      </c>
      <c r="H9" s="21" t="s">
        <v>75</v>
      </c>
      <c r="I9" s="21">
        <f>'MERCADO TUSD'!$U$6</f>
        <v>0</v>
      </c>
      <c r="J9" s="17"/>
      <c r="L9" s="39"/>
      <c r="M9" s="39"/>
      <c r="N9" s="39"/>
      <c r="O9" s="39"/>
      <c r="P9" s="39"/>
      <c r="Q9" s="39"/>
      <c r="R9" s="39"/>
      <c r="S9" s="39"/>
      <c r="T9" s="39"/>
      <c r="U9" s="39">
        <v>0</v>
      </c>
      <c r="V9" s="39">
        <v>0</v>
      </c>
      <c r="W9" s="39">
        <v>0</v>
      </c>
      <c r="X9" s="39">
        <v>0</v>
      </c>
      <c r="Y9" s="39">
        <v>0</v>
      </c>
      <c r="Z9" s="39">
        <v>0</v>
      </c>
      <c r="AA9" s="39">
        <v>0</v>
      </c>
      <c r="AB9" s="39"/>
      <c r="AC9" s="39">
        <v>10.108000000000001</v>
      </c>
      <c r="AD9" s="39"/>
      <c r="AE9" s="39"/>
      <c r="AF9" s="39"/>
      <c r="AG9" s="39"/>
      <c r="AH9" s="39"/>
      <c r="AI9" s="39"/>
      <c r="AJ9" s="39"/>
      <c r="AK9" s="39"/>
      <c r="AL9" s="39"/>
      <c r="AM9" s="39"/>
      <c r="AP9" s="39"/>
    </row>
    <row r="10" spans="1:42" ht="11.25" customHeight="1" x14ac:dyDescent="0.25">
      <c r="A10" s="132"/>
      <c r="B10" s="132" t="s">
        <v>35</v>
      </c>
      <c r="C10" s="132" t="s">
        <v>25</v>
      </c>
      <c r="D10" s="132" t="s">
        <v>25</v>
      </c>
      <c r="E10" s="132" t="s">
        <v>25</v>
      </c>
      <c r="F10" s="132" t="s">
        <v>25</v>
      </c>
      <c r="G10" s="21" t="s">
        <v>9</v>
      </c>
      <c r="H10" s="21" t="s">
        <v>75</v>
      </c>
      <c r="I10" s="21">
        <f>'MERCADO TUSD'!$U$7</f>
        <v>1445</v>
      </c>
      <c r="J10" s="17"/>
      <c r="L10" s="39"/>
      <c r="M10" s="39"/>
      <c r="N10" s="39"/>
      <c r="O10" s="39"/>
      <c r="P10" s="39"/>
      <c r="Q10" s="39"/>
      <c r="R10" s="39"/>
      <c r="S10" s="39"/>
      <c r="T10" s="39"/>
      <c r="U10" s="39">
        <v>0</v>
      </c>
      <c r="V10" s="39">
        <v>0</v>
      </c>
      <c r="W10" s="39">
        <v>0</v>
      </c>
      <c r="X10" s="39">
        <v>0</v>
      </c>
      <c r="Y10" s="39">
        <v>23.959900000000001</v>
      </c>
      <c r="Z10" s="39">
        <v>0</v>
      </c>
      <c r="AA10" s="39">
        <v>0</v>
      </c>
      <c r="AB10" s="39"/>
      <c r="AC10" s="39">
        <v>26.305499999999999</v>
      </c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P10" s="39">
        <v>1</v>
      </c>
    </row>
    <row r="11" spans="1:42" ht="11.25" customHeight="1" x14ac:dyDescent="0.25">
      <c r="A11" s="132"/>
      <c r="B11" s="132"/>
      <c r="C11" s="132"/>
      <c r="D11" s="132"/>
      <c r="E11" s="132"/>
      <c r="F11" s="132"/>
      <c r="G11" s="21" t="s">
        <v>70</v>
      </c>
      <c r="H11" s="21" t="s">
        <v>69</v>
      </c>
      <c r="I11" s="21">
        <f>'MERCADO TUSD'!$U$8</f>
        <v>2.2919999999999998</v>
      </c>
      <c r="J11" s="17"/>
      <c r="L11" s="39"/>
      <c r="M11" s="39"/>
      <c r="N11" s="39"/>
      <c r="O11" s="39"/>
      <c r="P11" s="39"/>
      <c r="Q11" s="39"/>
      <c r="R11" s="39"/>
      <c r="S11" s="39"/>
      <c r="T11" s="39"/>
      <c r="U11" s="39">
        <v>0</v>
      </c>
      <c r="V11" s="39">
        <v>0</v>
      </c>
      <c r="W11" s="39">
        <v>0</v>
      </c>
      <c r="X11" s="39">
        <v>0</v>
      </c>
      <c r="Y11" s="39">
        <v>720.50750000000005</v>
      </c>
      <c r="Z11" s="39">
        <v>0</v>
      </c>
      <c r="AA11" s="39">
        <v>0</v>
      </c>
      <c r="AB11" s="39"/>
      <c r="AC11" s="39">
        <v>2005.7456</v>
      </c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P11" s="39">
        <v>1</v>
      </c>
    </row>
    <row r="12" spans="1:42" ht="11.25" customHeight="1" x14ac:dyDescent="0.25">
      <c r="A12" s="132"/>
      <c r="B12" s="132"/>
      <c r="C12" s="132"/>
      <c r="D12" s="132"/>
      <c r="E12" s="132"/>
      <c r="F12" s="132"/>
      <c r="G12" s="21" t="s">
        <v>71</v>
      </c>
      <c r="H12" s="21" t="s">
        <v>69</v>
      </c>
      <c r="I12" s="21">
        <f>'MERCADO TUSD'!$U$9</f>
        <v>310.52600000000001</v>
      </c>
      <c r="J12" s="17"/>
      <c r="L12" s="39"/>
      <c r="M12" s="39"/>
      <c r="N12" s="39"/>
      <c r="O12" s="39"/>
      <c r="P12" s="39"/>
      <c r="Q12" s="39"/>
      <c r="R12" s="39"/>
      <c r="S12" s="39"/>
      <c r="T12" s="39"/>
      <c r="U12" s="39">
        <v>0</v>
      </c>
      <c r="V12" s="39">
        <v>0</v>
      </c>
      <c r="W12" s="39">
        <v>0</v>
      </c>
      <c r="X12" s="39">
        <v>0</v>
      </c>
      <c r="Y12" s="39">
        <v>0</v>
      </c>
      <c r="Z12" s="39">
        <v>0</v>
      </c>
      <c r="AA12" s="39">
        <v>0</v>
      </c>
      <c r="AB12" s="39"/>
      <c r="AC12" s="39">
        <v>0</v>
      </c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P12" s="39">
        <v>1</v>
      </c>
    </row>
    <row r="13" spans="1:42" ht="11.25" customHeight="1" x14ac:dyDescent="0.25">
      <c r="A13" s="132"/>
      <c r="B13" s="132"/>
      <c r="C13" s="132"/>
      <c r="D13" s="132"/>
      <c r="E13" s="132" t="s">
        <v>78</v>
      </c>
      <c r="F13" s="132" t="s">
        <v>25</v>
      </c>
      <c r="G13" s="21" t="s">
        <v>70</v>
      </c>
      <c r="H13" s="21" t="s">
        <v>69</v>
      </c>
      <c r="I13" s="21">
        <f>'MERCADO TUSD'!$U$10</f>
        <v>0</v>
      </c>
      <c r="J13" s="17"/>
      <c r="L13" s="39"/>
      <c r="M13" s="39"/>
      <c r="N13" s="39"/>
      <c r="O13" s="39"/>
      <c r="P13" s="39"/>
      <c r="Q13" s="39"/>
      <c r="R13" s="39"/>
      <c r="S13" s="39"/>
      <c r="T13" s="39"/>
      <c r="U13" s="39">
        <v>0</v>
      </c>
      <c r="V13" s="39">
        <v>0</v>
      </c>
      <c r="W13" s="39">
        <v>0</v>
      </c>
      <c r="X13" s="39">
        <v>0</v>
      </c>
      <c r="Y13" s="39">
        <v>720.50750000000005</v>
      </c>
      <c r="Z13" s="39">
        <v>0</v>
      </c>
      <c r="AA13" s="39">
        <v>0</v>
      </c>
      <c r="AB13" s="39"/>
      <c r="AC13" s="39">
        <v>2005.7456</v>
      </c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P13" s="39">
        <v>1</v>
      </c>
    </row>
    <row r="14" spans="1:42" ht="11.25" customHeight="1" x14ac:dyDescent="0.25">
      <c r="A14" s="132"/>
      <c r="B14" s="132"/>
      <c r="C14" s="132"/>
      <c r="D14" s="132"/>
      <c r="E14" s="132"/>
      <c r="F14" s="132"/>
      <c r="G14" s="21" t="s">
        <v>71</v>
      </c>
      <c r="H14" s="21" t="s">
        <v>69</v>
      </c>
      <c r="I14" s="21">
        <f>'MERCADO TUSD'!$U$11</f>
        <v>0</v>
      </c>
      <c r="J14" s="17"/>
      <c r="L14" s="39"/>
      <c r="M14" s="39"/>
      <c r="N14" s="39"/>
      <c r="O14" s="39"/>
      <c r="P14" s="39"/>
      <c r="Q14" s="39"/>
      <c r="R14" s="39"/>
      <c r="S14" s="39"/>
      <c r="T14" s="39"/>
      <c r="U14" s="39">
        <v>0</v>
      </c>
      <c r="V14" s="39">
        <v>0</v>
      </c>
      <c r="W14" s="39">
        <v>0</v>
      </c>
      <c r="X14" s="39">
        <v>0</v>
      </c>
      <c r="Y14" s="39">
        <v>0</v>
      </c>
      <c r="Z14" s="39">
        <v>0</v>
      </c>
      <c r="AA14" s="39">
        <v>0</v>
      </c>
      <c r="AB14" s="39"/>
      <c r="AC14" s="39">
        <v>0</v>
      </c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P14" s="39">
        <v>1</v>
      </c>
    </row>
    <row r="15" spans="1:42" ht="11.25" customHeight="1" x14ac:dyDescent="0.25">
      <c r="A15" s="132" t="s">
        <v>80</v>
      </c>
      <c r="B15" s="132" t="s">
        <v>79</v>
      </c>
      <c r="C15" s="132" t="s">
        <v>25</v>
      </c>
      <c r="D15" s="132" t="s">
        <v>25</v>
      </c>
      <c r="E15" s="40" t="s">
        <v>81</v>
      </c>
      <c r="F15" s="40" t="s">
        <v>25</v>
      </c>
      <c r="G15" s="21" t="s">
        <v>9</v>
      </c>
      <c r="H15" s="21" t="s">
        <v>75</v>
      </c>
      <c r="I15" s="21">
        <f>'MERCADO TUSD'!$U$12+0.00000001</f>
        <v>1E-8</v>
      </c>
      <c r="J15" s="17"/>
      <c r="L15" s="39"/>
      <c r="M15" s="39"/>
      <c r="N15" s="39"/>
      <c r="O15" s="39"/>
      <c r="P15" s="39"/>
      <c r="Q15" s="39"/>
      <c r="R15" s="39"/>
      <c r="S15" s="39"/>
      <c r="T15" s="39"/>
      <c r="U15" s="39">
        <v>0</v>
      </c>
      <c r="V15" s="39">
        <v>0</v>
      </c>
      <c r="W15" s="39">
        <v>0</v>
      </c>
      <c r="X15" s="39">
        <v>0</v>
      </c>
      <c r="Y15" s="39">
        <v>0</v>
      </c>
      <c r="Z15" s="39">
        <v>0</v>
      </c>
      <c r="AA15" s="39">
        <v>0</v>
      </c>
      <c r="AB15" s="39"/>
      <c r="AC15" s="39">
        <v>4.9530000000000003</v>
      </c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P15" s="39"/>
    </row>
    <row r="16" spans="1:42" ht="11.25" customHeight="1" x14ac:dyDescent="0.25">
      <c r="A16" s="132"/>
      <c r="B16" s="132"/>
      <c r="C16" s="132"/>
      <c r="D16" s="132"/>
      <c r="E16" s="40" t="s">
        <v>82</v>
      </c>
      <c r="F16" s="40" t="s">
        <v>25</v>
      </c>
      <c r="G16" s="21" t="s">
        <v>9</v>
      </c>
      <c r="H16" s="21" t="s">
        <v>75</v>
      </c>
      <c r="I16" s="21">
        <f>'MERCADO TUSD'!$U$13+0.00000001</f>
        <v>1E-8</v>
      </c>
      <c r="J16" s="17"/>
      <c r="L16" s="39"/>
      <c r="M16" s="39"/>
      <c r="N16" s="39"/>
      <c r="O16" s="39"/>
      <c r="P16" s="39"/>
      <c r="Q16" s="39"/>
      <c r="R16" s="39"/>
      <c r="S16" s="39"/>
      <c r="T16" s="39"/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/>
      <c r="AC16" s="39">
        <v>14.957000000000001</v>
      </c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P16" s="39"/>
    </row>
    <row r="17" spans="1:42" ht="11.25" customHeight="1" x14ac:dyDescent="0.25">
      <c r="A17" s="132" t="s">
        <v>22</v>
      </c>
      <c r="B17" s="132" t="s">
        <v>39</v>
      </c>
      <c r="C17" s="132" t="s">
        <v>24</v>
      </c>
      <c r="D17" s="132" t="s">
        <v>24</v>
      </c>
      <c r="E17" s="132" t="s">
        <v>25</v>
      </c>
      <c r="F17" s="132" t="s">
        <v>25</v>
      </c>
      <c r="G17" s="21" t="s">
        <v>70</v>
      </c>
      <c r="H17" s="21" t="s">
        <v>69</v>
      </c>
      <c r="I17" s="21">
        <f>'MERCADO TUSD'!$U$14</f>
        <v>0</v>
      </c>
      <c r="J17" s="17"/>
      <c r="L17" s="39"/>
      <c r="M17" s="39"/>
      <c r="N17" s="39"/>
      <c r="O17" s="39"/>
      <c r="P17" s="39"/>
      <c r="Q17" s="39"/>
      <c r="R17" s="39"/>
      <c r="S17" s="39"/>
      <c r="T17" s="39"/>
      <c r="U17" s="39">
        <v>0</v>
      </c>
      <c r="V17" s="39">
        <v>0</v>
      </c>
      <c r="W17" s="39">
        <v>0</v>
      </c>
      <c r="X17" s="39">
        <v>0</v>
      </c>
      <c r="Y17" s="39">
        <v>351.56889999999999</v>
      </c>
      <c r="Z17" s="39">
        <v>0</v>
      </c>
      <c r="AA17" s="39">
        <v>0</v>
      </c>
      <c r="AB17" s="39"/>
      <c r="AC17" s="39">
        <v>1230.1161</v>
      </c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P17" s="39">
        <v>1</v>
      </c>
    </row>
    <row r="18" spans="1:42" ht="11.25" customHeight="1" x14ac:dyDescent="0.25">
      <c r="A18" s="132"/>
      <c r="B18" s="132"/>
      <c r="C18" s="132"/>
      <c r="D18" s="132"/>
      <c r="E18" s="132"/>
      <c r="F18" s="132"/>
      <c r="G18" s="21" t="s">
        <v>83</v>
      </c>
      <c r="H18" s="21" t="s">
        <v>69</v>
      </c>
      <c r="I18" s="21">
        <f>'MERCADO TUSD'!$U$15</f>
        <v>5.0000000000000001E-3</v>
      </c>
      <c r="J18" s="17"/>
      <c r="L18" s="39"/>
      <c r="M18" s="39"/>
      <c r="N18" s="39"/>
      <c r="O18" s="39"/>
      <c r="P18" s="39"/>
      <c r="Q18" s="39"/>
      <c r="R18" s="39"/>
      <c r="S18" s="39"/>
      <c r="T18" s="39"/>
      <c r="U18" s="39">
        <v>0</v>
      </c>
      <c r="V18" s="39">
        <v>0</v>
      </c>
      <c r="W18" s="39">
        <v>0</v>
      </c>
      <c r="X18" s="39">
        <v>0</v>
      </c>
      <c r="Y18" s="39">
        <v>210.93950000000001</v>
      </c>
      <c r="Z18" s="39">
        <v>0</v>
      </c>
      <c r="AA18" s="39">
        <v>0</v>
      </c>
      <c r="AB18" s="39"/>
      <c r="AC18" s="39">
        <v>738.06939999999997</v>
      </c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P18" s="39">
        <v>1</v>
      </c>
    </row>
    <row r="19" spans="1:42" ht="11.25" customHeight="1" x14ac:dyDescent="0.25">
      <c r="A19" s="132"/>
      <c r="B19" s="132"/>
      <c r="C19" s="132"/>
      <c r="D19" s="132"/>
      <c r="E19" s="132"/>
      <c r="F19" s="132"/>
      <c r="G19" s="21" t="s">
        <v>71</v>
      </c>
      <c r="H19" s="21" t="s">
        <v>69</v>
      </c>
      <c r="I19" s="21">
        <f>'MERCADO TUSD'!$U$16</f>
        <v>0.96600000000000008</v>
      </c>
      <c r="J19" s="17"/>
      <c r="L19" s="39"/>
      <c r="M19" s="39"/>
      <c r="N19" s="39"/>
      <c r="O19" s="39"/>
      <c r="P19" s="39"/>
      <c r="Q19" s="39"/>
      <c r="R19" s="39"/>
      <c r="S19" s="39"/>
      <c r="T19" s="39"/>
      <c r="U19" s="39">
        <v>0</v>
      </c>
      <c r="V19" s="39">
        <v>0</v>
      </c>
      <c r="W19" s="39">
        <v>0</v>
      </c>
      <c r="X19" s="39">
        <v>0</v>
      </c>
      <c r="Y19" s="39">
        <v>70.3125</v>
      </c>
      <c r="Z19" s="39">
        <v>0</v>
      </c>
      <c r="AA19" s="39">
        <v>0</v>
      </c>
      <c r="AB19" s="39"/>
      <c r="AC19" s="39">
        <v>246.0232</v>
      </c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P19" s="39">
        <v>1</v>
      </c>
    </row>
    <row r="20" spans="1:42" ht="11.25" customHeight="1" x14ac:dyDescent="0.25">
      <c r="A20" s="132"/>
      <c r="B20" s="132" t="s">
        <v>23</v>
      </c>
      <c r="C20" s="132" t="s">
        <v>24</v>
      </c>
      <c r="D20" s="40" t="s">
        <v>24</v>
      </c>
      <c r="E20" s="40" t="s">
        <v>25</v>
      </c>
      <c r="F20" s="40" t="s">
        <v>25</v>
      </c>
      <c r="G20" s="21" t="s">
        <v>73</v>
      </c>
      <c r="H20" s="21" t="s">
        <v>69</v>
      </c>
      <c r="I20" s="21">
        <f>'MERCADO TUSD'!$U$17</f>
        <v>2520.6710000000003</v>
      </c>
      <c r="J20" s="17"/>
      <c r="L20" s="39"/>
      <c r="M20" s="39"/>
      <c r="N20" s="39"/>
      <c r="O20" s="39"/>
      <c r="P20" s="39"/>
      <c r="Q20" s="39"/>
      <c r="R20" s="39"/>
      <c r="S20" s="39"/>
      <c r="T20" s="39"/>
      <c r="U20" s="39">
        <v>0</v>
      </c>
      <c r="V20" s="39">
        <v>0</v>
      </c>
      <c r="W20" s="39">
        <v>0</v>
      </c>
      <c r="X20" s="39">
        <v>0</v>
      </c>
      <c r="Y20" s="39">
        <v>117.1891</v>
      </c>
      <c r="Z20" s="39">
        <v>0</v>
      </c>
      <c r="AA20" s="39">
        <v>0</v>
      </c>
      <c r="AB20" s="39"/>
      <c r="AC20" s="39">
        <v>410.0385</v>
      </c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P20" s="39">
        <v>1</v>
      </c>
    </row>
    <row r="21" spans="1:42" ht="11.25" customHeight="1" x14ac:dyDescent="0.25">
      <c r="A21" s="132"/>
      <c r="B21" s="132"/>
      <c r="C21" s="132"/>
      <c r="D21" s="40" t="s">
        <v>28</v>
      </c>
      <c r="E21" s="40" t="s">
        <v>25</v>
      </c>
      <c r="F21" s="40" t="s">
        <v>25</v>
      </c>
      <c r="G21" s="21" t="s">
        <v>73</v>
      </c>
      <c r="H21" s="21" t="s">
        <v>69</v>
      </c>
      <c r="I21" s="21">
        <f>'MERCADO TUSD'!$U$18</f>
        <v>782.16</v>
      </c>
      <c r="J21" s="17"/>
      <c r="L21" s="39"/>
      <c r="M21" s="39"/>
      <c r="N21" s="39"/>
      <c r="O21" s="39"/>
      <c r="P21" s="39"/>
      <c r="Q21" s="39"/>
      <c r="R21" s="39"/>
      <c r="S21" s="39"/>
      <c r="T21" s="39"/>
      <c r="U21" s="39">
        <v>0</v>
      </c>
      <c r="V21" s="39">
        <v>0</v>
      </c>
      <c r="W21" s="39">
        <v>0</v>
      </c>
      <c r="X21" s="39">
        <v>0</v>
      </c>
      <c r="Y21" s="39">
        <f>(1 - CUSTOS!$M$24)*117.1891</f>
        <v>117.1891</v>
      </c>
      <c r="Z21" s="39">
        <v>0</v>
      </c>
      <c r="AA21" s="39">
        <v>0</v>
      </c>
      <c r="AB21" s="39"/>
      <c r="AC21" s="39">
        <f>(1 - CUSTOS!$M$24)*410.0385</f>
        <v>410.0385</v>
      </c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P21" s="39">
        <f>IF((1 - CUSTOS!$M$24)&lt;&gt;0,1/(1 - CUSTOS!$M$24),1)</f>
        <v>1</v>
      </c>
    </row>
    <row r="22" spans="1:42" ht="11.25" customHeight="1" x14ac:dyDescent="0.25">
      <c r="A22" s="132"/>
      <c r="B22" s="132"/>
      <c r="C22" s="132"/>
      <c r="D22" s="40" t="s">
        <v>29</v>
      </c>
      <c r="E22" s="40" t="s">
        <v>25</v>
      </c>
      <c r="F22" s="40" t="s">
        <v>25</v>
      </c>
      <c r="G22" s="21" t="s">
        <v>73</v>
      </c>
      <c r="H22" s="21" t="s">
        <v>69</v>
      </c>
      <c r="I22" s="21">
        <f>'MERCADO TUSD'!$U$19</f>
        <v>1214.3559999999998</v>
      </c>
      <c r="J22" s="17"/>
      <c r="L22" s="39"/>
      <c r="M22" s="39"/>
      <c r="N22" s="39"/>
      <c r="O22" s="39"/>
      <c r="P22" s="39"/>
      <c r="Q22" s="39"/>
      <c r="R22" s="39"/>
      <c r="S22" s="39"/>
      <c r="T22" s="39"/>
      <c r="U22" s="39">
        <v>0</v>
      </c>
      <c r="V22" s="39">
        <v>0</v>
      </c>
      <c r="W22" s="39">
        <v>0</v>
      </c>
      <c r="X22" s="39">
        <v>0</v>
      </c>
      <c r="Y22" s="39">
        <f>(1 - CUSTOS!$M$25)*117.1891</f>
        <v>117.1891</v>
      </c>
      <c r="Z22" s="39">
        <v>0</v>
      </c>
      <c r="AA22" s="39">
        <v>0</v>
      </c>
      <c r="AB22" s="39"/>
      <c r="AC22" s="39">
        <f>(1 - CUSTOS!$M$25)*410.0385</f>
        <v>410.0385</v>
      </c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P22" s="39">
        <f>IF((1 - CUSTOS!$M$25)&lt;&gt;0,1/(1 - CUSTOS!$M$25),1)</f>
        <v>1</v>
      </c>
    </row>
    <row r="23" spans="1:42" ht="11.25" customHeight="1" x14ac:dyDescent="0.25">
      <c r="A23" s="132"/>
      <c r="B23" s="132"/>
      <c r="C23" s="132"/>
      <c r="D23" s="40" t="s">
        <v>30</v>
      </c>
      <c r="E23" s="40" t="s">
        <v>25</v>
      </c>
      <c r="F23" s="40" t="s">
        <v>25</v>
      </c>
      <c r="G23" s="21" t="s">
        <v>73</v>
      </c>
      <c r="H23" s="21" t="s">
        <v>69</v>
      </c>
      <c r="I23" s="21">
        <f>'MERCADO TUSD'!$U$20</f>
        <v>403.89</v>
      </c>
      <c r="J23" s="17"/>
      <c r="L23" s="39"/>
      <c r="M23" s="39"/>
      <c r="N23" s="39"/>
      <c r="O23" s="39"/>
      <c r="P23" s="39"/>
      <c r="Q23" s="39"/>
      <c r="R23" s="39"/>
      <c r="S23" s="39"/>
      <c r="T23" s="39"/>
      <c r="U23" s="39">
        <v>0</v>
      </c>
      <c r="V23" s="39">
        <v>0</v>
      </c>
      <c r="W23" s="39">
        <v>0</v>
      </c>
      <c r="X23" s="39">
        <v>0</v>
      </c>
      <c r="Y23" s="39">
        <f>(1 - CUSTOS!$M$26)*117.1891</f>
        <v>117.1891</v>
      </c>
      <c r="Z23" s="39">
        <v>0</v>
      </c>
      <c r="AA23" s="39">
        <v>0</v>
      </c>
      <c r="AB23" s="39"/>
      <c r="AC23" s="39">
        <f>(1 - CUSTOS!$M$26)*410.0385</f>
        <v>410.0385</v>
      </c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P23" s="39">
        <f>IF((1 - CUSTOS!$M$26)&lt;&gt;0,1/(1 - CUSTOS!$M$26),1)</f>
        <v>1</v>
      </c>
    </row>
    <row r="24" spans="1:42" ht="11.25" customHeight="1" x14ac:dyDescent="0.25">
      <c r="A24" s="132"/>
      <c r="B24" s="132"/>
      <c r="C24" s="132"/>
      <c r="D24" s="40" t="s">
        <v>31</v>
      </c>
      <c r="E24" s="40" t="s">
        <v>25</v>
      </c>
      <c r="F24" s="40" t="s">
        <v>25</v>
      </c>
      <c r="G24" s="21" t="s">
        <v>73</v>
      </c>
      <c r="H24" s="21" t="s">
        <v>69</v>
      </c>
      <c r="I24" s="21">
        <f>'MERCADO TUSD'!$U$21</f>
        <v>103.88300000000001</v>
      </c>
      <c r="J24" s="17"/>
      <c r="L24" s="39"/>
      <c r="M24" s="39"/>
      <c r="N24" s="39"/>
      <c r="O24" s="39"/>
      <c r="P24" s="39"/>
      <c r="Q24" s="39"/>
      <c r="R24" s="39"/>
      <c r="S24" s="39"/>
      <c r="T24" s="39"/>
      <c r="U24" s="39">
        <v>0</v>
      </c>
      <c r="V24" s="39">
        <v>0</v>
      </c>
      <c r="W24" s="39">
        <v>0</v>
      </c>
      <c r="X24" s="39">
        <v>0</v>
      </c>
      <c r="Y24" s="39">
        <f>(1 - CUSTOS!$M$27)*117.1891</f>
        <v>117.1891</v>
      </c>
      <c r="Z24" s="39">
        <v>0</v>
      </c>
      <c r="AA24" s="39">
        <v>0</v>
      </c>
      <c r="AB24" s="39"/>
      <c r="AC24" s="39">
        <f>(1 - CUSTOS!$M$27)*410.0385</f>
        <v>410.0385</v>
      </c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P24" s="39">
        <f>IF((1 - CUSTOS!$M$27)&lt;&gt;0,1/(1 - CUSTOS!$M$27),1)</f>
        <v>1</v>
      </c>
    </row>
    <row r="25" spans="1:42" ht="11.25" customHeight="1" x14ac:dyDescent="0.25">
      <c r="A25" s="132"/>
      <c r="B25" s="132" t="s">
        <v>85</v>
      </c>
      <c r="C25" s="132" t="s">
        <v>24</v>
      </c>
      <c r="D25" s="40" t="s">
        <v>24</v>
      </c>
      <c r="E25" s="40" t="s">
        <v>25</v>
      </c>
      <c r="F25" s="40" t="s">
        <v>25</v>
      </c>
      <c r="G25" s="21" t="s">
        <v>73</v>
      </c>
      <c r="H25" s="21" t="s">
        <v>69</v>
      </c>
      <c r="I25" s="21">
        <f>'MERCADO TUSD'!$U$22</f>
        <v>0</v>
      </c>
      <c r="J25" s="17"/>
      <c r="L25" s="39"/>
      <c r="M25" s="39"/>
      <c r="N25" s="39"/>
      <c r="O25" s="39"/>
      <c r="P25" s="39"/>
      <c r="Q25" s="39"/>
      <c r="R25" s="39"/>
      <c r="S25" s="39"/>
      <c r="T25" s="39"/>
      <c r="U25" s="39">
        <v>0</v>
      </c>
      <c r="V25" s="39">
        <v>0</v>
      </c>
      <c r="W25" s="39">
        <v>0</v>
      </c>
      <c r="X25" s="39">
        <v>0</v>
      </c>
      <c r="Y25" s="39">
        <v>117.1891</v>
      </c>
      <c r="Z25" s="39">
        <v>0</v>
      </c>
      <c r="AA25" s="39">
        <v>0</v>
      </c>
      <c r="AB25" s="39"/>
      <c r="AC25" s="39">
        <v>410.0385</v>
      </c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P25" s="39">
        <v>1</v>
      </c>
    </row>
    <row r="26" spans="1:42" ht="11.25" customHeight="1" x14ac:dyDescent="0.25">
      <c r="A26" s="132"/>
      <c r="B26" s="132"/>
      <c r="C26" s="132"/>
      <c r="D26" s="40" t="s">
        <v>28</v>
      </c>
      <c r="E26" s="40" t="s">
        <v>25</v>
      </c>
      <c r="F26" s="40" t="s">
        <v>25</v>
      </c>
      <c r="G26" s="21" t="s">
        <v>73</v>
      </c>
      <c r="H26" s="21" t="s">
        <v>69</v>
      </c>
      <c r="I26" s="21">
        <f>'MERCADO TUSD'!$U$23</f>
        <v>0</v>
      </c>
      <c r="J26" s="17"/>
      <c r="L26" s="39"/>
      <c r="M26" s="39"/>
      <c r="N26" s="39"/>
      <c r="O26" s="39"/>
      <c r="P26" s="39"/>
      <c r="Q26" s="39"/>
      <c r="R26" s="39"/>
      <c r="S26" s="39"/>
      <c r="T26" s="39"/>
      <c r="U26" s="39">
        <v>0</v>
      </c>
      <c r="V26" s="39">
        <v>0</v>
      </c>
      <c r="W26" s="39">
        <v>0</v>
      </c>
      <c r="X26" s="39">
        <v>0</v>
      </c>
      <c r="Y26" s="39">
        <f>(1 - CUSTOS!$M$24)*117.1891</f>
        <v>117.1891</v>
      </c>
      <c r="Z26" s="39">
        <v>0</v>
      </c>
      <c r="AA26" s="39">
        <v>0</v>
      </c>
      <c r="AB26" s="39"/>
      <c r="AC26" s="39">
        <f>(1 - CUSTOS!$M$24)*410.0385</f>
        <v>410.0385</v>
      </c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P26" s="39">
        <f>IF((1 - CUSTOS!$M$24)&lt;&gt;0,1/(1 - CUSTOS!$M$24),1)</f>
        <v>1</v>
      </c>
    </row>
    <row r="27" spans="1:42" ht="11.25" customHeight="1" x14ac:dyDescent="0.25">
      <c r="A27" s="132"/>
      <c r="B27" s="132"/>
      <c r="C27" s="132"/>
      <c r="D27" s="40" t="s">
        <v>29</v>
      </c>
      <c r="E27" s="40" t="s">
        <v>25</v>
      </c>
      <c r="F27" s="40" t="s">
        <v>25</v>
      </c>
      <c r="G27" s="21" t="s">
        <v>73</v>
      </c>
      <c r="H27" s="21" t="s">
        <v>69</v>
      </c>
      <c r="I27" s="21">
        <f>'MERCADO TUSD'!$U$24</f>
        <v>0</v>
      </c>
      <c r="J27" s="17"/>
      <c r="L27" s="39"/>
      <c r="M27" s="39"/>
      <c r="N27" s="39"/>
      <c r="O27" s="39"/>
      <c r="P27" s="39"/>
      <c r="Q27" s="39"/>
      <c r="R27" s="39"/>
      <c r="S27" s="39"/>
      <c r="T27" s="39"/>
      <c r="U27" s="39">
        <v>0</v>
      </c>
      <c r="V27" s="39">
        <v>0</v>
      </c>
      <c r="W27" s="39">
        <v>0</v>
      </c>
      <c r="X27" s="39">
        <v>0</v>
      </c>
      <c r="Y27" s="39">
        <f>(1 - CUSTOS!$M$25)*117.1891</f>
        <v>117.1891</v>
      </c>
      <c r="Z27" s="39">
        <v>0</v>
      </c>
      <c r="AA27" s="39">
        <v>0</v>
      </c>
      <c r="AB27" s="39"/>
      <c r="AC27" s="39">
        <f>(1 - CUSTOS!$M$25)*410.0385</f>
        <v>410.0385</v>
      </c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P27" s="39">
        <f>IF((1 - CUSTOS!$M$25)&lt;&gt;0,1/(1 - CUSTOS!$M$25),1)</f>
        <v>1</v>
      </c>
    </row>
    <row r="28" spans="1:42" ht="11.25" customHeight="1" x14ac:dyDescent="0.25">
      <c r="A28" s="132"/>
      <c r="B28" s="132"/>
      <c r="C28" s="132"/>
      <c r="D28" s="40" t="s">
        <v>30</v>
      </c>
      <c r="E28" s="40" t="s">
        <v>25</v>
      </c>
      <c r="F28" s="40" t="s">
        <v>25</v>
      </c>
      <c r="G28" s="21" t="s">
        <v>73</v>
      </c>
      <c r="H28" s="21" t="s">
        <v>69</v>
      </c>
      <c r="I28" s="21">
        <f>'MERCADO TUSD'!$U$25</f>
        <v>0</v>
      </c>
      <c r="J28" s="17"/>
      <c r="L28" s="39"/>
      <c r="M28" s="39"/>
      <c r="N28" s="39"/>
      <c r="O28" s="39"/>
      <c r="P28" s="39"/>
      <c r="Q28" s="39"/>
      <c r="R28" s="39"/>
      <c r="S28" s="39"/>
      <c r="T28" s="39"/>
      <c r="U28" s="39">
        <v>0</v>
      </c>
      <c r="V28" s="39">
        <v>0</v>
      </c>
      <c r="W28" s="39">
        <v>0</v>
      </c>
      <c r="X28" s="39">
        <v>0</v>
      </c>
      <c r="Y28" s="39">
        <f>(1 - CUSTOS!$M$26)*117.1891</f>
        <v>117.1891</v>
      </c>
      <c r="Z28" s="39">
        <v>0</v>
      </c>
      <c r="AA28" s="39">
        <v>0</v>
      </c>
      <c r="AB28" s="39"/>
      <c r="AC28" s="39">
        <f>(1 - CUSTOS!$M$26)*410.0385</f>
        <v>410.0385</v>
      </c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P28" s="39">
        <f>IF((1 - CUSTOS!$M$26)&lt;&gt;0,1/(1 - CUSTOS!$M$26),1)</f>
        <v>1</v>
      </c>
    </row>
    <row r="29" spans="1:42" ht="11.25" customHeight="1" x14ac:dyDescent="0.25">
      <c r="A29" s="132"/>
      <c r="B29" s="132"/>
      <c r="C29" s="132"/>
      <c r="D29" s="40" t="s">
        <v>31</v>
      </c>
      <c r="E29" s="40" t="s">
        <v>25</v>
      </c>
      <c r="F29" s="40" t="s">
        <v>25</v>
      </c>
      <c r="G29" s="21" t="s">
        <v>73</v>
      </c>
      <c r="H29" s="21" t="s">
        <v>69</v>
      </c>
      <c r="I29" s="21">
        <f>'MERCADO TUSD'!$U$26</f>
        <v>0</v>
      </c>
      <c r="J29" s="17"/>
      <c r="L29" s="39"/>
      <c r="M29" s="39"/>
      <c r="N29" s="39"/>
      <c r="O29" s="39"/>
      <c r="P29" s="39"/>
      <c r="Q29" s="39"/>
      <c r="R29" s="39"/>
      <c r="S29" s="39"/>
      <c r="T29" s="39"/>
      <c r="U29" s="39">
        <v>0</v>
      </c>
      <c r="V29" s="39">
        <v>0</v>
      </c>
      <c r="W29" s="39">
        <v>0</v>
      </c>
      <c r="X29" s="39">
        <v>0</v>
      </c>
      <c r="Y29" s="39">
        <f>(1 - CUSTOS!$M$27)*117.1891</f>
        <v>117.1891</v>
      </c>
      <c r="Z29" s="39">
        <v>0</v>
      </c>
      <c r="AA29" s="39">
        <v>0</v>
      </c>
      <c r="AB29" s="39"/>
      <c r="AC29" s="39">
        <f>(1 - CUSTOS!$M$27)*410.0385</f>
        <v>410.0385</v>
      </c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P29" s="39">
        <f>IF((1 - CUSTOS!$M$27)&lt;&gt;0,1/(1 - CUSTOS!$M$27),1)</f>
        <v>1</v>
      </c>
    </row>
    <row r="30" spans="1:42" ht="11.25" customHeight="1" x14ac:dyDescent="0.25">
      <c r="A30" s="132" t="s">
        <v>41</v>
      </c>
      <c r="B30" s="132" t="s">
        <v>39</v>
      </c>
      <c r="C30" s="132" t="s">
        <v>42</v>
      </c>
      <c r="D30" s="132" t="s">
        <v>25</v>
      </c>
      <c r="E30" s="132" t="s">
        <v>25</v>
      </c>
      <c r="F30" s="132" t="s">
        <v>25</v>
      </c>
      <c r="G30" s="21" t="s">
        <v>70</v>
      </c>
      <c r="H30" s="21" t="s">
        <v>69</v>
      </c>
      <c r="I30" s="21">
        <f>'MERCADO TUSD'!$U$27</f>
        <v>0.34100000000000003</v>
      </c>
      <c r="J30" s="17"/>
      <c r="L30" s="39"/>
      <c r="M30" s="39"/>
      <c r="N30" s="39"/>
      <c r="O30" s="39"/>
      <c r="P30" s="39"/>
      <c r="Q30" s="39"/>
      <c r="R30" s="39"/>
      <c r="S30" s="39"/>
      <c r="T30" s="39"/>
      <c r="U30" s="39">
        <v>0</v>
      </c>
      <c r="V30" s="39">
        <v>0</v>
      </c>
      <c r="W30" s="39">
        <v>0</v>
      </c>
      <c r="X30" s="39">
        <v>0</v>
      </c>
      <c r="Y30" s="39">
        <f>(1 - CUSTOS!$M$28)*312.4866</f>
        <v>312.48660000000001</v>
      </c>
      <c r="Z30" s="39">
        <v>0</v>
      </c>
      <c r="AA30" s="39">
        <v>0</v>
      </c>
      <c r="AB30" s="39"/>
      <c r="AC30" s="39">
        <f>(1 - CUSTOS!$M$28)*1093.3702</f>
        <v>1093.3702000000001</v>
      </c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P30" s="39">
        <f>IF((1 - CUSTOS!$M$28)&lt;&gt;0,1/(1 - CUSTOS!$M$28),1)</f>
        <v>1</v>
      </c>
    </row>
    <row r="31" spans="1:42" ht="11.25" customHeight="1" x14ac:dyDescent="0.25">
      <c r="A31" s="132"/>
      <c r="B31" s="132"/>
      <c r="C31" s="132"/>
      <c r="D31" s="132"/>
      <c r="E31" s="132"/>
      <c r="F31" s="132"/>
      <c r="G31" s="21" t="s">
        <v>83</v>
      </c>
      <c r="H31" s="21" t="s">
        <v>69</v>
      </c>
      <c r="I31" s="21">
        <f>'MERCADO TUSD'!$U$28</f>
        <v>0.55500000000000005</v>
      </c>
      <c r="J31" s="17"/>
      <c r="L31" s="39"/>
      <c r="M31" s="39"/>
      <c r="N31" s="39"/>
      <c r="O31" s="39"/>
      <c r="P31" s="39"/>
      <c r="Q31" s="39"/>
      <c r="R31" s="39"/>
      <c r="S31" s="39"/>
      <c r="T31" s="39"/>
      <c r="U31" s="39">
        <v>0</v>
      </c>
      <c r="V31" s="39">
        <v>0</v>
      </c>
      <c r="W31" s="39">
        <v>0</v>
      </c>
      <c r="X31" s="39">
        <v>0</v>
      </c>
      <c r="Y31" s="39">
        <f>(1 - CUSTOS!$M$28)*187.4928</f>
        <v>187.49279999999999</v>
      </c>
      <c r="Z31" s="39">
        <v>0</v>
      </c>
      <c r="AA31" s="39">
        <v>0</v>
      </c>
      <c r="AB31" s="39"/>
      <c r="AC31" s="39">
        <f>(1 - CUSTOS!$M$28)*656.0219</f>
        <v>656.02189999999996</v>
      </c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P31" s="39">
        <f>IF((1 - CUSTOS!$M$28)&lt;&gt;0,1/(1 - CUSTOS!$M$28),1)</f>
        <v>1</v>
      </c>
    </row>
    <row r="32" spans="1:42" ht="11.25" customHeight="1" x14ac:dyDescent="0.25">
      <c r="A32" s="132"/>
      <c r="B32" s="132"/>
      <c r="C32" s="132"/>
      <c r="D32" s="132"/>
      <c r="E32" s="132"/>
      <c r="F32" s="132"/>
      <c r="G32" s="21" t="s">
        <v>71</v>
      </c>
      <c r="H32" s="21" t="s">
        <v>69</v>
      </c>
      <c r="I32" s="21">
        <f>'MERCADO TUSD'!$U$29</f>
        <v>16.565999999999999</v>
      </c>
      <c r="J32" s="17"/>
      <c r="L32" s="39"/>
      <c r="M32" s="39"/>
      <c r="N32" s="39"/>
      <c r="O32" s="39"/>
      <c r="P32" s="39"/>
      <c r="Q32" s="39"/>
      <c r="R32" s="39"/>
      <c r="S32" s="39"/>
      <c r="T32" s="39"/>
      <c r="U32" s="39">
        <v>0</v>
      </c>
      <c r="V32" s="39">
        <v>0</v>
      </c>
      <c r="W32" s="39">
        <v>0</v>
      </c>
      <c r="X32" s="39">
        <v>0</v>
      </c>
      <c r="Y32" s="39">
        <f>(1 - CUSTOS!$M$28)*62.4991</f>
        <v>62.499099999999999</v>
      </c>
      <c r="Z32" s="39">
        <v>0</v>
      </c>
      <c r="AA32" s="39">
        <v>0</v>
      </c>
      <c r="AB32" s="39"/>
      <c r="AC32" s="39">
        <f>(1 - CUSTOS!$M$28)*218.6742</f>
        <v>218.67420000000001</v>
      </c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P32" s="39">
        <f>IF((1 - CUSTOS!$M$28)&lt;&gt;0,1/(1 - CUSTOS!$M$28),1)</f>
        <v>1</v>
      </c>
    </row>
    <row r="33" spans="1:42" ht="11.25" customHeight="1" x14ac:dyDescent="0.25">
      <c r="A33" s="132"/>
      <c r="B33" s="40" t="s">
        <v>23</v>
      </c>
      <c r="C33" s="40" t="s">
        <v>42</v>
      </c>
      <c r="D33" s="40" t="s">
        <v>25</v>
      </c>
      <c r="E33" s="40" t="s">
        <v>25</v>
      </c>
      <c r="F33" s="40" t="s">
        <v>25</v>
      </c>
      <c r="G33" s="21" t="s">
        <v>73</v>
      </c>
      <c r="H33" s="21" t="s">
        <v>69</v>
      </c>
      <c r="I33" s="21">
        <f>'MERCADO TUSD'!$U$30</f>
        <v>2549.6099999999997</v>
      </c>
      <c r="J33" s="17"/>
      <c r="L33" s="39"/>
      <c r="M33" s="39"/>
      <c r="N33" s="39"/>
      <c r="O33" s="39"/>
      <c r="P33" s="39"/>
      <c r="Q33" s="39"/>
      <c r="R33" s="39"/>
      <c r="S33" s="39"/>
      <c r="T33" s="39"/>
      <c r="U33" s="39">
        <v>0</v>
      </c>
      <c r="V33" s="39">
        <v>0</v>
      </c>
      <c r="W33" s="39">
        <v>0</v>
      </c>
      <c r="X33" s="39">
        <v>0</v>
      </c>
      <c r="Y33" s="39">
        <f>(1 - CUSTOS!$M$28)*117.1891</f>
        <v>117.1891</v>
      </c>
      <c r="Z33" s="39">
        <v>0</v>
      </c>
      <c r="AA33" s="39">
        <v>0</v>
      </c>
      <c r="AB33" s="39"/>
      <c r="AC33" s="39">
        <f>(1 - CUSTOS!$M$28)*410.0385</f>
        <v>410.0385</v>
      </c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P33" s="39">
        <f>IF((1 - CUSTOS!$M$28)&lt;&gt;0,1/(1 - CUSTOS!$M$28),1)</f>
        <v>1</v>
      </c>
    </row>
    <row r="34" spans="1:42" ht="11.25" customHeight="1" x14ac:dyDescent="0.25">
      <c r="A34" s="132"/>
      <c r="B34" s="132" t="s">
        <v>39</v>
      </c>
      <c r="C34" s="132" t="s">
        <v>42</v>
      </c>
      <c r="D34" s="132" t="s">
        <v>86</v>
      </c>
      <c r="E34" s="132" t="s">
        <v>25</v>
      </c>
      <c r="F34" s="132" t="s">
        <v>25</v>
      </c>
      <c r="G34" s="21" t="s">
        <v>70</v>
      </c>
      <c r="H34" s="21" t="s">
        <v>69</v>
      </c>
      <c r="I34" s="21">
        <f>'MERCADO TUSD'!$U$31</f>
        <v>0</v>
      </c>
      <c r="J34" s="17"/>
      <c r="L34" s="39"/>
      <c r="M34" s="39"/>
      <c r="N34" s="39"/>
      <c r="O34" s="39"/>
      <c r="P34" s="39"/>
      <c r="Q34" s="39"/>
      <c r="R34" s="39"/>
      <c r="S34" s="39"/>
      <c r="T34" s="39"/>
      <c r="U34" s="39">
        <v>0</v>
      </c>
      <c r="V34" s="39">
        <v>0</v>
      </c>
      <c r="W34" s="39">
        <v>0</v>
      </c>
      <c r="X34" s="39">
        <v>0</v>
      </c>
      <c r="Y34" s="39">
        <f>(1 - CUSTOS!$M$29)*312.4866</f>
        <v>312.48660000000001</v>
      </c>
      <c r="Z34" s="39">
        <v>0</v>
      </c>
      <c r="AA34" s="39">
        <v>0</v>
      </c>
      <c r="AB34" s="39"/>
      <c r="AC34" s="39">
        <f>(1 - CUSTOS!$M$29)*1093.3702</f>
        <v>1093.3702000000001</v>
      </c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P34" s="39">
        <f>IF((1 - CUSTOS!$M$29)&lt;&gt;0,1/(1 - CUSTOS!$M$29),1)</f>
        <v>1</v>
      </c>
    </row>
    <row r="35" spans="1:42" ht="11.25" customHeight="1" x14ac:dyDescent="0.25">
      <c r="A35" s="132"/>
      <c r="B35" s="132"/>
      <c r="C35" s="132"/>
      <c r="D35" s="132"/>
      <c r="E35" s="132"/>
      <c r="F35" s="132"/>
      <c r="G35" s="21" t="s">
        <v>83</v>
      </c>
      <c r="H35" s="21" t="s">
        <v>69</v>
      </c>
      <c r="I35" s="21">
        <f>'MERCADO TUSD'!$U$32</f>
        <v>0</v>
      </c>
      <c r="J35" s="17"/>
      <c r="L35" s="39"/>
      <c r="M35" s="39"/>
      <c r="N35" s="39"/>
      <c r="O35" s="39"/>
      <c r="P35" s="39"/>
      <c r="Q35" s="39"/>
      <c r="R35" s="39"/>
      <c r="S35" s="39"/>
      <c r="T35" s="39"/>
      <c r="U35" s="39">
        <v>0</v>
      </c>
      <c r="V35" s="39">
        <v>0</v>
      </c>
      <c r="W35" s="39">
        <v>0</v>
      </c>
      <c r="X35" s="39">
        <v>0</v>
      </c>
      <c r="Y35" s="39">
        <f>(1 - CUSTOS!$M$29)*187.4928</f>
        <v>187.49279999999999</v>
      </c>
      <c r="Z35" s="39">
        <v>0</v>
      </c>
      <c r="AA35" s="39">
        <v>0</v>
      </c>
      <c r="AB35" s="39"/>
      <c r="AC35" s="39">
        <f>(1 - CUSTOS!$M$29)*656.0219</f>
        <v>656.02189999999996</v>
      </c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P35" s="39">
        <f>IF((1 - CUSTOS!$M$29)&lt;&gt;0,1/(1 - CUSTOS!$M$29),1)</f>
        <v>1</v>
      </c>
    </row>
    <row r="36" spans="1:42" ht="11.25" customHeight="1" x14ac:dyDescent="0.25">
      <c r="A36" s="132"/>
      <c r="B36" s="132"/>
      <c r="C36" s="132"/>
      <c r="D36" s="132"/>
      <c r="E36" s="132"/>
      <c r="F36" s="132"/>
      <c r="G36" s="21" t="s">
        <v>71</v>
      </c>
      <c r="H36" s="21" t="s">
        <v>69</v>
      </c>
      <c r="I36" s="21">
        <f>'MERCADO TUSD'!$U$33</f>
        <v>0</v>
      </c>
      <c r="J36" s="17"/>
      <c r="L36" s="39"/>
      <c r="M36" s="39"/>
      <c r="N36" s="39"/>
      <c r="O36" s="39"/>
      <c r="P36" s="39"/>
      <c r="Q36" s="39"/>
      <c r="R36" s="39"/>
      <c r="S36" s="39"/>
      <c r="T36" s="39"/>
      <c r="U36" s="39">
        <v>0</v>
      </c>
      <c r="V36" s="39">
        <v>0</v>
      </c>
      <c r="W36" s="39">
        <v>0</v>
      </c>
      <c r="X36" s="39">
        <v>0</v>
      </c>
      <c r="Y36" s="39">
        <f>(1 - CUSTOS!$M$29)*62.4991</f>
        <v>62.499099999999999</v>
      </c>
      <c r="Z36" s="39">
        <v>0</v>
      </c>
      <c r="AA36" s="39">
        <v>0</v>
      </c>
      <c r="AB36" s="39"/>
      <c r="AC36" s="39">
        <f>(1 - CUSTOS!$M$29)*218.6742</f>
        <v>218.67420000000001</v>
      </c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P36" s="39">
        <f>IF((1 - CUSTOS!$M$29)&lt;&gt;0,1/(1 - CUSTOS!$M$29),1)</f>
        <v>1</v>
      </c>
    </row>
    <row r="37" spans="1:42" ht="11.25" customHeight="1" x14ac:dyDescent="0.25">
      <c r="A37" s="132"/>
      <c r="B37" s="40" t="s">
        <v>23</v>
      </c>
      <c r="C37" s="40" t="s">
        <v>42</v>
      </c>
      <c r="D37" s="40" t="s">
        <v>86</v>
      </c>
      <c r="E37" s="40" t="s">
        <v>25</v>
      </c>
      <c r="F37" s="40" t="s">
        <v>25</v>
      </c>
      <c r="G37" s="21" t="s">
        <v>73</v>
      </c>
      <c r="H37" s="21" t="s">
        <v>69</v>
      </c>
      <c r="I37" s="21">
        <f>'MERCADO TUSD'!$U$34</f>
        <v>0</v>
      </c>
      <c r="J37" s="17"/>
      <c r="L37" s="39"/>
      <c r="M37" s="39"/>
      <c r="N37" s="39"/>
      <c r="O37" s="39"/>
      <c r="P37" s="39"/>
      <c r="Q37" s="39"/>
      <c r="R37" s="39"/>
      <c r="S37" s="39"/>
      <c r="T37" s="39"/>
      <c r="U37" s="39">
        <v>0</v>
      </c>
      <c r="V37" s="39">
        <v>0</v>
      </c>
      <c r="W37" s="39">
        <v>0</v>
      </c>
      <c r="X37" s="39">
        <v>0</v>
      </c>
      <c r="Y37" s="39">
        <f>(1 - CUSTOS!$M$29)*117.1891</f>
        <v>117.1891</v>
      </c>
      <c r="Z37" s="39">
        <v>0</v>
      </c>
      <c r="AA37" s="39">
        <v>0</v>
      </c>
      <c r="AB37" s="39"/>
      <c r="AC37" s="39">
        <f>(1 - CUSTOS!$M$29)*410.0385</f>
        <v>410.0385</v>
      </c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P37" s="39">
        <f>IF((1 - CUSTOS!$M$29)&lt;&gt;0,1/(1 - CUSTOS!$M$29),1)</f>
        <v>1</v>
      </c>
    </row>
    <row r="38" spans="1:42" ht="11.25" customHeight="1" x14ac:dyDescent="0.25">
      <c r="A38" s="132"/>
      <c r="B38" s="132" t="s">
        <v>39</v>
      </c>
      <c r="C38" s="132" t="s">
        <v>42</v>
      </c>
      <c r="D38" s="132" t="s">
        <v>87</v>
      </c>
      <c r="E38" s="132" t="s">
        <v>25</v>
      </c>
      <c r="F38" s="132" t="s">
        <v>25</v>
      </c>
      <c r="G38" s="21" t="s">
        <v>70</v>
      </c>
      <c r="H38" s="21" t="s">
        <v>69</v>
      </c>
      <c r="I38" s="21">
        <f>'MERCADO TUSD'!$U$35</f>
        <v>0</v>
      </c>
      <c r="J38" s="17"/>
      <c r="L38" s="39"/>
      <c r="M38" s="39"/>
      <c r="N38" s="39"/>
      <c r="O38" s="39"/>
      <c r="P38" s="39"/>
      <c r="Q38" s="39"/>
      <c r="R38" s="39"/>
      <c r="S38" s="39"/>
      <c r="T38" s="39"/>
      <c r="U38" s="39">
        <v>0</v>
      </c>
      <c r="V38" s="39">
        <v>0</v>
      </c>
      <c r="W38" s="39">
        <v>0</v>
      </c>
      <c r="X38" s="39">
        <v>0</v>
      </c>
      <c r="Y38" s="39">
        <f>(1 - CUSTOS!$M$30)*312.4866</f>
        <v>312.48660000000001</v>
      </c>
      <c r="Z38" s="39">
        <v>0</v>
      </c>
      <c r="AA38" s="39">
        <v>0</v>
      </c>
      <c r="AB38" s="39"/>
      <c r="AC38" s="39">
        <f>(1 - CUSTOS!$M$30)*1093.3702</f>
        <v>1093.3702000000001</v>
      </c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P38" s="39">
        <f>IF((1 - CUSTOS!$M$30)&lt;&gt;0,1/(1 - CUSTOS!$M$30),1)</f>
        <v>1</v>
      </c>
    </row>
    <row r="39" spans="1:42" ht="11.25" customHeight="1" x14ac:dyDescent="0.25">
      <c r="A39" s="132"/>
      <c r="B39" s="132"/>
      <c r="C39" s="132"/>
      <c r="D39" s="132"/>
      <c r="E39" s="132"/>
      <c r="F39" s="132"/>
      <c r="G39" s="21" t="s">
        <v>83</v>
      </c>
      <c r="H39" s="21" t="s">
        <v>69</v>
      </c>
      <c r="I39" s="21">
        <f>'MERCADO TUSD'!$U$36</f>
        <v>0</v>
      </c>
      <c r="J39" s="17"/>
      <c r="L39" s="39"/>
      <c r="M39" s="39"/>
      <c r="N39" s="39"/>
      <c r="O39" s="39"/>
      <c r="P39" s="39"/>
      <c r="Q39" s="39"/>
      <c r="R39" s="39"/>
      <c r="S39" s="39"/>
      <c r="T39" s="39"/>
      <c r="U39" s="39">
        <v>0</v>
      </c>
      <c r="V39" s="39">
        <v>0</v>
      </c>
      <c r="W39" s="39">
        <v>0</v>
      </c>
      <c r="X39" s="39">
        <v>0</v>
      </c>
      <c r="Y39" s="39">
        <f>(1 - CUSTOS!$M$30)*187.4928</f>
        <v>187.49279999999999</v>
      </c>
      <c r="Z39" s="39">
        <v>0</v>
      </c>
      <c r="AA39" s="39">
        <v>0</v>
      </c>
      <c r="AB39" s="39"/>
      <c r="AC39" s="39">
        <f>(1 - CUSTOS!$M$30)*656.0219</f>
        <v>656.02189999999996</v>
      </c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P39" s="39">
        <f>IF((1 - CUSTOS!$M$30)&lt;&gt;0,1/(1 - CUSTOS!$M$30),1)</f>
        <v>1</v>
      </c>
    </row>
    <row r="40" spans="1:42" ht="11.25" customHeight="1" x14ac:dyDescent="0.25">
      <c r="A40" s="132"/>
      <c r="B40" s="132"/>
      <c r="C40" s="132"/>
      <c r="D40" s="132"/>
      <c r="E40" s="132"/>
      <c r="F40" s="132"/>
      <c r="G40" s="21" t="s">
        <v>71</v>
      </c>
      <c r="H40" s="21" t="s">
        <v>69</v>
      </c>
      <c r="I40" s="21">
        <f>'MERCADO TUSD'!$U$37</f>
        <v>0</v>
      </c>
      <c r="J40" s="17"/>
      <c r="L40" s="39"/>
      <c r="M40" s="39"/>
      <c r="N40" s="39"/>
      <c r="O40" s="39"/>
      <c r="P40" s="39"/>
      <c r="Q40" s="39"/>
      <c r="R40" s="39"/>
      <c r="S40" s="39"/>
      <c r="T40" s="39"/>
      <c r="U40" s="39">
        <v>0</v>
      </c>
      <c r="V40" s="39">
        <v>0</v>
      </c>
      <c r="W40" s="39">
        <v>0</v>
      </c>
      <c r="X40" s="39">
        <v>0</v>
      </c>
      <c r="Y40" s="39">
        <f>(1 - CUSTOS!$M$30)*62.4991</f>
        <v>62.499099999999999</v>
      </c>
      <c r="Z40" s="39">
        <v>0</v>
      </c>
      <c r="AA40" s="39">
        <v>0</v>
      </c>
      <c r="AB40" s="39"/>
      <c r="AC40" s="39">
        <f>(1 - CUSTOS!$M$30)*218.6742</f>
        <v>218.67420000000001</v>
      </c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P40" s="39">
        <f>IF((1 - CUSTOS!$M$30)&lt;&gt;0,1/(1 - CUSTOS!$M$30),1)</f>
        <v>1</v>
      </c>
    </row>
    <row r="41" spans="1:42" ht="11.25" customHeight="1" x14ac:dyDescent="0.25">
      <c r="A41" s="132"/>
      <c r="B41" s="40" t="s">
        <v>23</v>
      </c>
      <c r="C41" s="40" t="s">
        <v>42</v>
      </c>
      <c r="D41" s="40" t="s">
        <v>87</v>
      </c>
      <c r="E41" s="40" t="s">
        <v>25</v>
      </c>
      <c r="F41" s="40" t="s">
        <v>25</v>
      </c>
      <c r="G41" s="21" t="s">
        <v>73</v>
      </c>
      <c r="H41" s="21" t="s">
        <v>69</v>
      </c>
      <c r="I41" s="21">
        <f>'MERCADO TUSD'!$U$38</f>
        <v>0</v>
      </c>
      <c r="J41" s="17"/>
      <c r="L41" s="39"/>
      <c r="M41" s="39"/>
      <c r="N41" s="39"/>
      <c r="O41" s="39"/>
      <c r="P41" s="39"/>
      <c r="Q41" s="39"/>
      <c r="R41" s="39"/>
      <c r="S41" s="39"/>
      <c r="T41" s="39"/>
      <c r="U41" s="39">
        <v>0</v>
      </c>
      <c r="V41" s="39">
        <v>0</v>
      </c>
      <c r="W41" s="39">
        <v>0</v>
      </c>
      <c r="X41" s="39">
        <v>0</v>
      </c>
      <c r="Y41" s="39">
        <f>(1 - CUSTOS!$M$30)*117.1891</f>
        <v>117.1891</v>
      </c>
      <c r="Z41" s="39">
        <v>0</v>
      </c>
      <c r="AA41" s="39">
        <v>0</v>
      </c>
      <c r="AB41" s="39"/>
      <c r="AC41" s="39">
        <f>(1 - CUSTOS!$M$30)*410.0385</f>
        <v>410.0385</v>
      </c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P41" s="39">
        <f>IF((1 - CUSTOS!$M$30)&lt;&gt;0,1/(1 - CUSTOS!$M$30),1)</f>
        <v>1</v>
      </c>
    </row>
    <row r="42" spans="1:42" ht="11.25" customHeight="1" x14ac:dyDescent="0.25">
      <c r="A42" s="132"/>
      <c r="B42" s="132" t="s">
        <v>85</v>
      </c>
      <c r="C42" s="132" t="s">
        <v>42</v>
      </c>
      <c r="D42" s="40" t="s">
        <v>25</v>
      </c>
      <c r="E42" s="40" t="s">
        <v>25</v>
      </c>
      <c r="F42" s="40" t="s">
        <v>25</v>
      </c>
      <c r="G42" s="21" t="s">
        <v>73</v>
      </c>
      <c r="H42" s="21" t="s">
        <v>69</v>
      </c>
      <c r="I42" s="21">
        <f>'MERCADO TUSD'!$U$39</f>
        <v>0</v>
      </c>
      <c r="J42" s="17"/>
      <c r="L42" s="39"/>
      <c r="M42" s="39"/>
      <c r="N42" s="39"/>
      <c r="O42" s="39"/>
      <c r="P42" s="39"/>
      <c r="Q42" s="39"/>
      <c r="R42" s="39"/>
      <c r="S42" s="39"/>
      <c r="T42" s="39"/>
      <c r="U42" s="39">
        <v>0</v>
      </c>
      <c r="V42" s="39">
        <v>0</v>
      </c>
      <c r="W42" s="39">
        <v>0</v>
      </c>
      <c r="X42" s="39">
        <v>0</v>
      </c>
      <c r="Y42" s="39">
        <f>(1 - CUSTOS!$M$28)*117.1891</f>
        <v>117.1891</v>
      </c>
      <c r="Z42" s="39">
        <v>0</v>
      </c>
      <c r="AA42" s="39">
        <v>0</v>
      </c>
      <c r="AB42" s="39"/>
      <c r="AC42" s="39">
        <f>(1 - CUSTOS!$M$28)*410.0385</f>
        <v>410.0385</v>
      </c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P42" s="39">
        <f>IF((1 - CUSTOS!$M$28)&lt;&gt;0,1/(1 - CUSTOS!$M$28),1)</f>
        <v>1</v>
      </c>
    </row>
    <row r="43" spans="1:42" ht="11.25" customHeight="1" x14ac:dyDescent="0.25">
      <c r="A43" s="132"/>
      <c r="B43" s="132"/>
      <c r="C43" s="132"/>
      <c r="D43" s="40" t="s">
        <v>86</v>
      </c>
      <c r="E43" s="40" t="s">
        <v>25</v>
      </c>
      <c r="F43" s="40" t="s">
        <v>25</v>
      </c>
      <c r="G43" s="21" t="s">
        <v>73</v>
      </c>
      <c r="H43" s="21" t="s">
        <v>69</v>
      </c>
      <c r="I43" s="21">
        <f>'MERCADO TUSD'!$U$40</f>
        <v>0</v>
      </c>
      <c r="J43" s="17"/>
      <c r="L43" s="39"/>
      <c r="M43" s="39"/>
      <c r="N43" s="39"/>
      <c r="O43" s="39"/>
      <c r="P43" s="39"/>
      <c r="Q43" s="39"/>
      <c r="R43" s="39"/>
      <c r="S43" s="39"/>
      <c r="T43" s="39"/>
      <c r="U43" s="39">
        <v>0</v>
      </c>
      <c r="V43" s="39">
        <v>0</v>
      </c>
      <c r="W43" s="39">
        <v>0</v>
      </c>
      <c r="X43" s="39">
        <v>0</v>
      </c>
      <c r="Y43" s="39">
        <f>(1 - CUSTOS!$M$29)*117.1891</f>
        <v>117.1891</v>
      </c>
      <c r="Z43" s="39">
        <v>0</v>
      </c>
      <c r="AA43" s="39">
        <v>0</v>
      </c>
      <c r="AB43" s="39"/>
      <c r="AC43" s="39">
        <f>(1 - CUSTOS!$M$29)*410.0385</f>
        <v>410.0385</v>
      </c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P43" s="39">
        <f>IF((1 - CUSTOS!$M$29)&lt;&gt;0,1/(1 - CUSTOS!$M$29),1)</f>
        <v>1</v>
      </c>
    </row>
    <row r="44" spans="1:42" ht="11.25" customHeight="1" x14ac:dyDescent="0.25">
      <c r="A44" s="132"/>
      <c r="B44" s="132"/>
      <c r="C44" s="132"/>
      <c r="D44" s="40" t="s">
        <v>87</v>
      </c>
      <c r="E44" s="40" t="s">
        <v>25</v>
      </c>
      <c r="F44" s="40" t="s">
        <v>25</v>
      </c>
      <c r="G44" s="21" t="s">
        <v>73</v>
      </c>
      <c r="H44" s="21" t="s">
        <v>69</v>
      </c>
      <c r="I44" s="21">
        <f>'MERCADO TUSD'!$U$41</f>
        <v>0</v>
      </c>
      <c r="J44" s="17"/>
      <c r="L44" s="39"/>
      <c r="M44" s="39"/>
      <c r="N44" s="39"/>
      <c r="O44" s="39"/>
      <c r="P44" s="39"/>
      <c r="Q44" s="39"/>
      <c r="R44" s="39"/>
      <c r="S44" s="39"/>
      <c r="T44" s="39"/>
      <c r="U44" s="39">
        <v>0</v>
      </c>
      <c r="V44" s="39">
        <v>0</v>
      </c>
      <c r="W44" s="39">
        <v>0</v>
      </c>
      <c r="X44" s="39">
        <v>0</v>
      </c>
      <c r="Y44" s="39">
        <f>(1 - CUSTOS!$M$30)*117.1891</f>
        <v>117.1891</v>
      </c>
      <c r="Z44" s="39">
        <v>0</v>
      </c>
      <c r="AA44" s="39">
        <v>0</v>
      </c>
      <c r="AB44" s="39"/>
      <c r="AC44" s="39">
        <f>(1 - CUSTOS!$M$30)*410.0385</f>
        <v>410.0385</v>
      </c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P44" s="39">
        <f>IF((1 - CUSTOS!$M$30)&lt;&gt;0,1/(1 - CUSTOS!$M$30),1)</f>
        <v>1</v>
      </c>
    </row>
    <row r="45" spans="1:42" ht="11.25" customHeight="1" x14ac:dyDescent="0.25">
      <c r="A45" s="132" t="s">
        <v>32</v>
      </c>
      <c r="B45" s="132" t="s">
        <v>39</v>
      </c>
      <c r="C45" s="132" t="s">
        <v>25</v>
      </c>
      <c r="D45" s="132" t="s">
        <v>25</v>
      </c>
      <c r="E45" s="132" t="s">
        <v>25</v>
      </c>
      <c r="F45" s="132" t="s">
        <v>25</v>
      </c>
      <c r="G45" s="21" t="s">
        <v>70</v>
      </c>
      <c r="H45" s="21" t="s">
        <v>69</v>
      </c>
      <c r="I45" s="21">
        <f>'MERCADO TUSD'!$U$42</f>
        <v>0.13600000000000001</v>
      </c>
      <c r="J45" s="17"/>
      <c r="L45" s="39"/>
      <c r="M45" s="39"/>
      <c r="N45" s="39"/>
      <c r="O45" s="39"/>
      <c r="P45" s="39"/>
      <c r="Q45" s="39"/>
      <c r="R45" s="39"/>
      <c r="S45" s="39"/>
      <c r="T45" s="39"/>
      <c r="U45" s="39">
        <v>0</v>
      </c>
      <c r="V45" s="39">
        <v>0</v>
      </c>
      <c r="W45" s="39">
        <v>0</v>
      </c>
      <c r="X45" s="39">
        <v>0</v>
      </c>
      <c r="Y45" s="39">
        <f>(1 - CUSTOS!$M$31)*380.8647</f>
        <v>380.86470000000003</v>
      </c>
      <c r="Z45" s="39">
        <v>0</v>
      </c>
      <c r="AA45" s="39">
        <v>0</v>
      </c>
      <c r="AB45" s="39"/>
      <c r="AC45" s="39">
        <f>(1 - CUSTOS!$M$31)*1332.6257</f>
        <v>1332.6257000000001</v>
      </c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P45" s="39">
        <f>IF((1 - CUSTOS!$M$31)&lt;&gt;0,1/(1 - CUSTOS!$M$31),1)</f>
        <v>1</v>
      </c>
    </row>
    <row r="46" spans="1:42" ht="11.25" customHeight="1" x14ac:dyDescent="0.25">
      <c r="A46" s="132"/>
      <c r="B46" s="132"/>
      <c r="C46" s="132"/>
      <c r="D46" s="132"/>
      <c r="E46" s="132"/>
      <c r="F46" s="132"/>
      <c r="G46" s="21" t="s">
        <v>83</v>
      </c>
      <c r="H46" s="21" t="s">
        <v>69</v>
      </c>
      <c r="I46" s="21">
        <f>'MERCADO TUSD'!$U$43</f>
        <v>0.16400000000000003</v>
      </c>
      <c r="J46" s="17"/>
      <c r="L46" s="39"/>
      <c r="M46" s="39"/>
      <c r="N46" s="39"/>
      <c r="O46" s="39"/>
      <c r="P46" s="39"/>
      <c r="Q46" s="39"/>
      <c r="R46" s="39"/>
      <c r="S46" s="39"/>
      <c r="T46" s="39"/>
      <c r="U46" s="39">
        <v>0</v>
      </c>
      <c r="V46" s="39">
        <v>0</v>
      </c>
      <c r="W46" s="39">
        <v>0</v>
      </c>
      <c r="X46" s="39">
        <v>0</v>
      </c>
      <c r="Y46" s="39">
        <f>(1 - CUSTOS!$M$31)*228.5206</f>
        <v>228.5206</v>
      </c>
      <c r="Z46" s="39">
        <v>0</v>
      </c>
      <c r="AA46" s="39">
        <v>0</v>
      </c>
      <c r="AB46" s="39"/>
      <c r="AC46" s="39">
        <f>(1 - CUSTOS!$M$31)*799.5753</f>
        <v>799.57529999999997</v>
      </c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P46" s="39">
        <f>IF((1 - CUSTOS!$M$31)&lt;&gt;0,1/(1 - CUSTOS!$M$31),1)</f>
        <v>1</v>
      </c>
    </row>
    <row r="47" spans="1:42" ht="11.25" customHeight="1" x14ac:dyDescent="0.25">
      <c r="A47" s="132"/>
      <c r="B47" s="132"/>
      <c r="C47" s="132"/>
      <c r="D47" s="132"/>
      <c r="E47" s="132"/>
      <c r="F47" s="132"/>
      <c r="G47" s="21" t="s">
        <v>71</v>
      </c>
      <c r="H47" s="21" t="s">
        <v>69</v>
      </c>
      <c r="I47" s="21">
        <f>'MERCADO TUSD'!$U$44</f>
        <v>5.0719999999999992</v>
      </c>
      <c r="J47" s="17"/>
      <c r="L47" s="39"/>
      <c r="M47" s="39"/>
      <c r="N47" s="39"/>
      <c r="O47" s="39"/>
      <c r="P47" s="39"/>
      <c r="Q47" s="39"/>
      <c r="R47" s="39"/>
      <c r="S47" s="39"/>
      <c r="T47" s="39"/>
      <c r="U47" s="39">
        <v>0</v>
      </c>
      <c r="V47" s="39">
        <v>0</v>
      </c>
      <c r="W47" s="39">
        <v>0</v>
      </c>
      <c r="X47" s="39">
        <v>0</v>
      </c>
      <c r="Y47" s="39">
        <f>(1 - CUSTOS!$M$31)*76.1741</f>
        <v>76.174099999999996</v>
      </c>
      <c r="Z47" s="39">
        <v>0</v>
      </c>
      <c r="AA47" s="39">
        <v>0</v>
      </c>
      <c r="AB47" s="39"/>
      <c r="AC47" s="39">
        <f>(1 - CUSTOS!$M$31)*266.5253</f>
        <v>266.52530000000002</v>
      </c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P47" s="39">
        <f>IF((1 - CUSTOS!$M$31)&lt;&gt;0,1/(1 - CUSTOS!$M$31),1)</f>
        <v>1</v>
      </c>
    </row>
    <row r="48" spans="1:42" ht="11.25" customHeight="1" x14ac:dyDescent="0.25">
      <c r="A48" s="132"/>
      <c r="B48" s="40" t="s">
        <v>23</v>
      </c>
      <c r="C48" s="40" t="s">
        <v>25</v>
      </c>
      <c r="D48" s="40" t="s">
        <v>25</v>
      </c>
      <c r="E48" s="40" t="s">
        <v>25</v>
      </c>
      <c r="F48" s="40" t="s">
        <v>25</v>
      </c>
      <c r="G48" s="21" t="s">
        <v>73</v>
      </c>
      <c r="H48" s="21" t="s">
        <v>69</v>
      </c>
      <c r="I48" s="21">
        <f>'MERCADO TUSD'!$U$45</f>
        <v>1791.422</v>
      </c>
      <c r="J48" s="17"/>
      <c r="L48" s="39"/>
      <c r="M48" s="39"/>
      <c r="N48" s="39"/>
      <c r="O48" s="39"/>
      <c r="P48" s="39"/>
      <c r="Q48" s="39"/>
      <c r="R48" s="39"/>
      <c r="S48" s="39"/>
      <c r="T48" s="39"/>
      <c r="U48" s="39">
        <v>0</v>
      </c>
      <c r="V48" s="39">
        <v>0</v>
      </c>
      <c r="W48" s="39">
        <v>0</v>
      </c>
      <c r="X48" s="39">
        <v>0</v>
      </c>
      <c r="Y48" s="39">
        <f>(1 - CUSTOS!$M$31)*117.1891</f>
        <v>117.1891</v>
      </c>
      <c r="Z48" s="39">
        <v>0</v>
      </c>
      <c r="AA48" s="39">
        <v>0</v>
      </c>
      <c r="AB48" s="39"/>
      <c r="AC48" s="39">
        <f>(1 - CUSTOS!$M$31)*410.0385</f>
        <v>410.0385</v>
      </c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P48" s="39">
        <f>IF((1 - CUSTOS!$M$31)&lt;&gt;0,1/(1 - CUSTOS!$M$31),1)</f>
        <v>1</v>
      </c>
    </row>
    <row r="49" spans="1:42" ht="11.25" customHeight="1" x14ac:dyDescent="0.25">
      <c r="A49" s="132"/>
      <c r="B49" s="40" t="s">
        <v>85</v>
      </c>
      <c r="C49" s="40" t="s">
        <v>25</v>
      </c>
      <c r="D49" s="40" t="s">
        <v>25</v>
      </c>
      <c r="E49" s="40" t="s">
        <v>25</v>
      </c>
      <c r="F49" s="40" t="s">
        <v>25</v>
      </c>
      <c r="G49" s="21" t="s">
        <v>73</v>
      </c>
      <c r="H49" s="21" t="s">
        <v>69</v>
      </c>
      <c r="I49" s="21">
        <f>'MERCADO TUSD'!$U$46</f>
        <v>0</v>
      </c>
      <c r="J49" s="17"/>
      <c r="L49" s="39"/>
      <c r="M49" s="39"/>
      <c r="N49" s="39"/>
      <c r="O49" s="39"/>
      <c r="P49" s="39"/>
      <c r="Q49" s="39"/>
      <c r="R49" s="39"/>
      <c r="S49" s="39"/>
      <c r="T49" s="39"/>
      <c r="U49" s="39">
        <v>0</v>
      </c>
      <c r="V49" s="39">
        <v>0</v>
      </c>
      <c r="W49" s="39">
        <v>0</v>
      </c>
      <c r="X49" s="39">
        <v>0</v>
      </c>
      <c r="Y49" s="39">
        <f>(1 - CUSTOS!$M$31)*117.1891</f>
        <v>117.1891</v>
      </c>
      <c r="Z49" s="39">
        <v>0</v>
      </c>
      <c r="AA49" s="39">
        <v>0</v>
      </c>
      <c r="AB49" s="39"/>
      <c r="AC49" s="39">
        <f>(1 - CUSTOS!$M$31)*410.0385</f>
        <v>410.0385</v>
      </c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P49" s="39">
        <f>IF((1 - CUSTOS!$M$31)&lt;&gt;0,1/(1 - CUSTOS!$M$31),1)</f>
        <v>1</v>
      </c>
    </row>
    <row r="50" spans="1:42" ht="11.25" customHeight="1" x14ac:dyDescent="0.25">
      <c r="A50" s="132" t="s">
        <v>44</v>
      </c>
      <c r="B50" s="132" t="s">
        <v>23</v>
      </c>
      <c r="C50" s="132" t="s">
        <v>45</v>
      </c>
      <c r="D50" s="40" t="s">
        <v>46</v>
      </c>
      <c r="E50" s="40" t="s">
        <v>25</v>
      </c>
      <c r="F50" s="40" t="s">
        <v>25</v>
      </c>
      <c r="G50" s="21" t="s">
        <v>73</v>
      </c>
      <c r="H50" s="21" t="s">
        <v>69</v>
      </c>
      <c r="I50" s="21">
        <f>'MERCADO TUSD'!$U$47</f>
        <v>1518.0680000000002</v>
      </c>
      <c r="J50" s="17"/>
      <c r="L50" s="39"/>
      <c r="M50" s="39"/>
      <c r="N50" s="39"/>
      <c r="O50" s="39"/>
      <c r="P50" s="39"/>
      <c r="Q50" s="39"/>
      <c r="R50" s="39"/>
      <c r="S50" s="39"/>
      <c r="T50" s="39"/>
      <c r="U50" s="39">
        <v>0</v>
      </c>
      <c r="V50" s="39">
        <v>0</v>
      </c>
      <c r="W50" s="39">
        <v>0</v>
      </c>
      <c r="X50" s="39">
        <v>0</v>
      </c>
      <c r="Y50" s="39">
        <f>(1 - CUSTOS!$M$32)*117.1891</f>
        <v>64.454005000000009</v>
      </c>
      <c r="Z50" s="39">
        <v>0</v>
      </c>
      <c r="AA50" s="39">
        <v>0</v>
      </c>
      <c r="AB50" s="39"/>
      <c r="AC50" s="39">
        <f>(1 - CUSTOS!$M$32)*410.0385</f>
        <v>225.52117500000003</v>
      </c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P50" s="39">
        <f>IF((1 - CUSTOS!$M$32)&lt;&gt;0,1/(1 - CUSTOS!$M$32),1)</f>
        <v>1.8181818181818181</v>
      </c>
    </row>
    <row r="51" spans="1:42" ht="11.25" customHeight="1" x14ac:dyDescent="0.25">
      <c r="A51" s="132"/>
      <c r="B51" s="132"/>
      <c r="C51" s="132"/>
      <c r="D51" s="21" t="s">
        <v>88</v>
      </c>
      <c r="E51" s="21" t="s">
        <v>25</v>
      </c>
      <c r="F51" s="21" t="s">
        <v>25</v>
      </c>
      <c r="G51" s="21" t="s">
        <v>73</v>
      </c>
      <c r="H51" s="21" t="s">
        <v>69</v>
      </c>
      <c r="I51" s="21">
        <f>'MERCADO TUSD'!$U$48</f>
        <v>0</v>
      </c>
      <c r="J51" s="17"/>
      <c r="L51" s="39"/>
      <c r="M51" s="39"/>
      <c r="N51" s="39"/>
      <c r="O51" s="39"/>
      <c r="P51" s="39"/>
      <c r="Q51" s="39"/>
      <c r="R51" s="39"/>
      <c r="S51" s="39"/>
      <c r="T51" s="39"/>
      <c r="U51" s="39">
        <v>0</v>
      </c>
      <c r="V51" s="39">
        <v>0</v>
      </c>
      <c r="W51" s="39">
        <v>0</v>
      </c>
      <c r="X51" s="39">
        <v>0</v>
      </c>
      <c r="Y51" s="39">
        <f>(1 - CUSTOS!$M$33)*117.1891</f>
        <v>70.313459999999992</v>
      </c>
      <c r="Z51" s="39">
        <v>0</v>
      </c>
      <c r="AA51" s="39">
        <v>0</v>
      </c>
      <c r="AB51" s="39"/>
      <c r="AC51" s="39">
        <f>(1 - CUSTOS!$M$33)*410.0385</f>
        <v>246.0231</v>
      </c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P51" s="39">
        <f>IF((1 - CUSTOS!$M$33)&lt;&gt;0,1/(1 - CUSTOS!$M$33),1)</f>
        <v>1.6666666666666667</v>
      </c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53E4-7FA2-4628-ADDB-CD178098D5DA}">
  <dimension ref="A1:AP70"/>
  <sheetViews>
    <sheetView showGridLines="0" topLeftCell="A29" workbookViewId="0">
      <selection activeCell="K62" sqref="K62:P62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9" width="8.7109375" style="9" bestFit="1" customWidth="1"/>
    <col min="20" max="20" width="9.28515625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5703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570312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128" t="s">
        <v>59</v>
      </c>
      <c r="B1" s="128" t="s">
        <v>60</v>
      </c>
      <c r="C1" s="128" t="s">
        <v>61</v>
      </c>
      <c r="D1" s="128" t="s">
        <v>62</v>
      </c>
      <c r="E1" s="128" t="s">
        <v>63</v>
      </c>
      <c r="F1" s="128" t="s">
        <v>15</v>
      </c>
      <c r="G1" s="128" t="s">
        <v>65</v>
      </c>
      <c r="H1" s="128" t="s">
        <v>66</v>
      </c>
      <c r="I1" s="128" t="s">
        <v>608</v>
      </c>
      <c r="J1" s="119"/>
      <c r="L1" s="129" t="s">
        <v>609</v>
      </c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P1" s="129" t="s">
        <v>610</v>
      </c>
    </row>
    <row r="2" spans="1:42" ht="11.25" customHeight="1" x14ac:dyDescent="0.25">
      <c r="A2" s="128"/>
      <c r="B2" s="128"/>
      <c r="C2" s="128"/>
      <c r="D2" s="128"/>
      <c r="E2" s="128"/>
      <c r="F2" s="128"/>
      <c r="G2" s="128"/>
      <c r="H2" s="128"/>
      <c r="I2" s="128"/>
      <c r="J2" s="119"/>
      <c r="L2" s="129" t="s">
        <v>508</v>
      </c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P2" s="130"/>
    </row>
    <row r="3" spans="1:42" ht="11.25" customHeight="1" x14ac:dyDescent="0.25">
      <c r="A3" s="128"/>
      <c r="B3" s="128"/>
      <c r="C3" s="128"/>
      <c r="D3" s="128"/>
      <c r="E3" s="128"/>
      <c r="F3" s="128"/>
      <c r="G3" s="128"/>
      <c r="H3" s="128"/>
      <c r="I3" s="128"/>
      <c r="J3" s="119"/>
      <c r="L3" s="129" t="s">
        <v>509</v>
      </c>
      <c r="M3" s="129"/>
      <c r="N3" s="129"/>
      <c r="O3" s="129"/>
      <c r="P3" s="129"/>
      <c r="Q3" s="129"/>
      <c r="R3" s="129"/>
      <c r="S3" s="129"/>
      <c r="T3" s="129"/>
      <c r="U3" s="129" t="s">
        <v>518</v>
      </c>
      <c r="V3" s="129"/>
      <c r="W3" s="129"/>
      <c r="X3" s="129"/>
      <c r="Y3" s="129"/>
      <c r="Z3" s="129"/>
      <c r="AA3" s="129"/>
      <c r="AB3" s="129"/>
      <c r="AC3" s="129" t="s">
        <v>526</v>
      </c>
      <c r="AD3" s="129"/>
      <c r="AE3" s="129" t="s">
        <v>528</v>
      </c>
      <c r="AF3" s="129"/>
      <c r="AG3" s="129"/>
      <c r="AH3" s="129" t="s">
        <v>531</v>
      </c>
      <c r="AI3" s="129"/>
      <c r="AJ3" s="129"/>
      <c r="AK3" s="129"/>
      <c r="AL3" s="129"/>
      <c r="AM3" s="129" t="s">
        <v>517</v>
      </c>
      <c r="AP3" s="130"/>
    </row>
    <row r="4" spans="1:42" ht="11.25" customHeight="1" x14ac:dyDescent="0.25">
      <c r="A4" s="128"/>
      <c r="B4" s="128"/>
      <c r="C4" s="128"/>
      <c r="D4" s="128"/>
      <c r="E4" s="128"/>
      <c r="F4" s="128"/>
      <c r="G4" s="128"/>
      <c r="H4" s="128"/>
      <c r="I4" s="128"/>
      <c r="J4" s="119"/>
      <c r="L4" s="10" t="s">
        <v>593</v>
      </c>
      <c r="M4" s="10" t="s">
        <v>510</v>
      </c>
      <c r="N4" s="10" t="s">
        <v>511</v>
      </c>
      <c r="O4" s="10" t="s">
        <v>512</v>
      </c>
      <c r="P4" s="10" t="s">
        <v>513</v>
      </c>
      <c r="Q4" s="10" t="s">
        <v>514</v>
      </c>
      <c r="R4" s="10" t="s">
        <v>515</v>
      </c>
      <c r="S4" s="10" t="s">
        <v>516</v>
      </c>
      <c r="T4" s="10" t="s">
        <v>517</v>
      </c>
      <c r="U4" s="10" t="s">
        <v>519</v>
      </c>
      <c r="V4" s="10" t="s">
        <v>520</v>
      </c>
      <c r="W4" s="10" t="s">
        <v>521</v>
      </c>
      <c r="X4" s="10" t="s">
        <v>522</v>
      </c>
      <c r="Y4" s="10" t="s">
        <v>523</v>
      </c>
      <c r="Z4" s="10" t="s">
        <v>524</v>
      </c>
      <c r="AA4" s="10" t="s">
        <v>525</v>
      </c>
      <c r="AB4" s="10" t="s">
        <v>517</v>
      </c>
      <c r="AC4" s="10" t="s">
        <v>527</v>
      </c>
      <c r="AD4" s="10" t="s">
        <v>517</v>
      </c>
      <c r="AE4" s="10" t="s">
        <v>529</v>
      </c>
      <c r="AF4" s="10" t="s">
        <v>530</v>
      </c>
      <c r="AG4" s="10" t="s">
        <v>517</v>
      </c>
      <c r="AH4" s="10" t="s">
        <v>532</v>
      </c>
      <c r="AI4" s="10" t="s">
        <v>533</v>
      </c>
      <c r="AJ4" s="10" t="s">
        <v>534</v>
      </c>
      <c r="AK4" s="10" t="s">
        <v>535</v>
      </c>
      <c r="AL4" s="10" t="s">
        <v>517</v>
      </c>
      <c r="AM4" s="131"/>
      <c r="AP4" s="130"/>
    </row>
    <row r="5" spans="1:42" ht="11.25" customHeight="1" x14ac:dyDescent="0.25">
      <c r="A5" s="132" t="s">
        <v>34</v>
      </c>
      <c r="B5" s="132" t="s">
        <v>74</v>
      </c>
      <c r="C5" s="132" t="s">
        <v>25</v>
      </c>
      <c r="D5" s="132" t="s">
        <v>25</v>
      </c>
      <c r="E5" s="132" t="s">
        <v>25</v>
      </c>
      <c r="F5" s="132" t="s">
        <v>25</v>
      </c>
      <c r="G5" s="21" t="s">
        <v>76</v>
      </c>
      <c r="H5" s="21" t="s">
        <v>75</v>
      </c>
      <c r="I5" s="21">
        <f>'MERCADO TUSD'!$U$2</f>
        <v>0</v>
      </c>
      <c r="J5" s="17"/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/>
      <c r="U5" s="19">
        <f>TRANSICAO!$U$5*CUSTOS!$R$3</f>
        <v>0</v>
      </c>
      <c r="V5" s="19">
        <f>TRANSICAO!$V$5*CUSTOS!$R$3</f>
        <v>0</v>
      </c>
      <c r="W5" s="19">
        <f>TRANSICAO!$W$5*CUSTOS!$R$3</f>
        <v>0</v>
      </c>
      <c r="X5" s="19">
        <f>TRANSICAO!$X$5*CUSTOS!$R$3</f>
        <v>0</v>
      </c>
      <c r="Y5" s="19">
        <f>TRANSICAO!$Y$5*CUSTOS!$R$3</f>
        <v>75.962400000000002</v>
      </c>
      <c r="Z5" s="19">
        <f>TRANSICAO!$Z$5*CUSTOS!$R$3</f>
        <v>0</v>
      </c>
      <c r="AA5" s="19">
        <f>TRANSICAO!$AA$5*CUSTOS!$R$3</f>
        <v>0</v>
      </c>
      <c r="AB5" s="19">
        <f>TRANSICAO!$AB$5*CUSTOS!$R$3</f>
        <v>0</v>
      </c>
      <c r="AC5" s="19">
        <f>TRANSICAO!$AC$5*CUSTOS!$R$3</f>
        <v>83.398799999999994</v>
      </c>
      <c r="AD5" s="19">
        <f>TRANSICAO!$AD$5*CUSTOS!$R$3</f>
        <v>0</v>
      </c>
      <c r="AE5" s="19">
        <v>0</v>
      </c>
      <c r="AF5" s="19">
        <v>0</v>
      </c>
      <c r="AG5" s="19"/>
      <c r="AH5" s="19">
        <v>0</v>
      </c>
      <c r="AI5" s="19">
        <v>0</v>
      </c>
      <c r="AJ5" s="19">
        <v>0</v>
      </c>
      <c r="AK5" s="19">
        <f t="shared" ref="AK5:AK51" si="0">AJ5</f>
        <v>0</v>
      </c>
      <c r="AL5" s="19"/>
      <c r="AM5" s="19"/>
      <c r="AP5" s="19">
        <v>1</v>
      </c>
    </row>
    <row r="6" spans="1:42" ht="11.25" customHeight="1" x14ac:dyDescent="0.25">
      <c r="A6" s="132"/>
      <c r="B6" s="132"/>
      <c r="C6" s="132"/>
      <c r="D6" s="132"/>
      <c r="E6" s="132"/>
      <c r="F6" s="132"/>
      <c r="G6" s="21" t="s">
        <v>77</v>
      </c>
      <c r="H6" s="21" t="s">
        <v>75</v>
      </c>
      <c r="I6" s="21">
        <f>'MERCADO TUSD'!$U$3</f>
        <v>0</v>
      </c>
      <c r="J6" s="17"/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/>
      <c r="U6" s="19">
        <f>TRANSICAO!$U$6*CUSTOS!$R$3</f>
        <v>0</v>
      </c>
      <c r="V6" s="19">
        <f>TRANSICAO!$V$6*CUSTOS!$R$3</f>
        <v>0</v>
      </c>
      <c r="W6" s="19">
        <f>TRANSICAO!$W$6*CUSTOS!$R$3</f>
        <v>0</v>
      </c>
      <c r="X6" s="19">
        <f>TRANSICAO!$X$6*CUSTOS!$R$3</f>
        <v>0</v>
      </c>
      <c r="Y6" s="19">
        <f>TRANSICAO!$Y$6*CUSTOS!$R$3</f>
        <v>23.959900000000001</v>
      </c>
      <c r="Z6" s="19">
        <f>TRANSICAO!$Z$6*CUSTOS!$R$3</f>
        <v>0</v>
      </c>
      <c r="AA6" s="19">
        <f>TRANSICAO!$AA$6*CUSTOS!$R$3</f>
        <v>0</v>
      </c>
      <c r="AB6" s="19">
        <f>TRANSICAO!$AB$6*CUSTOS!$R$3</f>
        <v>0</v>
      </c>
      <c r="AC6" s="19">
        <f>TRANSICAO!$AC$6*CUSTOS!$R$3</f>
        <v>26.305499999999999</v>
      </c>
      <c r="AD6" s="19">
        <f>TRANSICAO!$AD$6*CUSTOS!$R$3</f>
        <v>0</v>
      </c>
      <c r="AE6" s="19">
        <v>0</v>
      </c>
      <c r="AF6" s="19">
        <v>0</v>
      </c>
      <c r="AG6" s="19"/>
      <c r="AH6" s="19">
        <v>0</v>
      </c>
      <c r="AI6" s="19">
        <v>0</v>
      </c>
      <c r="AJ6" s="19">
        <v>0</v>
      </c>
      <c r="AK6" s="19">
        <f t="shared" si="0"/>
        <v>0</v>
      </c>
      <c r="AL6" s="19"/>
      <c r="AM6" s="19"/>
      <c r="AP6" s="19">
        <v>1</v>
      </c>
    </row>
    <row r="7" spans="1:42" ht="11.25" customHeight="1" x14ac:dyDescent="0.25">
      <c r="A7" s="132"/>
      <c r="B7" s="132"/>
      <c r="C7" s="132"/>
      <c r="D7" s="132"/>
      <c r="E7" s="132"/>
      <c r="F7" s="132"/>
      <c r="G7" s="21" t="s">
        <v>73</v>
      </c>
      <c r="H7" s="21" t="s">
        <v>69</v>
      </c>
      <c r="I7" s="21">
        <f>'MERCADO TUSD'!$U$4</f>
        <v>0</v>
      </c>
      <c r="J7" s="17"/>
      <c r="L7" s="19">
        <f>0.84</f>
        <v>0.84</v>
      </c>
      <c r="M7" s="19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0.6730549681671133</v>
      </c>
      <c r="N7" s="19">
        <f ca="1">(+M7+O7+R7+U7+V7+W7+X7+Y7+Z7+AA7+AC7+AH7+AI7+AJ7+AK7)*CUSTOS!$M$5</f>
        <v>1.7832154968167113E-13</v>
      </c>
      <c r="O7" s="19">
        <v>1</v>
      </c>
      <c r="P7" s="19">
        <v>1</v>
      </c>
      <c r="Q7" s="19">
        <f>0.84</f>
        <v>0.84</v>
      </c>
      <c r="R7" s="19">
        <v>1</v>
      </c>
      <c r="S7" s="19">
        <v>1</v>
      </c>
      <c r="T7" s="19"/>
      <c r="U7" s="19">
        <f>TRANSICAO!$U$7*CUSTOS!$R$3</f>
        <v>0</v>
      </c>
      <c r="V7" s="19">
        <f>TRANSICAO!$V$7*CUSTOS!$R$3</f>
        <v>0</v>
      </c>
      <c r="W7" s="19">
        <f>TRANSICAO!$W$7*CUSTOS!$R$3</f>
        <v>0</v>
      </c>
      <c r="X7" s="19">
        <f>TRANSICAO!$X$7*CUSTOS!$R$3</f>
        <v>0</v>
      </c>
      <c r="Y7" s="19">
        <f>TRANSICAO!$Y$7*CUSTOS!$R$3</f>
        <v>0</v>
      </c>
      <c r="Z7" s="19">
        <f>TRANSICAO!$Z$7*CUSTOS!$R$3</f>
        <v>0</v>
      </c>
      <c r="AA7" s="19">
        <f>TRANSICAO!$AA$7*CUSTOS!$R$3</f>
        <v>0</v>
      </c>
      <c r="AB7" s="19">
        <f>TRANSICAO!$AB$7*CUSTOS!$R$3</f>
        <v>0</v>
      </c>
      <c r="AC7" s="19">
        <f>TRANSICAO!$AC$7*CUSTOS!$R$3</f>
        <v>0</v>
      </c>
      <c r="AD7" s="19">
        <f>TRANSICAO!$AD$7*CUSTOS!$R$3</f>
        <v>0</v>
      </c>
      <c r="AE7" s="19">
        <v>0</v>
      </c>
      <c r="AF7" s="19">
        <v>0</v>
      </c>
      <c r="AG7" s="19"/>
      <c r="AH7" s="19">
        <v>15.1591</v>
      </c>
      <c r="AI7" s="19">
        <v>0</v>
      </c>
      <c r="AJ7" s="19">
        <f ca="1">$N$63</f>
        <v>0</v>
      </c>
      <c r="AK7" s="19">
        <f t="shared" ca="1" si="0"/>
        <v>0</v>
      </c>
      <c r="AL7" s="19"/>
      <c r="AM7" s="19"/>
      <c r="AP7" s="19">
        <v>1</v>
      </c>
    </row>
    <row r="8" spans="1:42" ht="11.25" customHeight="1" x14ac:dyDescent="0.25">
      <c r="A8" s="132"/>
      <c r="B8" s="132"/>
      <c r="C8" s="132"/>
      <c r="D8" s="132"/>
      <c r="E8" s="22" t="s">
        <v>78</v>
      </c>
      <c r="F8" s="22" t="s">
        <v>25</v>
      </c>
      <c r="G8" s="21" t="s">
        <v>73</v>
      </c>
      <c r="H8" s="21" t="s">
        <v>69</v>
      </c>
      <c r="I8" s="21">
        <f>'MERCADO TUSD'!$U$5</f>
        <v>0</v>
      </c>
      <c r="J8" s="17"/>
      <c r="L8" s="19">
        <v>0</v>
      </c>
      <c r="M8" s="19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0.6730549681671133</v>
      </c>
      <c r="N8" s="19">
        <f ca="1">(+M8+O8+R8+U8+V8+W8+X8+Y8+Z8+AA8+AC8+AH8+AI8+AJ8+AK8)*CUSTOS!$M$5</f>
        <v>1.6832154968167114E-13</v>
      </c>
      <c r="O8" s="19">
        <v>1</v>
      </c>
      <c r="P8" s="19">
        <v>0</v>
      </c>
      <c r="Q8" s="19">
        <v>0</v>
      </c>
      <c r="R8" s="19">
        <v>0</v>
      </c>
      <c r="S8" s="19">
        <v>0</v>
      </c>
      <c r="T8" s="19"/>
      <c r="U8" s="19">
        <f>TRANSICAO!$U$8*CUSTOS!$R$3</f>
        <v>0</v>
      </c>
      <c r="V8" s="19">
        <f>TRANSICAO!$V$8*CUSTOS!$R$3</f>
        <v>0</v>
      </c>
      <c r="W8" s="19">
        <f>TRANSICAO!$W$8*CUSTOS!$R$3</f>
        <v>0</v>
      </c>
      <c r="X8" s="19">
        <f>TRANSICAO!$X$8*CUSTOS!$R$3</f>
        <v>0</v>
      </c>
      <c r="Y8" s="19">
        <f>TRANSICAO!$Y$8*CUSTOS!$R$3</f>
        <v>0</v>
      </c>
      <c r="Z8" s="19">
        <f>TRANSICAO!$Z$8*CUSTOS!$R$3</f>
        <v>0</v>
      </c>
      <c r="AA8" s="19">
        <f>TRANSICAO!$AA$8*CUSTOS!$R$3</f>
        <v>0</v>
      </c>
      <c r="AB8" s="19">
        <f>TRANSICAO!$AB$8*CUSTOS!$R$3</f>
        <v>0</v>
      </c>
      <c r="AC8" s="19">
        <f>TRANSICAO!$AC$8*CUSTOS!$R$3</f>
        <v>0</v>
      </c>
      <c r="AD8" s="19">
        <f>TRANSICAO!$AD$8*CUSTOS!$R$3</f>
        <v>0</v>
      </c>
      <c r="AE8" s="19">
        <v>0</v>
      </c>
      <c r="AF8" s="19">
        <v>0</v>
      </c>
      <c r="AG8" s="19"/>
      <c r="AH8" s="19">
        <v>15.1591</v>
      </c>
      <c r="AI8" s="19">
        <v>0</v>
      </c>
      <c r="AJ8" s="19">
        <f ca="1">$N$63</f>
        <v>0</v>
      </c>
      <c r="AK8" s="19">
        <f t="shared" ca="1" si="0"/>
        <v>0</v>
      </c>
      <c r="AL8" s="19"/>
      <c r="AM8" s="19"/>
      <c r="AP8" s="19">
        <v>1</v>
      </c>
    </row>
    <row r="9" spans="1:42" ht="11.25" customHeight="1" x14ac:dyDescent="0.25">
      <c r="A9" s="132"/>
      <c r="B9" s="22" t="s">
        <v>79</v>
      </c>
      <c r="C9" s="22" t="s">
        <v>25</v>
      </c>
      <c r="D9" s="22" t="s">
        <v>25</v>
      </c>
      <c r="E9" s="22" t="s">
        <v>25</v>
      </c>
      <c r="F9" s="22" t="s">
        <v>25</v>
      </c>
      <c r="G9" s="21" t="s">
        <v>9</v>
      </c>
      <c r="H9" s="21" t="s">
        <v>75</v>
      </c>
      <c r="I9" s="21">
        <f>'MERCADO TUSD'!$U$6</f>
        <v>0</v>
      </c>
      <c r="J9" s="17"/>
      <c r="L9" s="19">
        <v>0</v>
      </c>
      <c r="M9" s="19">
        <v>4.36E-2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/>
      <c r="U9" s="19">
        <f>TRANSICAO!$U$9*CUSTOS!$R$4</f>
        <v>0</v>
      </c>
      <c r="V9" s="19">
        <f>TRANSICAO!$V$9*CUSTOS!$R$4</f>
        <v>0</v>
      </c>
      <c r="W9" s="19">
        <f>TRANSICAO!$W$9*CUSTOS!$R$4</f>
        <v>0</v>
      </c>
      <c r="X9" s="19">
        <f>TRANSICAO!$X$9*CUSTOS!$R$4</f>
        <v>0</v>
      </c>
      <c r="Y9" s="19">
        <f>TRANSICAO!$Y$9*CUSTOS!$R$4</f>
        <v>0</v>
      </c>
      <c r="Z9" s="19">
        <f>TRANSICAO!$Z$9*CUSTOS!$R$4</f>
        <v>0</v>
      </c>
      <c r="AA9" s="19">
        <f>TRANSICAO!$AA$9*CUSTOS!$R$4</f>
        <v>0</v>
      </c>
      <c r="AB9" s="19">
        <f>TRANSICAO!$AB$9*CUSTOS!$R$4</f>
        <v>0</v>
      </c>
      <c r="AC9" s="19">
        <f>TRANSICAO!$AC$9*CUSTOS!$R$4</f>
        <v>10.108000000000001</v>
      </c>
      <c r="AD9" s="19">
        <f>TRANSICAO!$AD$9*CUSTOS!$R$4</f>
        <v>0</v>
      </c>
      <c r="AE9" s="19">
        <v>0</v>
      </c>
      <c r="AF9" s="19">
        <v>0</v>
      </c>
      <c r="AG9" s="19"/>
      <c r="AH9" s="19">
        <v>0</v>
      </c>
      <c r="AI9" s="19">
        <v>0</v>
      </c>
      <c r="AJ9" s="19">
        <v>0</v>
      </c>
      <c r="AK9" s="19">
        <f t="shared" si="0"/>
        <v>0</v>
      </c>
      <c r="AL9" s="19"/>
      <c r="AM9" s="19"/>
      <c r="AP9" s="19"/>
    </row>
    <row r="10" spans="1:42" ht="11.25" customHeight="1" x14ac:dyDescent="0.25">
      <c r="A10" s="132"/>
      <c r="B10" s="132" t="s">
        <v>35</v>
      </c>
      <c r="C10" s="132" t="s">
        <v>25</v>
      </c>
      <c r="D10" s="132" t="s">
        <v>25</v>
      </c>
      <c r="E10" s="132" t="s">
        <v>25</v>
      </c>
      <c r="F10" s="132" t="s">
        <v>25</v>
      </c>
      <c r="G10" s="21" t="s">
        <v>9</v>
      </c>
      <c r="H10" s="21" t="s">
        <v>75</v>
      </c>
      <c r="I10" s="21">
        <f>'MERCADO TUSD'!$U$7</f>
        <v>1445</v>
      </c>
      <c r="J10" s="17"/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/>
      <c r="U10" s="19">
        <f>TRANSICAO!$U$10*CUSTOS!$R$3</f>
        <v>0</v>
      </c>
      <c r="V10" s="19">
        <f>TRANSICAO!$V$10*CUSTOS!$R$3</f>
        <v>0</v>
      </c>
      <c r="W10" s="19">
        <f>TRANSICAO!$W$10*CUSTOS!$R$3</f>
        <v>0</v>
      </c>
      <c r="X10" s="19">
        <f>TRANSICAO!$X$10*CUSTOS!$R$3</f>
        <v>0</v>
      </c>
      <c r="Y10" s="19">
        <f>TRANSICAO!$Y$10*CUSTOS!$R$3</f>
        <v>23.959900000000001</v>
      </c>
      <c r="Z10" s="19">
        <f>TRANSICAO!$Z$10*CUSTOS!$R$3</f>
        <v>0</v>
      </c>
      <c r="AA10" s="19">
        <f>TRANSICAO!$AA$10*CUSTOS!$R$3</f>
        <v>0</v>
      </c>
      <c r="AB10" s="19">
        <f>TRANSICAO!$AB$10*CUSTOS!$R$3</f>
        <v>0</v>
      </c>
      <c r="AC10" s="19">
        <f>TRANSICAO!$AC$10*CUSTOS!$R$3</f>
        <v>26.305499999999999</v>
      </c>
      <c r="AD10" s="19">
        <f>TRANSICAO!$AD$10*CUSTOS!$R$3</f>
        <v>0</v>
      </c>
      <c r="AE10" s="19">
        <v>0</v>
      </c>
      <c r="AF10" s="19">
        <v>0</v>
      </c>
      <c r="AG10" s="19"/>
      <c r="AH10" s="19">
        <v>0</v>
      </c>
      <c r="AI10" s="19">
        <v>0</v>
      </c>
      <c r="AJ10" s="19">
        <v>0</v>
      </c>
      <c r="AK10" s="19">
        <f t="shared" si="0"/>
        <v>0</v>
      </c>
      <c r="AL10" s="19"/>
      <c r="AM10" s="19"/>
      <c r="AP10" s="19">
        <v>1</v>
      </c>
    </row>
    <row r="11" spans="1:42" ht="11.25" customHeight="1" x14ac:dyDescent="0.25">
      <c r="A11" s="132"/>
      <c r="B11" s="132"/>
      <c r="C11" s="132"/>
      <c r="D11" s="132"/>
      <c r="E11" s="132"/>
      <c r="F11" s="132"/>
      <c r="G11" s="21" t="s">
        <v>70</v>
      </c>
      <c r="H11" s="21" t="s">
        <v>69</v>
      </c>
      <c r="I11" s="21">
        <f>'MERCADO TUSD'!$U$8</f>
        <v>2.2919999999999998</v>
      </c>
      <c r="J11" s="17"/>
      <c r="L11" s="19">
        <f>0.84</f>
        <v>0.84</v>
      </c>
      <c r="M11" s="19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0.6730549681671133</v>
      </c>
      <c r="N11" s="19">
        <f ca="1">(+M11+O11+R11+U11+V11+W11+X11+Y11+Z11+AA11+AC11+AH11+AI11+AJ11+AK11)*CUSTOS!$M$5</f>
        <v>2.7440852549681668E-11</v>
      </c>
      <c r="O11" s="19">
        <v>1</v>
      </c>
      <c r="P11" s="19">
        <v>1</v>
      </c>
      <c r="Q11" s="19">
        <f>0.84</f>
        <v>0.84</v>
      </c>
      <c r="R11" s="19">
        <v>1</v>
      </c>
      <c r="S11" s="19">
        <v>1</v>
      </c>
      <c r="T11" s="19"/>
      <c r="U11" s="19">
        <f>TRANSICAO!$U$11*CUSTOS!$R$3</f>
        <v>0</v>
      </c>
      <c r="V11" s="19">
        <f>TRANSICAO!$V$11*CUSTOS!$R$3</f>
        <v>0</v>
      </c>
      <c r="W11" s="19">
        <f>TRANSICAO!$W$11*CUSTOS!$R$3</f>
        <v>0</v>
      </c>
      <c r="X11" s="19">
        <f>TRANSICAO!$X$11*CUSTOS!$R$3</f>
        <v>0</v>
      </c>
      <c r="Y11" s="19">
        <f>TRANSICAO!$Y$11*CUSTOS!$R$3</f>
        <v>720.50750000000005</v>
      </c>
      <c r="Z11" s="19">
        <f>TRANSICAO!$Z$11*CUSTOS!$R$3</f>
        <v>0</v>
      </c>
      <c r="AA11" s="19">
        <f>TRANSICAO!$AA$11*CUSTOS!$R$3</f>
        <v>0</v>
      </c>
      <c r="AB11" s="19">
        <f>TRANSICAO!$AB$11*CUSTOS!$R$3</f>
        <v>0</v>
      </c>
      <c r="AC11" s="19">
        <f>TRANSICAO!$AC$11*CUSTOS!$R$3</f>
        <v>2005.7456</v>
      </c>
      <c r="AD11" s="19">
        <f>TRANSICAO!$AD$11*CUSTOS!$R$3</f>
        <v>0</v>
      </c>
      <c r="AE11" s="19">
        <v>0</v>
      </c>
      <c r="AF11" s="19">
        <v>0</v>
      </c>
      <c r="AG11" s="19"/>
      <c r="AH11" s="19">
        <v>15.1591</v>
      </c>
      <c r="AI11" s="19">
        <v>0</v>
      </c>
      <c r="AJ11" s="19">
        <f ca="1">$N$63</f>
        <v>0</v>
      </c>
      <c r="AK11" s="19">
        <f t="shared" ca="1" si="0"/>
        <v>0</v>
      </c>
      <c r="AL11" s="19"/>
      <c r="AM11" s="19"/>
      <c r="AP11" s="19">
        <v>1</v>
      </c>
    </row>
    <row r="12" spans="1:42" ht="11.25" customHeight="1" x14ac:dyDescent="0.25">
      <c r="A12" s="132"/>
      <c r="B12" s="132"/>
      <c r="C12" s="132"/>
      <c r="D12" s="132"/>
      <c r="E12" s="132"/>
      <c r="F12" s="132"/>
      <c r="G12" s="21" t="s">
        <v>71</v>
      </c>
      <c r="H12" s="21" t="s">
        <v>69</v>
      </c>
      <c r="I12" s="21">
        <f>'MERCADO TUSD'!$U$9</f>
        <v>310.52600000000001</v>
      </c>
      <c r="J12" s="17"/>
      <c r="L12" s="19">
        <f>0.84</f>
        <v>0.84</v>
      </c>
      <c r="M12" s="19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0.6730549681671133</v>
      </c>
      <c r="N12" s="19">
        <f ca="1">(+M12+O12+R12+U12+V12+W12+X12+Y12+Z12+AA12+AC12+AH12+AI12+AJ12+AK12)*CUSTOS!$M$5</f>
        <v>1.7832154968167113E-13</v>
      </c>
      <c r="O12" s="19">
        <v>1</v>
      </c>
      <c r="P12" s="19">
        <v>1</v>
      </c>
      <c r="Q12" s="19">
        <f>0.84</f>
        <v>0.84</v>
      </c>
      <c r="R12" s="19">
        <v>1</v>
      </c>
      <c r="S12" s="19">
        <v>1</v>
      </c>
      <c r="T12" s="19"/>
      <c r="U12" s="19">
        <f>TRANSICAO!$U$12*CUSTOS!$R$3</f>
        <v>0</v>
      </c>
      <c r="V12" s="19">
        <f>TRANSICAO!$V$12*CUSTOS!$R$3</f>
        <v>0</v>
      </c>
      <c r="W12" s="19">
        <f>TRANSICAO!$W$12*CUSTOS!$R$3</f>
        <v>0</v>
      </c>
      <c r="X12" s="19">
        <f>TRANSICAO!$X$12*CUSTOS!$R$3</f>
        <v>0</v>
      </c>
      <c r="Y12" s="19">
        <f>TRANSICAO!$Y$12*CUSTOS!$R$3</f>
        <v>0</v>
      </c>
      <c r="Z12" s="19">
        <f>TRANSICAO!$Z$12*CUSTOS!$R$3</f>
        <v>0</v>
      </c>
      <c r="AA12" s="19">
        <f>TRANSICAO!$AA$12*CUSTOS!$R$3</f>
        <v>0</v>
      </c>
      <c r="AB12" s="19">
        <f>TRANSICAO!$AB$12*CUSTOS!$R$3</f>
        <v>0</v>
      </c>
      <c r="AC12" s="19">
        <f>TRANSICAO!$AC$12*CUSTOS!$R$3</f>
        <v>0</v>
      </c>
      <c r="AD12" s="19">
        <f>TRANSICAO!$AD$12*CUSTOS!$R$3</f>
        <v>0</v>
      </c>
      <c r="AE12" s="19">
        <v>0</v>
      </c>
      <c r="AF12" s="19">
        <v>0</v>
      </c>
      <c r="AG12" s="19"/>
      <c r="AH12" s="19">
        <v>15.1591</v>
      </c>
      <c r="AI12" s="19">
        <v>0</v>
      </c>
      <c r="AJ12" s="19">
        <f ca="1">$N$63</f>
        <v>0</v>
      </c>
      <c r="AK12" s="19">
        <f t="shared" ca="1" si="0"/>
        <v>0</v>
      </c>
      <c r="AL12" s="19"/>
      <c r="AM12" s="19"/>
      <c r="AP12" s="19">
        <v>1</v>
      </c>
    </row>
    <row r="13" spans="1:42" ht="11.25" customHeight="1" x14ac:dyDescent="0.25">
      <c r="A13" s="132"/>
      <c r="B13" s="132"/>
      <c r="C13" s="132"/>
      <c r="D13" s="132"/>
      <c r="E13" s="132" t="s">
        <v>78</v>
      </c>
      <c r="F13" s="132" t="s">
        <v>25</v>
      </c>
      <c r="G13" s="21" t="s">
        <v>70</v>
      </c>
      <c r="H13" s="21" t="s">
        <v>69</v>
      </c>
      <c r="I13" s="21">
        <f>'MERCADO TUSD'!$U$10</f>
        <v>0</v>
      </c>
      <c r="J13" s="17"/>
      <c r="L13" s="19">
        <v>0</v>
      </c>
      <c r="M13" s="19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0.6730549681671133</v>
      </c>
      <c r="N13" s="19">
        <f ca="1">(+M13+O13+R13+U13+V13+W13+X13+Y13+Z13+AA13+AC13+AH13+AI13+AJ13+AK13)*CUSTOS!$M$5</f>
        <v>2.7430852549681667E-11</v>
      </c>
      <c r="O13" s="19">
        <v>1</v>
      </c>
      <c r="P13" s="19">
        <v>0</v>
      </c>
      <c r="Q13" s="19">
        <v>0</v>
      </c>
      <c r="R13" s="19">
        <v>0</v>
      </c>
      <c r="S13" s="19">
        <v>0</v>
      </c>
      <c r="T13" s="19"/>
      <c r="U13" s="19">
        <f>TRANSICAO!$U$13*CUSTOS!$R$3</f>
        <v>0</v>
      </c>
      <c r="V13" s="19">
        <f>TRANSICAO!$V$13*CUSTOS!$R$3</f>
        <v>0</v>
      </c>
      <c r="W13" s="19">
        <f>TRANSICAO!$W$13*CUSTOS!$R$3</f>
        <v>0</v>
      </c>
      <c r="X13" s="19">
        <f>TRANSICAO!$X$13*CUSTOS!$R$3</f>
        <v>0</v>
      </c>
      <c r="Y13" s="19">
        <f>TRANSICAO!$Y$13*CUSTOS!$R$3</f>
        <v>720.50750000000005</v>
      </c>
      <c r="Z13" s="19">
        <f>TRANSICAO!$Z$13*CUSTOS!$R$3</f>
        <v>0</v>
      </c>
      <c r="AA13" s="19">
        <f>TRANSICAO!$AA$13*CUSTOS!$R$3</f>
        <v>0</v>
      </c>
      <c r="AB13" s="19">
        <f>TRANSICAO!$AB$13*CUSTOS!$R$3</f>
        <v>0</v>
      </c>
      <c r="AC13" s="19">
        <f>TRANSICAO!$AC$13*CUSTOS!$R$3</f>
        <v>2005.7456</v>
      </c>
      <c r="AD13" s="19">
        <f>TRANSICAO!$AD$13*CUSTOS!$R$3</f>
        <v>0</v>
      </c>
      <c r="AE13" s="19">
        <v>0</v>
      </c>
      <c r="AF13" s="19">
        <v>0</v>
      </c>
      <c r="AG13" s="19"/>
      <c r="AH13" s="19">
        <v>15.1591</v>
      </c>
      <c r="AI13" s="19">
        <v>0</v>
      </c>
      <c r="AJ13" s="19">
        <f ca="1">$N$63</f>
        <v>0</v>
      </c>
      <c r="AK13" s="19">
        <f t="shared" ca="1" si="0"/>
        <v>0</v>
      </c>
      <c r="AL13" s="19"/>
      <c r="AM13" s="19"/>
      <c r="AP13" s="19">
        <v>1</v>
      </c>
    </row>
    <row r="14" spans="1:42" ht="11.25" customHeight="1" x14ac:dyDescent="0.25">
      <c r="A14" s="132"/>
      <c r="B14" s="132"/>
      <c r="C14" s="132"/>
      <c r="D14" s="132"/>
      <c r="E14" s="132"/>
      <c r="F14" s="132"/>
      <c r="G14" s="21" t="s">
        <v>71</v>
      </c>
      <c r="H14" s="21" t="s">
        <v>69</v>
      </c>
      <c r="I14" s="21">
        <f>'MERCADO TUSD'!$U$11</f>
        <v>0</v>
      </c>
      <c r="J14" s="17"/>
      <c r="L14" s="19">
        <v>0</v>
      </c>
      <c r="M14" s="19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0.6730549681671133</v>
      </c>
      <c r="N14" s="19">
        <f ca="1">(+M14+O14+R14+U14+V14+W14+X14+Y14+Z14+AA14+AC14+AH14+AI14+AJ14+AK14)*CUSTOS!$M$5</f>
        <v>1.6832154968167114E-13</v>
      </c>
      <c r="O14" s="19">
        <v>1</v>
      </c>
      <c r="P14" s="19">
        <v>0</v>
      </c>
      <c r="Q14" s="19">
        <v>0</v>
      </c>
      <c r="R14" s="19">
        <v>0</v>
      </c>
      <c r="S14" s="19">
        <v>0</v>
      </c>
      <c r="T14" s="19"/>
      <c r="U14" s="19">
        <f>TRANSICAO!$U$14*CUSTOS!$R$3</f>
        <v>0</v>
      </c>
      <c r="V14" s="19">
        <f>TRANSICAO!$V$14*CUSTOS!$R$3</f>
        <v>0</v>
      </c>
      <c r="W14" s="19">
        <f>TRANSICAO!$W$14*CUSTOS!$R$3</f>
        <v>0</v>
      </c>
      <c r="X14" s="19">
        <f>TRANSICAO!$X$14*CUSTOS!$R$3</f>
        <v>0</v>
      </c>
      <c r="Y14" s="19">
        <f>TRANSICAO!$Y$14*CUSTOS!$R$3</f>
        <v>0</v>
      </c>
      <c r="Z14" s="19">
        <f>TRANSICAO!$Z$14*CUSTOS!$R$3</f>
        <v>0</v>
      </c>
      <c r="AA14" s="19">
        <f>TRANSICAO!$AA$14*CUSTOS!$R$3</f>
        <v>0</v>
      </c>
      <c r="AB14" s="19">
        <f>TRANSICAO!$AB$14*CUSTOS!$R$3</f>
        <v>0</v>
      </c>
      <c r="AC14" s="19">
        <f>TRANSICAO!$AC$14*CUSTOS!$R$3</f>
        <v>0</v>
      </c>
      <c r="AD14" s="19">
        <f>TRANSICAO!$AD$14*CUSTOS!$R$3</f>
        <v>0</v>
      </c>
      <c r="AE14" s="19">
        <v>0</v>
      </c>
      <c r="AF14" s="19">
        <v>0</v>
      </c>
      <c r="AG14" s="19"/>
      <c r="AH14" s="19">
        <v>15.1591</v>
      </c>
      <c r="AI14" s="19">
        <v>0</v>
      </c>
      <c r="AJ14" s="19">
        <f ca="1">$N$63</f>
        <v>0</v>
      </c>
      <c r="AK14" s="19">
        <f t="shared" ca="1" si="0"/>
        <v>0</v>
      </c>
      <c r="AL14" s="19"/>
      <c r="AM14" s="19"/>
      <c r="AP14" s="19">
        <v>1</v>
      </c>
    </row>
    <row r="15" spans="1:42" ht="11.25" customHeight="1" x14ac:dyDescent="0.25">
      <c r="A15" s="132" t="s">
        <v>80</v>
      </c>
      <c r="B15" s="132" t="s">
        <v>79</v>
      </c>
      <c r="C15" s="132" t="s">
        <v>25</v>
      </c>
      <c r="D15" s="132" t="s">
        <v>25</v>
      </c>
      <c r="E15" s="22" t="s">
        <v>81</v>
      </c>
      <c r="F15" s="22" t="s">
        <v>25</v>
      </c>
      <c r="G15" s="21" t="s">
        <v>9</v>
      </c>
      <c r="H15" s="21" t="s">
        <v>75</v>
      </c>
      <c r="I15" s="21">
        <f>'MERCADO TUSD'!$U$12+0.00000001</f>
        <v>1E-8</v>
      </c>
      <c r="J15" s="17"/>
      <c r="L15" s="19">
        <v>0</v>
      </c>
      <c r="M15" s="19">
        <v>2.1299999999999999E-2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/>
      <c r="U15" s="19">
        <f>TRANSICAO!$U$15*CUSTOS!$T$4</f>
        <v>0</v>
      </c>
      <c r="V15" s="19">
        <f>TRANSICAO!$V$15*CUSTOS!$T$4</f>
        <v>0</v>
      </c>
      <c r="W15" s="19">
        <f>TRANSICAO!$W$15*CUSTOS!$T$4</f>
        <v>0</v>
      </c>
      <c r="X15" s="19">
        <f>TRANSICAO!$X$15*CUSTOS!$T$4</f>
        <v>0</v>
      </c>
      <c r="Y15" s="19">
        <f>TRANSICAO!$Y$15*CUSTOS!$T$4</f>
        <v>0</v>
      </c>
      <c r="Z15" s="19">
        <f>TRANSICAO!$Z$15*CUSTOS!$T$4</f>
        <v>0</v>
      </c>
      <c r="AA15" s="19">
        <f>TRANSICAO!$AA$15*CUSTOS!$T$4</f>
        <v>0</v>
      </c>
      <c r="AB15" s="19">
        <f>TRANSICAO!$AB$15*CUSTOS!$T$4</f>
        <v>0</v>
      </c>
      <c r="AC15" s="19">
        <f>TRANSICAO!$AC$15*CUSTOS!$T$4</f>
        <v>4.9530000000000003</v>
      </c>
      <c r="AD15" s="19">
        <f>TRANSICAO!$AD$15*CUSTOS!$T$4</f>
        <v>0</v>
      </c>
      <c r="AE15" s="19">
        <v>0</v>
      </c>
      <c r="AF15" s="19">
        <v>0</v>
      </c>
      <c r="AG15" s="19"/>
      <c r="AH15" s="19">
        <v>0</v>
      </c>
      <c r="AI15" s="19">
        <v>0</v>
      </c>
      <c r="AJ15" s="19">
        <v>0</v>
      </c>
      <c r="AK15" s="19">
        <f t="shared" si="0"/>
        <v>0</v>
      </c>
      <c r="AL15" s="19"/>
      <c r="AM15" s="19"/>
      <c r="AP15" s="19"/>
    </row>
    <row r="16" spans="1:42" ht="11.25" customHeight="1" x14ac:dyDescent="0.25">
      <c r="A16" s="132"/>
      <c r="B16" s="132"/>
      <c r="C16" s="132"/>
      <c r="D16" s="132"/>
      <c r="E16" s="22" t="s">
        <v>82</v>
      </c>
      <c r="F16" s="22" t="s">
        <v>25</v>
      </c>
      <c r="G16" s="21" t="s">
        <v>9</v>
      </c>
      <c r="H16" s="21" t="s">
        <v>75</v>
      </c>
      <c r="I16" s="21">
        <f>'MERCADO TUSD'!$U$13+0.00000001</f>
        <v>1E-8</v>
      </c>
      <c r="J16" s="17"/>
      <c r="L16" s="19">
        <v>0</v>
      </c>
      <c r="M16" s="19">
        <v>2.1299999999999999E-2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/>
      <c r="U16" s="19">
        <f>TRANSICAO!$U$16*CUSTOS!$T$4</f>
        <v>0</v>
      </c>
      <c r="V16" s="19">
        <f>TRANSICAO!$V$16*CUSTOS!$T$4</f>
        <v>0</v>
      </c>
      <c r="W16" s="19">
        <f>TRANSICAO!$W$16*CUSTOS!$T$4</f>
        <v>0</v>
      </c>
      <c r="X16" s="19">
        <f>TRANSICAO!$X$16*CUSTOS!$T$4</f>
        <v>0</v>
      </c>
      <c r="Y16" s="19">
        <f>TRANSICAO!$Y$16*CUSTOS!$T$4</f>
        <v>0</v>
      </c>
      <c r="Z16" s="19">
        <f>TRANSICAO!$Z$16*CUSTOS!$T$4</f>
        <v>0</v>
      </c>
      <c r="AA16" s="19">
        <f>TRANSICAO!$AA$16*CUSTOS!$T$4</f>
        <v>0</v>
      </c>
      <c r="AB16" s="19">
        <f>TRANSICAO!$AB$16*CUSTOS!$T$4</f>
        <v>0</v>
      </c>
      <c r="AC16" s="19">
        <f>TRANSICAO!$AC$16*CUSTOS!$T$4</f>
        <v>14.957000000000001</v>
      </c>
      <c r="AD16" s="19">
        <f>TRANSICAO!$AD$16*CUSTOS!$T$4</f>
        <v>0</v>
      </c>
      <c r="AE16" s="19">
        <v>0</v>
      </c>
      <c r="AF16" s="19">
        <v>0</v>
      </c>
      <c r="AG16" s="19"/>
      <c r="AH16" s="19">
        <v>0</v>
      </c>
      <c r="AI16" s="19">
        <v>0</v>
      </c>
      <c r="AJ16" s="19">
        <v>0</v>
      </c>
      <c r="AK16" s="19">
        <f t="shared" si="0"/>
        <v>0</v>
      </c>
      <c r="AL16" s="19"/>
      <c r="AM16" s="19"/>
      <c r="AP16" s="19"/>
    </row>
    <row r="17" spans="1:42" ht="11.25" customHeight="1" x14ac:dyDescent="0.25">
      <c r="A17" s="132" t="s">
        <v>22</v>
      </c>
      <c r="B17" s="132" t="s">
        <v>39</v>
      </c>
      <c r="C17" s="132" t="s">
        <v>24</v>
      </c>
      <c r="D17" s="132" t="s">
        <v>24</v>
      </c>
      <c r="E17" s="132" t="s">
        <v>25</v>
      </c>
      <c r="F17" s="132" t="s">
        <v>25</v>
      </c>
      <c r="G17" s="21" t="s">
        <v>70</v>
      </c>
      <c r="H17" s="21" t="s">
        <v>69</v>
      </c>
      <c r="I17" s="21">
        <f>'MERCADO TUSD'!$U$14</f>
        <v>0</v>
      </c>
      <c r="J17" s="17"/>
      <c r="L17" s="19">
        <f>1</f>
        <v>1</v>
      </c>
      <c r="M17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2.0245564187835248</v>
      </c>
      <c r="N17" s="19">
        <f ca="1">(+M17+O17+R17+U17+V17+W17+X17+Y17+Z17+AA17+AC17+AH17+AI17+AJ17+AK17)*CUSTOS!$M$5</f>
        <v>1.6187288564187832E-11</v>
      </c>
      <c r="O17" s="19">
        <v>1</v>
      </c>
      <c r="P17" s="19">
        <v>1</v>
      </c>
      <c r="Q17" s="19">
        <f>1</f>
        <v>1</v>
      </c>
      <c r="R17" s="19">
        <v>1</v>
      </c>
      <c r="S17" s="19">
        <v>1</v>
      </c>
      <c r="T17" s="19"/>
      <c r="U17" s="19">
        <f>TRANSICAO!$U$17*CUSTOS!$T$3</f>
        <v>0</v>
      </c>
      <c r="V17" s="19">
        <f>TRANSICAO!$V$17*CUSTOS!$T$3</f>
        <v>0</v>
      </c>
      <c r="W17" s="19">
        <f>TRANSICAO!$W$17*CUSTOS!$T$3</f>
        <v>0</v>
      </c>
      <c r="X17" s="19">
        <f>TRANSICAO!$X$17*CUSTOS!$T$3</f>
        <v>0</v>
      </c>
      <c r="Y17" s="19">
        <f>TRANSICAO!$Y$17*CUSTOS!$T$3</f>
        <v>351.56889999999999</v>
      </c>
      <c r="Z17" s="19">
        <f>TRANSICAO!$Z$17*CUSTOS!$T$3</f>
        <v>0</v>
      </c>
      <c r="AA17" s="19">
        <f>TRANSICAO!$AA$17*CUSTOS!$T$3</f>
        <v>0</v>
      </c>
      <c r="AB17" s="19">
        <f>TRANSICAO!$AB$17*CUSTOS!$T$3</f>
        <v>0</v>
      </c>
      <c r="AC17" s="19">
        <f>TRANSICAO!$AC$17*CUSTOS!$T$3</f>
        <v>1230.1161</v>
      </c>
      <c r="AD17" s="19">
        <f>TRANSICAO!$AD$17*CUSTOS!$T$3</f>
        <v>0</v>
      </c>
      <c r="AE17" s="19">
        <v>0</v>
      </c>
      <c r="AF17" s="19">
        <v>0</v>
      </c>
      <c r="AG17" s="19"/>
      <c r="AH17" s="19">
        <v>33.019300000000001</v>
      </c>
      <c r="AI17" s="19">
        <v>0</v>
      </c>
      <c r="AJ17" s="19">
        <f ca="1">$N$64</f>
        <v>0</v>
      </c>
      <c r="AK17" s="19">
        <f t="shared" ca="1" si="0"/>
        <v>0</v>
      </c>
      <c r="AL17" s="19"/>
      <c r="AM17" s="19"/>
      <c r="AP17" s="19">
        <v>1</v>
      </c>
    </row>
    <row r="18" spans="1:42" ht="11.25" customHeight="1" x14ac:dyDescent="0.25">
      <c r="A18" s="132"/>
      <c r="B18" s="132"/>
      <c r="C18" s="132"/>
      <c r="D18" s="132"/>
      <c r="E18" s="132"/>
      <c r="F18" s="132"/>
      <c r="G18" s="21" t="s">
        <v>83</v>
      </c>
      <c r="H18" s="21" t="s">
        <v>69</v>
      </c>
      <c r="I18" s="21">
        <f>'MERCADO TUSD'!$U$15</f>
        <v>5.0000000000000001E-3</v>
      </c>
      <c r="J18" s="17"/>
      <c r="L18" s="19">
        <f>1</f>
        <v>1</v>
      </c>
      <c r="M18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2.0245564187835248</v>
      </c>
      <c r="N18" s="19">
        <f ca="1">(+M18+O18+R18+U18+V18+W18+X18+Y18+Z18+AA18+AC18+AH18+AI18+AJ18+AK18)*CUSTOS!$M$5</f>
        <v>9.8605275641878354E-12</v>
      </c>
      <c r="O18" s="19">
        <v>1</v>
      </c>
      <c r="P18" s="19">
        <v>1</v>
      </c>
      <c r="Q18" s="19">
        <f>1</f>
        <v>1</v>
      </c>
      <c r="R18" s="19">
        <v>1</v>
      </c>
      <c r="S18" s="19">
        <v>1</v>
      </c>
      <c r="T18" s="19"/>
      <c r="U18" s="19">
        <f>TRANSICAO!$U$18*CUSTOS!$T$3</f>
        <v>0</v>
      </c>
      <c r="V18" s="19">
        <f>TRANSICAO!$V$18*CUSTOS!$T$3</f>
        <v>0</v>
      </c>
      <c r="W18" s="19">
        <f>TRANSICAO!$W$18*CUSTOS!$T$3</f>
        <v>0</v>
      </c>
      <c r="X18" s="19">
        <f>TRANSICAO!$X$18*CUSTOS!$T$3</f>
        <v>0</v>
      </c>
      <c r="Y18" s="19">
        <f>TRANSICAO!$Y$18*CUSTOS!$T$3</f>
        <v>210.93950000000001</v>
      </c>
      <c r="Z18" s="19">
        <f>TRANSICAO!$Z$18*CUSTOS!$T$3</f>
        <v>0</v>
      </c>
      <c r="AA18" s="19">
        <f>TRANSICAO!$AA$18*CUSTOS!$T$3</f>
        <v>0</v>
      </c>
      <c r="AB18" s="19">
        <f>TRANSICAO!$AB$18*CUSTOS!$T$3</f>
        <v>0</v>
      </c>
      <c r="AC18" s="19">
        <f>TRANSICAO!$AC$18*CUSTOS!$T$3</f>
        <v>738.06939999999997</v>
      </c>
      <c r="AD18" s="19">
        <f>TRANSICAO!$AD$18*CUSTOS!$T$3</f>
        <v>0</v>
      </c>
      <c r="AE18" s="19">
        <v>0</v>
      </c>
      <c r="AF18" s="19">
        <v>0</v>
      </c>
      <c r="AG18" s="19"/>
      <c r="AH18" s="19">
        <v>33.019300000000001</v>
      </c>
      <c r="AI18" s="19">
        <v>0</v>
      </c>
      <c r="AJ18" s="19">
        <f ca="1">$N$64</f>
        <v>0</v>
      </c>
      <c r="AK18" s="19">
        <f t="shared" ca="1" si="0"/>
        <v>0</v>
      </c>
      <c r="AL18" s="19"/>
      <c r="AM18" s="19"/>
      <c r="AP18" s="19">
        <v>1</v>
      </c>
    </row>
    <row r="19" spans="1:42" ht="11.25" customHeight="1" x14ac:dyDescent="0.25">
      <c r="A19" s="132"/>
      <c r="B19" s="132"/>
      <c r="C19" s="132"/>
      <c r="D19" s="132"/>
      <c r="E19" s="132"/>
      <c r="F19" s="132"/>
      <c r="G19" s="21" t="s">
        <v>71</v>
      </c>
      <c r="H19" s="21" t="s">
        <v>69</v>
      </c>
      <c r="I19" s="21">
        <f>'MERCADO TUSD'!$U$16</f>
        <v>0.96600000000000008</v>
      </c>
      <c r="J19" s="17"/>
      <c r="L19" s="19">
        <f>1</f>
        <v>1</v>
      </c>
      <c r="M19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2.0245564187835248</v>
      </c>
      <c r="N19" s="19">
        <f ca="1">(+M19+O19+R19+U19+V19+W19+X19+Y19+Z19+AA19+AC19+AH19+AI19+AJ19+AK19)*CUSTOS!$M$5</f>
        <v>3.5337955641878354E-12</v>
      </c>
      <c r="O19" s="19">
        <v>1</v>
      </c>
      <c r="P19" s="19">
        <v>1</v>
      </c>
      <c r="Q19" s="19">
        <f>1</f>
        <v>1</v>
      </c>
      <c r="R19" s="19">
        <v>1</v>
      </c>
      <c r="S19" s="19">
        <v>1</v>
      </c>
      <c r="T19" s="19"/>
      <c r="U19" s="19">
        <f>TRANSICAO!$U$19*CUSTOS!$T$3</f>
        <v>0</v>
      </c>
      <c r="V19" s="19">
        <f>TRANSICAO!$V$19*CUSTOS!$T$3</f>
        <v>0</v>
      </c>
      <c r="W19" s="19">
        <f>TRANSICAO!$W$19*CUSTOS!$T$3</f>
        <v>0</v>
      </c>
      <c r="X19" s="19">
        <f>TRANSICAO!$X$19*CUSTOS!$T$3</f>
        <v>0</v>
      </c>
      <c r="Y19" s="19">
        <f>TRANSICAO!$Y$19*CUSTOS!$T$3</f>
        <v>70.3125</v>
      </c>
      <c r="Z19" s="19">
        <f>TRANSICAO!$Z$19*CUSTOS!$T$3</f>
        <v>0</v>
      </c>
      <c r="AA19" s="19">
        <f>TRANSICAO!$AA$19*CUSTOS!$T$3</f>
        <v>0</v>
      </c>
      <c r="AB19" s="19">
        <f>TRANSICAO!$AB$19*CUSTOS!$T$3</f>
        <v>0</v>
      </c>
      <c r="AC19" s="19">
        <f>TRANSICAO!$AC$19*CUSTOS!$T$3</f>
        <v>246.0232</v>
      </c>
      <c r="AD19" s="19">
        <f>TRANSICAO!$AD$19*CUSTOS!$T$3</f>
        <v>0</v>
      </c>
      <c r="AE19" s="19">
        <v>0</v>
      </c>
      <c r="AF19" s="19">
        <v>0</v>
      </c>
      <c r="AG19" s="19"/>
      <c r="AH19" s="19">
        <v>33.019300000000001</v>
      </c>
      <c r="AI19" s="19">
        <v>0</v>
      </c>
      <c r="AJ19" s="19">
        <f ca="1">$N$64</f>
        <v>0</v>
      </c>
      <c r="AK19" s="19">
        <f t="shared" ca="1" si="0"/>
        <v>0</v>
      </c>
      <c r="AL19" s="19"/>
      <c r="AM19" s="19"/>
      <c r="AP19" s="19">
        <v>1</v>
      </c>
    </row>
    <row r="20" spans="1:42" ht="11.25" customHeight="1" x14ac:dyDescent="0.25">
      <c r="A20" s="132"/>
      <c r="B20" s="132" t="s">
        <v>23</v>
      </c>
      <c r="C20" s="132" t="s">
        <v>24</v>
      </c>
      <c r="D20" s="22" t="s">
        <v>24</v>
      </c>
      <c r="E20" s="22" t="s">
        <v>25</v>
      </c>
      <c r="F20" s="22" t="s">
        <v>25</v>
      </c>
      <c r="G20" s="21" t="s">
        <v>73</v>
      </c>
      <c r="H20" s="21" t="s">
        <v>69</v>
      </c>
      <c r="I20" s="21">
        <f>'MERCADO TUSD'!$U$17</f>
        <v>2520.6710000000003</v>
      </c>
      <c r="J20" s="17"/>
      <c r="L20" s="19">
        <f>1</f>
        <v>1</v>
      </c>
      <c r="M20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2.0245564187835248</v>
      </c>
      <c r="N20" s="19">
        <f ca="1">(+M20+O20+R20+U20+V20+W20+X20+Y20+Z20+AA20+AC20+AH20+AI20+AJ20+AK20)*CUSTOS!$M$5</f>
        <v>5.6427145641878359E-12</v>
      </c>
      <c r="O20" s="19">
        <v>1</v>
      </c>
      <c r="P20" s="19">
        <v>1</v>
      </c>
      <c r="Q20" s="19">
        <f>1</f>
        <v>1</v>
      </c>
      <c r="R20" s="19">
        <v>1</v>
      </c>
      <c r="S20" s="19">
        <v>1</v>
      </c>
      <c r="T20" s="19"/>
      <c r="U20" s="19">
        <f>TRANSICAO!$U$20*CUSTOS!$T$3</f>
        <v>0</v>
      </c>
      <c r="V20" s="19">
        <f>TRANSICAO!$V$20*CUSTOS!$T$3</f>
        <v>0</v>
      </c>
      <c r="W20" s="19">
        <f>TRANSICAO!$W$20*CUSTOS!$T$3</f>
        <v>0</v>
      </c>
      <c r="X20" s="19">
        <f>TRANSICAO!$X$20*CUSTOS!$T$3</f>
        <v>0</v>
      </c>
      <c r="Y20" s="19">
        <f>TRANSICAO!$Y$20*CUSTOS!$T$3</f>
        <v>117.1891</v>
      </c>
      <c r="Z20" s="19">
        <f>TRANSICAO!$Z$20*CUSTOS!$T$3</f>
        <v>0</v>
      </c>
      <c r="AA20" s="19">
        <f>TRANSICAO!$AA$20*CUSTOS!$T$3</f>
        <v>0</v>
      </c>
      <c r="AB20" s="19">
        <f>TRANSICAO!$AB$20*CUSTOS!$T$3</f>
        <v>0</v>
      </c>
      <c r="AC20" s="19">
        <f>TRANSICAO!$AC$20*CUSTOS!$T$3</f>
        <v>410.0385</v>
      </c>
      <c r="AD20" s="19">
        <f>TRANSICAO!$AD$20*CUSTOS!$T$3</f>
        <v>0</v>
      </c>
      <c r="AE20" s="19">
        <v>0</v>
      </c>
      <c r="AF20" s="19">
        <v>0</v>
      </c>
      <c r="AG20" s="19"/>
      <c r="AH20" s="19">
        <v>33.019300000000001</v>
      </c>
      <c r="AI20" s="19">
        <v>0</v>
      </c>
      <c r="AJ20" s="19">
        <f ca="1">$N$64</f>
        <v>0</v>
      </c>
      <c r="AK20" s="19">
        <f t="shared" ca="1" si="0"/>
        <v>0</v>
      </c>
      <c r="AL20" s="19"/>
      <c r="AM20" s="19"/>
      <c r="AP20" s="19">
        <v>1</v>
      </c>
    </row>
    <row r="21" spans="1:42" ht="11.25" customHeight="1" x14ac:dyDescent="0.25">
      <c r="A21" s="132"/>
      <c r="B21" s="132"/>
      <c r="C21" s="132"/>
      <c r="D21" s="22" t="s">
        <v>28</v>
      </c>
      <c r="E21" s="22" t="s">
        <v>25</v>
      </c>
      <c r="F21" s="22" t="s">
        <v>25</v>
      </c>
      <c r="G21" s="21" t="s">
        <v>73</v>
      </c>
      <c r="H21" s="21" t="s">
        <v>69</v>
      </c>
      <c r="I21" s="21">
        <f>'MERCADO TUSD'!$U$18</f>
        <v>782.16</v>
      </c>
      <c r="J21" s="17"/>
      <c r="L21" s="19">
        <v>0</v>
      </c>
      <c r="M21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2.0245564187835248</v>
      </c>
      <c r="N21" s="19">
        <f ca="1">(+M21+O21+R21+U21+V21+W21+X21+Y21+Z21+AA21+AC21+AH21+AI21+AJ21+AK21)*CUSTOS!$M$5</f>
        <v>5.6327145641878357E-12</v>
      </c>
      <c r="O21" s="19">
        <f>1 - CUSTOS!$M$24</f>
        <v>1</v>
      </c>
      <c r="P21" s="19">
        <v>0</v>
      </c>
      <c r="Q21" s="19">
        <v>0</v>
      </c>
      <c r="R21" s="19">
        <v>0</v>
      </c>
      <c r="S21" s="19">
        <f>1 - CUSTOS!$M$24</f>
        <v>1</v>
      </c>
      <c r="T21" s="19"/>
      <c r="U21" s="19">
        <f>TRANSICAO!$U$21*CUSTOS!$T$3</f>
        <v>0</v>
      </c>
      <c r="V21" s="19">
        <f>TRANSICAO!$V$21*CUSTOS!$T$3</f>
        <v>0</v>
      </c>
      <c r="W21" s="19">
        <f>TRANSICAO!$W$21*CUSTOS!$T$3</f>
        <v>0</v>
      </c>
      <c r="X21" s="19">
        <f>TRANSICAO!$X$21*CUSTOS!$T$3</f>
        <v>0</v>
      </c>
      <c r="Y21" s="19">
        <f>TRANSICAO!$Y$21*CUSTOS!$T$3</f>
        <v>117.1891</v>
      </c>
      <c r="Z21" s="19">
        <f>TRANSICAO!$Z$21*CUSTOS!$T$3</f>
        <v>0</v>
      </c>
      <c r="AA21" s="19">
        <f>TRANSICAO!$AA$21*CUSTOS!$T$3</f>
        <v>0</v>
      </c>
      <c r="AB21" s="19">
        <f>TRANSICAO!$AB$21*CUSTOS!$T$3</f>
        <v>0</v>
      </c>
      <c r="AC21" s="19">
        <f>TRANSICAO!$AC$21*CUSTOS!$T$3</f>
        <v>410.0385</v>
      </c>
      <c r="AD21" s="19">
        <f>TRANSICAO!$AD$21*CUSTOS!$T$3</f>
        <v>0</v>
      </c>
      <c r="AE21" s="19">
        <v>0</v>
      </c>
      <c r="AF21" s="19">
        <v>0</v>
      </c>
      <c r="AG21" s="19"/>
      <c r="AH21" s="19">
        <f>(1 - CUSTOS!$M$24)*33.0193</f>
        <v>33.019300000000001</v>
      </c>
      <c r="AI21" s="19">
        <v>0</v>
      </c>
      <c r="AJ21" s="19">
        <f ca="1">$N$64*(1-CUSTOS!$M$24)</f>
        <v>0</v>
      </c>
      <c r="AK21" s="19">
        <f t="shared" ca="1" si="0"/>
        <v>0</v>
      </c>
      <c r="AL21" s="19"/>
      <c r="AM21" s="19"/>
      <c r="AP21" s="19">
        <f>IF((1 - CUSTOS!$M$24)&lt;&gt;0,1/(1 - CUSTOS!$M$24),1)</f>
        <v>1</v>
      </c>
    </row>
    <row r="22" spans="1:42" ht="11.25" customHeight="1" x14ac:dyDescent="0.25">
      <c r="A22" s="132"/>
      <c r="B22" s="132"/>
      <c r="C22" s="132"/>
      <c r="D22" s="22" t="s">
        <v>29</v>
      </c>
      <c r="E22" s="22" t="s">
        <v>25</v>
      </c>
      <c r="F22" s="22" t="s">
        <v>25</v>
      </c>
      <c r="G22" s="21" t="s">
        <v>73</v>
      </c>
      <c r="H22" s="21" t="s">
        <v>69</v>
      </c>
      <c r="I22" s="21">
        <f>'MERCADO TUSD'!$U$19</f>
        <v>1214.3559999999998</v>
      </c>
      <c r="J22" s="17"/>
      <c r="L22" s="19">
        <v>0</v>
      </c>
      <c r="M22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2.0245564187835248</v>
      </c>
      <c r="N22" s="19">
        <f ca="1">(+M22+O22+R22+U22+V22+W22+X22+Y22+Z22+AA22+AC22+AH22+AI22+AJ22+AK22)*CUSTOS!$M$5</f>
        <v>5.6327145641878357E-12</v>
      </c>
      <c r="O22" s="19">
        <f>1 - CUSTOS!$M$25</f>
        <v>1</v>
      </c>
      <c r="P22" s="19">
        <v>0</v>
      </c>
      <c r="Q22" s="19">
        <v>0</v>
      </c>
      <c r="R22" s="19">
        <v>0</v>
      </c>
      <c r="S22" s="19">
        <f>1 - CUSTOS!$M$25</f>
        <v>1</v>
      </c>
      <c r="T22" s="19"/>
      <c r="U22" s="19">
        <f>TRANSICAO!$U$22*CUSTOS!$T$3</f>
        <v>0</v>
      </c>
      <c r="V22" s="19">
        <f>TRANSICAO!$V$22*CUSTOS!$T$3</f>
        <v>0</v>
      </c>
      <c r="W22" s="19">
        <f>TRANSICAO!$W$22*CUSTOS!$T$3</f>
        <v>0</v>
      </c>
      <c r="X22" s="19">
        <f>TRANSICAO!$X$22*CUSTOS!$T$3</f>
        <v>0</v>
      </c>
      <c r="Y22" s="19">
        <f>TRANSICAO!$Y$22*CUSTOS!$T$3</f>
        <v>117.1891</v>
      </c>
      <c r="Z22" s="19">
        <f>TRANSICAO!$Z$22*CUSTOS!$T$3</f>
        <v>0</v>
      </c>
      <c r="AA22" s="19">
        <f>TRANSICAO!$AA$22*CUSTOS!$T$3</f>
        <v>0</v>
      </c>
      <c r="AB22" s="19">
        <f>TRANSICAO!$AB$22*CUSTOS!$T$3</f>
        <v>0</v>
      </c>
      <c r="AC22" s="19">
        <f>TRANSICAO!$AC$22*CUSTOS!$T$3</f>
        <v>410.0385</v>
      </c>
      <c r="AD22" s="19">
        <f>TRANSICAO!$AD$22*CUSTOS!$T$3</f>
        <v>0</v>
      </c>
      <c r="AE22" s="19">
        <v>0</v>
      </c>
      <c r="AF22" s="19">
        <v>0</v>
      </c>
      <c r="AG22" s="19"/>
      <c r="AH22" s="19">
        <f>(1 - CUSTOS!$M$25)*33.0193</f>
        <v>33.019300000000001</v>
      </c>
      <c r="AI22" s="19">
        <v>0</v>
      </c>
      <c r="AJ22" s="19">
        <f ca="1">$N$64*(1-CUSTOS!$M$25)</f>
        <v>0</v>
      </c>
      <c r="AK22" s="19">
        <f t="shared" ca="1" si="0"/>
        <v>0</v>
      </c>
      <c r="AL22" s="19"/>
      <c r="AM22" s="19"/>
      <c r="AP22" s="19">
        <f>IF((1 - CUSTOS!$M$25)&lt;&gt;0,1/(1 - CUSTOS!$M$25),1)</f>
        <v>1</v>
      </c>
    </row>
    <row r="23" spans="1:42" ht="11.25" customHeight="1" x14ac:dyDescent="0.25">
      <c r="A23" s="132"/>
      <c r="B23" s="132"/>
      <c r="C23" s="132"/>
      <c r="D23" s="22" t="s">
        <v>30</v>
      </c>
      <c r="E23" s="22" t="s">
        <v>25</v>
      </c>
      <c r="F23" s="22" t="s">
        <v>25</v>
      </c>
      <c r="G23" s="21" t="s">
        <v>73</v>
      </c>
      <c r="H23" s="21" t="s">
        <v>69</v>
      </c>
      <c r="I23" s="21">
        <f>'MERCADO TUSD'!$U$20</f>
        <v>403.89</v>
      </c>
      <c r="J23" s="17"/>
      <c r="L23" s="19">
        <v>0</v>
      </c>
      <c r="M23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2.0245564187835248</v>
      </c>
      <c r="N23" s="19">
        <f ca="1">(+M23+O23+R23+U23+V23+W23+X23+Y23+Z23+AA23+AC23+AH23+AI23+AJ23+AK23)*CUSTOS!$M$5</f>
        <v>5.6327145641878357E-12</v>
      </c>
      <c r="O23" s="19">
        <f>1 - CUSTOS!$M$26</f>
        <v>1</v>
      </c>
      <c r="P23" s="19">
        <v>0</v>
      </c>
      <c r="Q23" s="19">
        <v>0</v>
      </c>
      <c r="R23" s="19">
        <v>0</v>
      </c>
      <c r="S23" s="19">
        <f>1 - CUSTOS!$M$26</f>
        <v>1</v>
      </c>
      <c r="T23" s="19"/>
      <c r="U23" s="19">
        <f>TRANSICAO!$U$23*CUSTOS!$T$3</f>
        <v>0</v>
      </c>
      <c r="V23" s="19">
        <f>TRANSICAO!$V$23*CUSTOS!$T$3</f>
        <v>0</v>
      </c>
      <c r="W23" s="19">
        <f>TRANSICAO!$W$23*CUSTOS!$T$3</f>
        <v>0</v>
      </c>
      <c r="X23" s="19">
        <f>TRANSICAO!$X$23*CUSTOS!$T$3</f>
        <v>0</v>
      </c>
      <c r="Y23" s="19">
        <f>TRANSICAO!$Y$23*CUSTOS!$T$3</f>
        <v>117.1891</v>
      </c>
      <c r="Z23" s="19">
        <f>TRANSICAO!$Z$23*CUSTOS!$T$3</f>
        <v>0</v>
      </c>
      <c r="AA23" s="19">
        <f>TRANSICAO!$AA$23*CUSTOS!$T$3</f>
        <v>0</v>
      </c>
      <c r="AB23" s="19">
        <f>TRANSICAO!$AB$23*CUSTOS!$T$3</f>
        <v>0</v>
      </c>
      <c r="AC23" s="19">
        <f>TRANSICAO!$AC$23*CUSTOS!$T$3</f>
        <v>410.0385</v>
      </c>
      <c r="AD23" s="19">
        <f>TRANSICAO!$AD$23*CUSTOS!$T$3</f>
        <v>0</v>
      </c>
      <c r="AE23" s="19">
        <v>0</v>
      </c>
      <c r="AF23" s="19">
        <v>0</v>
      </c>
      <c r="AG23" s="19"/>
      <c r="AH23" s="19">
        <f>(1 - CUSTOS!$M$26)*33.0193</f>
        <v>33.019300000000001</v>
      </c>
      <c r="AI23" s="19">
        <v>0</v>
      </c>
      <c r="AJ23" s="19">
        <f ca="1">$N$64*(1-CUSTOS!$M$26)</f>
        <v>0</v>
      </c>
      <c r="AK23" s="19">
        <f t="shared" ca="1" si="0"/>
        <v>0</v>
      </c>
      <c r="AL23" s="19"/>
      <c r="AM23" s="19"/>
      <c r="AP23" s="19">
        <f>IF((1 - CUSTOS!$M$26)&lt;&gt;0,1/(1 - CUSTOS!$M$26),1)</f>
        <v>1</v>
      </c>
    </row>
    <row r="24" spans="1:42" ht="11.25" customHeight="1" x14ac:dyDescent="0.25">
      <c r="A24" s="132"/>
      <c r="B24" s="132"/>
      <c r="C24" s="132"/>
      <c r="D24" s="22" t="s">
        <v>31</v>
      </c>
      <c r="E24" s="22" t="s">
        <v>25</v>
      </c>
      <c r="F24" s="22" t="s">
        <v>25</v>
      </c>
      <c r="G24" s="21" t="s">
        <v>73</v>
      </c>
      <c r="H24" s="21" t="s">
        <v>69</v>
      </c>
      <c r="I24" s="21">
        <f>'MERCADO TUSD'!$U$21</f>
        <v>103.88300000000001</v>
      </c>
      <c r="J24" s="17"/>
      <c r="L24" s="19">
        <v>0</v>
      </c>
      <c r="M24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2.0245564187835248</v>
      </c>
      <c r="N24" s="19">
        <f ca="1">(+M24+O24+R24+U24+V24+W24+X24+Y24+Z24+AA24+AC24+AH24+AI24+AJ24+AK24)*CUSTOS!$M$5</f>
        <v>5.6327145641878357E-12</v>
      </c>
      <c r="O24" s="19">
        <f>1 - CUSTOS!$M$27</f>
        <v>1</v>
      </c>
      <c r="P24" s="19">
        <v>0</v>
      </c>
      <c r="Q24" s="19">
        <v>0</v>
      </c>
      <c r="R24" s="19">
        <v>0</v>
      </c>
      <c r="S24" s="19">
        <f>1 - CUSTOS!$M$27</f>
        <v>1</v>
      </c>
      <c r="T24" s="19"/>
      <c r="U24" s="19">
        <f>TRANSICAO!$U$24*CUSTOS!$T$3</f>
        <v>0</v>
      </c>
      <c r="V24" s="19">
        <f>TRANSICAO!$V$24*CUSTOS!$T$3</f>
        <v>0</v>
      </c>
      <c r="W24" s="19">
        <f>TRANSICAO!$W$24*CUSTOS!$T$3</f>
        <v>0</v>
      </c>
      <c r="X24" s="19">
        <f>TRANSICAO!$X$24*CUSTOS!$T$3</f>
        <v>0</v>
      </c>
      <c r="Y24" s="19">
        <f>TRANSICAO!$Y$24*CUSTOS!$T$3</f>
        <v>117.1891</v>
      </c>
      <c r="Z24" s="19">
        <f>TRANSICAO!$Z$24*CUSTOS!$T$3</f>
        <v>0</v>
      </c>
      <c r="AA24" s="19">
        <f>TRANSICAO!$AA$24*CUSTOS!$T$3</f>
        <v>0</v>
      </c>
      <c r="AB24" s="19">
        <f>TRANSICAO!$AB$24*CUSTOS!$T$3</f>
        <v>0</v>
      </c>
      <c r="AC24" s="19">
        <f>TRANSICAO!$AC$24*CUSTOS!$T$3</f>
        <v>410.0385</v>
      </c>
      <c r="AD24" s="19">
        <f>TRANSICAO!$AD$24*CUSTOS!$T$3</f>
        <v>0</v>
      </c>
      <c r="AE24" s="19">
        <v>0</v>
      </c>
      <c r="AF24" s="19">
        <v>0</v>
      </c>
      <c r="AG24" s="19"/>
      <c r="AH24" s="19">
        <f>(1 - CUSTOS!$M$27)*33.0193</f>
        <v>33.019300000000001</v>
      </c>
      <c r="AI24" s="19">
        <v>0</v>
      </c>
      <c r="AJ24" s="19">
        <f ca="1">$N$64*(1-CUSTOS!$M$27)</f>
        <v>0</v>
      </c>
      <c r="AK24" s="19">
        <f t="shared" ca="1" si="0"/>
        <v>0</v>
      </c>
      <c r="AL24" s="19"/>
      <c r="AM24" s="19"/>
      <c r="AP24" s="19">
        <f>IF((1 - CUSTOS!$M$27)&lt;&gt;0,1/(1 - CUSTOS!$M$27),1)</f>
        <v>1</v>
      </c>
    </row>
    <row r="25" spans="1:42" ht="11.25" customHeight="1" x14ac:dyDescent="0.25">
      <c r="A25" s="132"/>
      <c r="B25" s="132" t="s">
        <v>85</v>
      </c>
      <c r="C25" s="132" t="s">
        <v>24</v>
      </c>
      <c r="D25" s="22" t="s">
        <v>24</v>
      </c>
      <c r="E25" s="22" t="s">
        <v>25</v>
      </c>
      <c r="F25" s="22" t="s">
        <v>25</v>
      </c>
      <c r="G25" s="21" t="s">
        <v>73</v>
      </c>
      <c r="H25" s="21" t="s">
        <v>69</v>
      </c>
      <c r="I25" s="21">
        <f>'MERCADO TUSD'!$U$22</f>
        <v>0</v>
      </c>
      <c r="J25" s="17"/>
      <c r="L25" s="19">
        <f>1</f>
        <v>1</v>
      </c>
      <c r="M25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2.0245564187835248</v>
      </c>
      <c r="N25" s="19">
        <f ca="1">(+M25+O25+R25+U25+V25+W25+X25+Y25+Z25+AA25+AC25+AH25+AI25+AJ25+AK25)*CUSTOS!$M$5</f>
        <v>5.6427145641878359E-12</v>
      </c>
      <c r="O25" s="19">
        <v>1</v>
      </c>
      <c r="P25" s="19">
        <v>1</v>
      </c>
      <c r="Q25" s="19">
        <f>1</f>
        <v>1</v>
      </c>
      <c r="R25" s="19">
        <v>1</v>
      </c>
      <c r="S25" s="19">
        <v>1</v>
      </c>
      <c r="T25" s="19"/>
      <c r="U25" s="19">
        <f>TRANSICAO!$U$25*CUSTOS!$T$3</f>
        <v>0</v>
      </c>
      <c r="V25" s="19">
        <f>TRANSICAO!$V$25*CUSTOS!$T$3</f>
        <v>0</v>
      </c>
      <c r="W25" s="19">
        <f>TRANSICAO!$W$25*CUSTOS!$T$3</f>
        <v>0</v>
      </c>
      <c r="X25" s="19">
        <f>TRANSICAO!$X$25*CUSTOS!$T$3</f>
        <v>0</v>
      </c>
      <c r="Y25" s="19">
        <f>TRANSICAO!$Y$25*CUSTOS!$T$3</f>
        <v>117.1891</v>
      </c>
      <c r="Z25" s="19">
        <f>TRANSICAO!$Z$25*CUSTOS!$T$3</f>
        <v>0</v>
      </c>
      <c r="AA25" s="19">
        <f>TRANSICAO!$AA$25*CUSTOS!$T$3</f>
        <v>0</v>
      </c>
      <c r="AB25" s="19">
        <f>TRANSICAO!$AB$25*CUSTOS!$T$3</f>
        <v>0</v>
      </c>
      <c r="AC25" s="19">
        <f>TRANSICAO!$AC$25*CUSTOS!$T$3</f>
        <v>410.0385</v>
      </c>
      <c r="AD25" s="19">
        <f>TRANSICAO!$AD$25*CUSTOS!$T$3</f>
        <v>0</v>
      </c>
      <c r="AE25" s="19">
        <v>0</v>
      </c>
      <c r="AF25" s="19">
        <v>0</v>
      </c>
      <c r="AG25" s="19"/>
      <c r="AH25" s="19">
        <v>33.019300000000001</v>
      </c>
      <c r="AI25" s="19">
        <v>0</v>
      </c>
      <c r="AJ25" s="19">
        <f ca="1">$N$64</f>
        <v>0</v>
      </c>
      <c r="AK25" s="19">
        <f t="shared" ca="1" si="0"/>
        <v>0</v>
      </c>
      <c r="AL25" s="19"/>
      <c r="AM25" s="19"/>
      <c r="AP25" s="19">
        <v>1</v>
      </c>
    </row>
    <row r="26" spans="1:42" ht="11.25" customHeight="1" x14ac:dyDescent="0.25">
      <c r="A26" s="132"/>
      <c r="B26" s="132"/>
      <c r="C26" s="132"/>
      <c r="D26" s="22" t="s">
        <v>28</v>
      </c>
      <c r="E26" s="22" t="s">
        <v>25</v>
      </c>
      <c r="F26" s="22" t="s">
        <v>25</v>
      </c>
      <c r="G26" s="21" t="s">
        <v>73</v>
      </c>
      <c r="H26" s="21" t="s">
        <v>69</v>
      </c>
      <c r="I26" s="21">
        <f>'MERCADO TUSD'!$U$23</f>
        <v>0</v>
      </c>
      <c r="J26" s="17"/>
      <c r="L26" s="19">
        <v>0</v>
      </c>
      <c r="M26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2.0245564187835248</v>
      </c>
      <c r="N26" s="19">
        <f ca="1">(+M26+O26+R26+U26+V26+W26+X26+Y26+Z26+AA26+AC26+AH26+AI26+AJ26+AK26)*CUSTOS!$M$5</f>
        <v>5.6327145641878357E-12</v>
      </c>
      <c r="O26" s="19">
        <f>1 - CUSTOS!$M$24</f>
        <v>1</v>
      </c>
      <c r="P26" s="19">
        <v>0</v>
      </c>
      <c r="Q26" s="19">
        <v>0</v>
      </c>
      <c r="R26" s="19">
        <v>0</v>
      </c>
      <c r="S26" s="19">
        <f>1 - CUSTOS!$M$24</f>
        <v>1</v>
      </c>
      <c r="T26" s="19"/>
      <c r="U26" s="19">
        <f>TRANSICAO!$U$26*CUSTOS!$T$3</f>
        <v>0</v>
      </c>
      <c r="V26" s="19">
        <f>TRANSICAO!$V$26*CUSTOS!$T$3</f>
        <v>0</v>
      </c>
      <c r="W26" s="19">
        <f>TRANSICAO!$W$26*CUSTOS!$T$3</f>
        <v>0</v>
      </c>
      <c r="X26" s="19">
        <f>TRANSICAO!$X$26*CUSTOS!$T$3</f>
        <v>0</v>
      </c>
      <c r="Y26" s="19">
        <f>TRANSICAO!$Y$26*CUSTOS!$T$3</f>
        <v>117.1891</v>
      </c>
      <c r="Z26" s="19">
        <f>TRANSICAO!$Z$26*CUSTOS!$T$3</f>
        <v>0</v>
      </c>
      <c r="AA26" s="19">
        <f>TRANSICAO!$AA$26*CUSTOS!$T$3</f>
        <v>0</v>
      </c>
      <c r="AB26" s="19">
        <f>TRANSICAO!$AB$26*CUSTOS!$T$3</f>
        <v>0</v>
      </c>
      <c r="AC26" s="19">
        <f>TRANSICAO!$AC$26*CUSTOS!$T$3</f>
        <v>410.0385</v>
      </c>
      <c r="AD26" s="19">
        <f>TRANSICAO!$AD$26*CUSTOS!$T$3</f>
        <v>0</v>
      </c>
      <c r="AE26" s="19">
        <v>0</v>
      </c>
      <c r="AF26" s="19">
        <v>0</v>
      </c>
      <c r="AG26" s="19"/>
      <c r="AH26" s="19">
        <f>(1 - CUSTOS!$M$24)*33.0193</f>
        <v>33.019300000000001</v>
      </c>
      <c r="AI26" s="19">
        <v>0</v>
      </c>
      <c r="AJ26" s="19">
        <f ca="1">$N$64*(1-CUSTOS!$M$24)</f>
        <v>0</v>
      </c>
      <c r="AK26" s="19">
        <f t="shared" ca="1" si="0"/>
        <v>0</v>
      </c>
      <c r="AL26" s="19"/>
      <c r="AM26" s="19"/>
      <c r="AP26" s="19">
        <f>IF((1 - CUSTOS!$M$24)&lt;&gt;0,1/(1 - CUSTOS!$M$24),1)</f>
        <v>1</v>
      </c>
    </row>
    <row r="27" spans="1:42" ht="11.25" customHeight="1" x14ac:dyDescent="0.25">
      <c r="A27" s="132"/>
      <c r="B27" s="132"/>
      <c r="C27" s="132"/>
      <c r="D27" s="22" t="s">
        <v>29</v>
      </c>
      <c r="E27" s="22" t="s">
        <v>25</v>
      </c>
      <c r="F27" s="22" t="s">
        <v>25</v>
      </c>
      <c r="G27" s="21" t="s">
        <v>73</v>
      </c>
      <c r="H27" s="21" t="s">
        <v>69</v>
      </c>
      <c r="I27" s="21">
        <f>'MERCADO TUSD'!$U$24</f>
        <v>0</v>
      </c>
      <c r="J27" s="17"/>
      <c r="L27" s="19">
        <v>0</v>
      </c>
      <c r="M27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2.0245564187835248</v>
      </c>
      <c r="N27" s="19">
        <f ca="1">(+M27+O27+R27+U27+V27+W27+X27+Y27+Z27+AA27+AC27+AH27+AI27+AJ27+AK27)*CUSTOS!$M$5</f>
        <v>5.6327145641878357E-12</v>
      </c>
      <c r="O27" s="19">
        <f>1 - CUSTOS!$M$25</f>
        <v>1</v>
      </c>
      <c r="P27" s="19">
        <v>0</v>
      </c>
      <c r="Q27" s="19">
        <v>0</v>
      </c>
      <c r="R27" s="19">
        <v>0</v>
      </c>
      <c r="S27" s="19">
        <f>1 - CUSTOS!$M$25</f>
        <v>1</v>
      </c>
      <c r="T27" s="19"/>
      <c r="U27" s="19">
        <f>TRANSICAO!$U$27*CUSTOS!$T$3</f>
        <v>0</v>
      </c>
      <c r="V27" s="19">
        <f>TRANSICAO!$V$27*CUSTOS!$T$3</f>
        <v>0</v>
      </c>
      <c r="W27" s="19">
        <f>TRANSICAO!$W$27*CUSTOS!$T$3</f>
        <v>0</v>
      </c>
      <c r="X27" s="19">
        <f>TRANSICAO!$X$27*CUSTOS!$T$3</f>
        <v>0</v>
      </c>
      <c r="Y27" s="19">
        <f>TRANSICAO!$Y$27*CUSTOS!$T$3</f>
        <v>117.1891</v>
      </c>
      <c r="Z27" s="19">
        <f>TRANSICAO!$Z$27*CUSTOS!$T$3</f>
        <v>0</v>
      </c>
      <c r="AA27" s="19">
        <f>TRANSICAO!$AA$27*CUSTOS!$T$3</f>
        <v>0</v>
      </c>
      <c r="AB27" s="19">
        <f>TRANSICAO!$AB$27*CUSTOS!$T$3</f>
        <v>0</v>
      </c>
      <c r="AC27" s="19">
        <f>TRANSICAO!$AC$27*CUSTOS!$T$3</f>
        <v>410.0385</v>
      </c>
      <c r="AD27" s="19">
        <f>TRANSICAO!$AD$27*CUSTOS!$T$3</f>
        <v>0</v>
      </c>
      <c r="AE27" s="19">
        <v>0</v>
      </c>
      <c r="AF27" s="19">
        <v>0</v>
      </c>
      <c r="AG27" s="19"/>
      <c r="AH27" s="19">
        <f>(1 - CUSTOS!$M$25)*33.0193</f>
        <v>33.019300000000001</v>
      </c>
      <c r="AI27" s="19">
        <v>0</v>
      </c>
      <c r="AJ27" s="19">
        <f ca="1">$N$64*(1-CUSTOS!$M$25)</f>
        <v>0</v>
      </c>
      <c r="AK27" s="19">
        <f t="shared" ca="1" si="0"/>
        <v>0</v>
      </c>
      <c r="AL27" s="19"/>
      <c r="AM27" s="19"/>
      <c r="AP27" s="19">
        <f>IF((1 - CUSTOS!$M$25)&lt;&gt;0,1/(1 - CUSTOS!$M$25),1)</f>
        <v>1</v>
      </c>
    </row>
    <row r="28" spans="1:42" ht="11.25" customHeight="1" x14ac:dyDescent="0.25">
      <c r="A28" s="132"/>
      <c r="B28" s="132"/>
      <c r="C28" s="132"/>
      <c r="D28" s="22" t="s">
        <v>30</v>
      </c>
      <c r="E28" s="22" t="s">
        <v>25</v>
      </c>
      <c r="F28" s="22" t="s">
        <v>25</v>
      </c>
      <c r="G28" s="21" t="s">
        <v>73</v>
      </c>
      <c r="H28" s="21" t="s">
        <v>69</v>
      </c>
      <c r="I28" s="21">
        <f>'MERCADO TUSD'!$U$25</f>
        <v>0</v>
      </c>
      <c r="J28" s="17"/>
      <c r="L28" s="19">
        <v>0</v>
      </c>
      <c r="M28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2.0245564187835248</v>
      </c>
      <c r="N28" s="19">
        <f ca="1">(+M28+O28+R28+U28+V28+W28+X28+Y28+Z28+AA28+AC28+AH28+AI28+AJ28+AK28)*CUSTOS!$M$5</f>
        <v>5.6327145641878357E-12</v>
      </c>
      <c r="O28" s="19">
        <f>1 - CUSTOS!$M$26</f>
        <v>1</v>
      </c>
      <c r="P28" s="19">
        <v>0</v>
      </c>
      <c r="Q28" s="19">
        <v>0</v>
      </c>
      <c r="R28" s="19">
        <v>0</v>
      </c>
      <c r="S28" s="19">
        <f>1 - CUSTOS!$M$26</f>
        <v>1</v>
      </c>
      <c r="T28" s="19"/>
      <c r="U28" s="19">
        <f>TRANSICAO!$U$28*CUSTOS!$T$3</f>
        <v>0</v>
      </c>
      <c r="V28" s="19">
        <f>TRANSICAO!$V$28*CUSTOS!$T$3</f>
        <v>0</v>
      </c>
      <c r="W28" s="19">
        <f>TRANSICAO!$W$28*CUSTOS!$T$3</f>
        <v>0</v>
      </c>
      <c r="X28" s="19">
        <f>TRANSICAO!$X$28*CUSTOS!$T$3</f>
        <v>0</v>
      </c>
      <c r="Y28" s="19">
        <f>TRANSICAO!$Y$28*CUSTOS!$T$3</f>
        <v>117.1891</v>
      </c>
      <c r="Z28" s="19">
        <f>TRANSICAO!$Z$28*CUSTOS!$T$3</f>
        <v>0</v>
      </c>
      <c r="AA28" s="19">
        <f>TRANSICAO!$AA$28*CUSTOS!$T$3</f>
        <v>0</v>
      </c>
      <c r="AB28" s="19">
        <f>TRANSICAO!$AB$28*CUSTOS!$T$3</f>
        <v>0</v>
      </c>
      <c r="AC28" s="19">
        <f>TRANSICAO!$AC$28*CUSTOS!$T$3</f>
        <v>410.0385</v>
      </c>
      <c r="AD28" s="19">
        <f>TRANSICAO!$AD$28*CUSTOS!$T$3</f>
        <v>0</v>
      </c>
      <c r="AE28" s="19">
        <v>0</v>
      </c>
      <c r="AF28" s="19">
        <v>0</v>
      </c>
      <c r="AG28" s="19"/>
      <c r="AH28" s="19">
        <f>(1 - CUSTOS!$M$26)*33.0193</f>
        <v>33.019300000000001</v>
      </c>
      <c r="AI28" s="19">
        <v>0</v>
      </c>
      <c r="AJ28" s="19">
        <f ca="1">$N$64*(1-CUSTOS!$M$26)</f>
        <v>0</v>
      </c>
      <c r="AK28" s="19">
        <f t="shared" ca="1" si="0"/>
        <v>0</v>
      </c>
      <c r="AL28" s="19"/>
      <c r="AM28" s="19"/>
      <c r="AP28" s="19">
        <f>IF((1 - CUSTOS!$M$26)&lt;&gt;0,1/(1 - CUSTOS!$M$26),1)</f>
        <v>1</v>
      </c>
    </row>
    <row r="29" spans="1:42" ht="11.25" customHeight="1" x14ac:dyDescent="0.25">
      <c r="A29" s="132"/>
      <c r="B29" s="132"/>
      <c r="C29" s="132"/>
      <c r="D29" s="22" t="s">
        <v>31</v>
      </c>
      <c r="E29" s="22" t="s">
        <v>25</v>
      </c>
      <c r="F29" s="22" t="s">
        <v>25</v>
      </c>
      <c r="G29" s="21" t="s">
        <v>73</v>
      </c>
      <c r="H29" s="21" t="s">
        <v>69</v>
      </c>
      <c r="I29" s="21">
        <f>'MERCADO TUSD'!$U$26</f>
        <v>0</v>
      </c>
      <c r="J29" s="17"/>
      <c r="L29" s="19">
        <v>0</v>
      </c>
      <c r="M29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2.0245564187835248</v>
      </c>
      <c r="N29" s="19">
        <f ca="1">(+M29+O29+R29+U29+V29+W29+X29+Y29+Z29+AA29+AC29+AH29+AI29+AJ29+AK29)*CUSTOS!$M$5</f>
        <v>5.6327145641878357E-12</v>
      </c>
      <c r="O29" s="19">
        <f>1 - CUSTOS!$M$27</f>
        <v>1</v>
      </c>
      <c r="P29" s="19">
        <v>0</v>
      </c>
      <c r="Q29" s="19">
        <v>0</v>
      </c>
      <c r="R29" s="19">
        <v>0</v>
      </c>
      <c r="S29" s="19">
        <f>1 - CUSTOS!$M$27</f>
        <v>1</v>
      </c>
      <c r="T29" s="19"/>
      <c r="U29" s="19">
        <f>TRANSICAO!$U$29*CUSTOS!$T$3</f>
        <v>0</v>
      </c>
      <c r="V29" s="19">
        <f>TRANSICAO!$V$29*CUSTOS!$T$3</f>
        <v>0</v>
      </c>
      <c r="W29" s="19">
        <f>TRANSICAO!$W$29*CUSTOS!$T$3</f>
        <v>0</v>
      </c>
      <c r="X29" s="19">
        <f>TRANSICAO!$X$29*CUSTOS!$T$3</f>
        <v>0</v>
      </c>
      <c r="Y29" s="19">
        <f>TRANSICAO!$Y$29*CUSTOS!$T$3</f>
        <v>117.1891</v>
      </c>
      <c r="Z29" s="19">
        <f>TRANSICAO!$Z$29*CUSTOS!$T$3</f>
        <v>0</v>
      </c>
      <c r="AA29" s="19">
        <f>TRANSICAO!$AA$29*CUSTOS!$T$3</f>
        <v>0</v>
      </c>
      <c r="AB29" s="19">
        <f>TRANSICAO!$AB$29*CUSTOS!$T$3</f>
        <v>0</v>
      </c>
      <c r="AC29" s="19">
        <f>TRANSICAO!$AC$29*CUSTOS!$T$3</f>
        <v>410.0385</v>
      </c>
      <c r="AD29" s="19">
        <f>TRANSICAO!$AD$29*CUSTOS!$T$3</f>
        <v>0</v>
      </c>
      <c r="AE29" s="19">
        <v>0</v>
      </c>
      <c r="AF29" s="19">
        <v>0</v>
      </c>
      <c r="AG29" s="19"/>
      <c r="AH29" s="19">
        <f>(1 - CUSTOS!$M$27)*33.0193</f>
        <v>33.019300000000001</v>
      </c>
      <c r="AI29" s="19">
        <v>0</v>
      </c>
      <c r="AJ29" s="19">
        <f ca="1">$N$64*(1-CUSTOS!$M$27)</f>
        <v>0</v>
      </c>
      <c r="AK29" s="19">
        <f t="shared" ca="1" si="0"/>
        <v>0</v>
      </c>
      <c r="AL29" s="19"/>
      <c r="AM29" s="19"/>
      <c r="AP29" s="19">
        <f>IF((1 - CUSTOS!$M$27)&lt;&gt;0,1/(1 - CUSTOS!$M$27),1)</f>
        <v>1</v>
      </c>
    </row>
    <row r="30" spans="1:42" ht="11.25" customHeight="1" x14ac:dyDescent="0.25">
      <c r="A30" s="132" t="s">
        <v>41</v>
      </c>
      <c r="B30" s="132" t="s">
        <v>39</v>
      </c>
      <c r="C30" s="132" t="s">
        <v>42</v>
      </c>
      <c r="D30" s="132" t="s">
        <v>25</v>
      </c>
      <c r="E30" s="132" t="s">
        <v>25</v>
      </c>
      <c r="F30" s="132" t="s">
        <v>25</v>
      </c>
      <c r="G30" s="21" t="s">
        <v>70</v>
      </c>
      <c r="H30" s="21" t="s">
        <v>69</v>
      </c>
      <c r="I30" s="21">
        <f>'MERCADO TUSD'!$U$27</f>
        <v>0.34100000000000003</v>
      </c>
      <c r="J30" s="17"/>
      <c r="L30" s="19">
        <f>1*(1 - CUSTOS!$M$28)</f>
        <v>1</v>
      </c>
      <c r="M30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2.0245564187835248</v>
      </c>
      <c r="N30" s="19">
        <f ca="1">(+M30+O30+R30+U30+V30+W30+X30+Y30+Z30+AA30+AC30+AH30+AI30+AJ30+AK30)*CUSTOS!$M$5</f>
        <v>1.4429006564187835E-11</v>
      </c>
      <c r="O30" s="19">
        <f>1 - CUSTOS!$M$28</f>
        <v>1</v>
      </c>
      <c r="P30" s="19">
        <f>1 - CUSTOS!$M$28</f>
        <v>1</v>
      </c>
      <c r="Q30" s="19">
        <f>1*(1 - CUSTOS!$M$28)</f>
        <v>1</v>
      </c>
      <c r="R30" s="19">
        <f>1 - CUSTOS!$M$28</f>
        <v>1</v>
      </c>
      <c r="S30" s="19">
        <f>1 - CUSTOS!$M$28</f>
        <v>1</v>
      </c>
      <c r="T30" s="19"/>
      <c r="U30" s="19">
        <f>TRANSICAO!$U$30*CUSTOS!$T$3</f>
        <v>0</v>
      </c>
      <c r="V30" s="19">
        <f>TRANSICAO!$V$30*CUSTOS!$T$3</f>
        <v>0</v>
      </c>
      <c r="W30" s="19">
        <f>TRANSICAO!$W$30*CUSTOS!$T$3</f>
        <v>0</v>
      </c>
      <c r="X30" s="19">
        <f>TRANSICAO!$X$30*CUSTOS!$T$3</f>
        <v>0</v>
      </c>
      <c r="Y30" s="19">
        <f>TRANSICAO!$Y$30*CUSTOS!$T$3</f>
        <v>312.48660000000001</v>
      </c>
      <c r="Z30" s="19">
        <f>TRANSICAO!$Z$30*CUSTOS!$T$3</f>
        <v>0</v>
      </c>
      <c r="AA30" s="19">
        <f>TRANSICAO!$AA$30*CUSTOS!$T$3</f>
        <v>0</v>
      </c>
      <c r="AB30" s="19">
        <f>TRANSICAO!$AB$30*CUSTOS!$T$3</f>
        <v>0</v>
      </c>
      <c r="AC30" s="19">
        <f>TRANSICAO!$AC$30*CUSTOS!$T$3</f>
        <v>1093.3702000000001</v>
      </c>
      <c r="AD30" s="19">
        <f>TRANSICAO!$AD$30*CUSTOS!$T$3</f>
        <v>0</v>
      </c>
      <c r="AE30" s="19">
        <v>0</v>
      </c>
      <c r="AF30" s="19">
        <v>0</v>
      </c>
      <c r="AG30" s="19"/>
      <c r="AH30" s="19">
        <f>(1 - CUSTOS!$M$28)*33.0193</f>
        <v>33.019300000000001</v>
      </c>
      <c r="AI30" s="19">
        <v>0</v>
      </c>
      <c r="AJ30" s="19">
        <f ca="1">$N$64*(1-CUSTOS!$M$28)</f>
        <v>0</v>
      </c>
      <c r="AK30" s="19">
        <f t="shared" ca="1" si="0"/>
        <v>0</v>
      </c>
      <c r="AL30" s="19"/>
      <c r="AM30" s="19"/>
      <c r="AP30" s="19">
        <f>IF((1 - CUSTOS!$M$28)&lt;&gt;0,1/(1 - CUSTOS!$M$28),1)</f>
        <v>1</v>
      </c>
    </row>
    <row r="31" spans="1:42" ht="11.25" customHeight="1" x14ac:dyDescent="0.25">
      <c r="A31" s="132"/>
      <c r="B31" s="132"/>
      <c r="C31" s="132"/>
      <c r="D31" s="132"/>
      <c r="E31" s="132"/>
      <c r="F31" s="132"/>
      <c r="G31" s="21" t="s">
        <v>83</v>
      </c>
      <c r="H31" s="21" t="s">
        <v>69</v>
      </c>
      <c r="I31" s="21">
        <f>'MERCADO TUSD'!$U$28</f>
        <v>0.55500000000000005</v>
      </c>
      <c r="J31" s="17"/>
      <c r="L31" s="19">
        <f>1*(1 - CUSTOS!$M$28)</f>
        <v>1</v>
      </c>
      <c r="M31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2.0245564187835248</v>
      </c>
      <c r="N31" s="19">
        <f ca="1">(+M31+O31+R31+U31+V31+W31+X31+Y31+Z31+AA31+AC31+AH31+AI31+AJ31+AK31)*CUSTOS!$M$5</f>
        <v>8.8055855641878351E-12</v>
      </c>
      <c r="O31" s="19">
        <f>1 - CUSTOS!$M$28</f>
        <v>1</v>
      </c>
      <c r="P31" s="19">
        <f>1 - CUSTOS!$M$28</f>
        <v>1</v>
      </c>
      <c r="Q31" s="19">
        <f>1*(1 - CUSTOS!$M$28)</f>
        <v>1</v>
      </c>
      <c r="R31" s="19">
        <f>1 - CUSTOS!$M$28</f>
        <v>1</v>
      </c>
      <c r="S31" s="19">
        <f>1 - CUSTOS!$M$28</f>
        <v>1</v>
      </c>
      <c r="T31" s="19"/>
      <c r="U31" s="19">
        <f>TRANSICAO!$U$31*CUSTOS!$T$3</f>
        <v>0</v>
      </c>
      <c r="V31" s="19">
        <f>TRANSICAO!$V$31*CUSTOS!$T$3</f>
        <v>0</v>
      </c>
      <c r="W31" s="19">
        <f>TRANSICAO!$W$31*CUSTOS!$T$3</f>
        <v>0</v>
      </c>
      <c r="X31" s="19">
        <f>TRANSICAO!$X$31*CUSTOS!$T$3</f>
        <v>0</v>
      </c>
      <c r="Y31" s="19">
        <f>TRANSICAO!$Y$31*CUSTOS!$T$3</f>
        <v>187.49279999999999</v>
      </c>
      <c r="Z31" s="19">
        <f>TRANSICAO!$Z$31*CUSTOS!$T$3</f>
        <v>0</v>
      </c>
      <c r="AA31" s="19">
        <f>TRANSICAO!$AA$31*CUSTOS!$T$3</f>
        <v>0</v>
      </c>
      <c r="AB31" s="19">
        <f>TRANSICAO!$AB$31*CUSTOS!$T$3</f>
        <v>0</v>
      </c>
      <c r="AC31" s="19">
        <f>TRANSICAO!$AC$31*CUSTOS!$T$3</f>
        <v>656.02189999999996</v>
      </c>
      <c r="AD31" s="19">
        <f>TRANSICAO!$AD$31*CUSTOS!$T$3</f>
        <v>0</v>
      </c>
      <c r="AE31" s="19">
        <v>0</v>
      </c>
      <c r="AF31" s="19">
        <v>0</v>
      </c>
      <c r="AG31" s="19"/>
      <c r="AH31" s="19">
        <f>(1 - CUSTOS!$M$28)*33.0193</f>
        <v>33.019300000000001</v>
      </c>
      <c r="AI31" s="19">
        <v>0</v>
      </c>
      <c r="AJ31" s="19">
        <f ca="1">$N$64*(1-CUSTOS!$M$28)</f>
        <v>0</v>
      </c>
      <c r="AK31" s="19">
        <f t="shared" ca="1" si="0"/>
        <v>0</v>
      </c>
      <c r="AL31" s="19"/>
      <c r="AM31" s="19"/>
      <c r="AP31" s="19">
        <f>IF((1 - CUSTOS!$M$28)&lt;&gt;0,1/(1 - CUSTOS!$M$28),1)</f>
        <v>1</v>
      </c>
    </row>
    <row r="32" spans="1:42" ht="11.25" customHeight="1" x14ac:dyDescent="0.25">
      <c r="A32" s="132"/>
      <c r="B32" s="132"/>
      <c r="C32" s="132"/>
      <c r="D32" s="132"/>
      <c r="E32" s="132"/>
      <c r="F32" s="132"/>
      <c r="G32" s="21" t="s">
        <v>71</v>
      </c>
      <c r="H32" s="21" t="s">
        <v>69</v>
      </c>
      <c r="I32" s="21">
        <f>'MERCADO TUSD'!$U$29</f>
        <v>16.565999999999999</v>
      </c>
      <c r="J32" s="17"/>
      <c r="L32" s="19">
        <f>1*(1 - CUSTOS!$M$28)</f>
        <v>1</v>
      </c>
      <c r="M32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2.0245564187835248</v>
      </c>
      <c r="N32" s="19">
        <f ca="1">(+M32+O32+R32+U32+V32+W32+X32+Y32+Z32+AA32+AC32+AH32+AI32+AJ32+AK32)*CUSTOS!$M$5</f>
        <v>3.1821715641878354E-12</v>
      </c>
      <c r="O32" s="19">
        <f>1 - CUSTOS!$M$28</f>
        <v>1</v>
      </c>
      <c r="P32" s="19">
        <f>1 - CUSTOS!$M$28</f>
        <v>1</v>
      </c>
      <c r="Q32" s="19">
        <f>1*(1 - CUSTOS!$M$28)</f>
        <v>1</v>
      </c>
      <c r="R32" s="19">
        <f>1 - CUSTOS!$M$28</f>
        <v>1</v>
      </c>
      <c r="S32" s="19">
        <f>1 - CUSTOS!$M$28</f>
        <v>1</v>
      </c>
      <c r="T32" s="19"/>
      <c r="U32" s="19">
        <f>TRANSICAO!$U$32*CUSTOS!$T$3</f>
        <v>0</v>
      </c>
      <c r="V32" s="19">
        <f>TRANSICAO!$V$32*CUSTOS!$T$3</f>
        <v>0</v>
      </c>
      <c r="W32" s="19">
        <f>TRANSICAO!$W$32*CUSTOS!$T$3</f>
        <v>0</v>
      </c>
      <c r="X32" s="19">
        <f>TRANSICAO!$X$32*CUSTOS!$T$3</f>
        <v>0</v>
      </c>
      <c r="Y32" s="19">
        <f>TRANSICAO!$Y$32*CUSTOS!$T$3</f>
        <v>62.499099999999999</v>
      </c>
      <c r="Z32" s="19">
        <f>TRANSICAO!$Z$32*CUSTOS!$T$3</f>
        <v>0</v>
      </c>
      <c r="AA32" s="19">
        <f>TRANSICAO!$AA$32*CUSTOS!$T$3</f>
        <v>0</v>
      </c>
      <c r="AB32" s="19">
        <f>TRANSICAO!$AB$32*CUSTOS!$T$3</f>
        <v>0</v>
      </c>
      <c r="AC32" s="19">
        <f>TRANSICAO!$AC$32*CUSTOS!$T$3</f>
        <v>218.67420000000001</v>
      </c>
      <c r="AD32" s="19">
        <f>TRANSICAO!$AD$32*CUSTOS!$T$3</f>
        <v>0</v>
      </c>
      <c r="AE32" s="19">
        <v>0</v>
      </c>
      <c r="AF32" s="19">
        <v>0</v>
      </c>
      <c r="AG32" s="19"/>
      <c r="AH32" s="19">
        <f>(1 - CUSTOS!$M$28)*33.0193</f>
        <v>33.019300000000001</v>
      </c>
      <c r="AI32" s="19">
        <v>0</v>
      </c>
      <c r="AJ32" s="19">
        <f ca="1">$N$64*(1-CUSTOS!$M$28)</f>
        <v>0</v>
      </c>
      <c r="AK32" s="19">
        <f t="shared" ca="1" si="0"/>
        <v>0</v>
      </c>
      <c r="AL32" s="19"/>
      <c r="AM32" s="19"/>
      <c r="AP32" s="19">
        <f>IF((1 - CUSTOS!$M$28)&lt;&gt;0,1/(1 - CUSTOS!$M$28),1)</f>
        <v>1</v>
      </c>
    </row>
    <row r="33" spans="1:42" ht="11.25" customHeight="1" x14ac:dyDescent="0.25">
      <c r="A33" s="132"/>
      <c r="B33" s="22" t="s">
        <v>23</v>
      </c>
      <c r="C33" s="22" t="s">
        <v>42</v>
      </c>
      <c r="D33" s="22" t="s">
        <v>25</v>
      </c>
      <c r="E33" s="22" t="s">
        <v>25</v>
      </c>
      <c r="F33" s="22" t="s">
        <v>25</v>
      </c>
      <c r="G33" s="21" t="s">
        <v>73</v>
      </c>
      <c r="H33" s="21" t="s">
        <v>69</v>
      </c>
      <c r="I33" s="21">
        <f>'MERCADO TUSD'!$U$30</f>
        <v>2549.6099999999997</v>
      </c>
      <c r="J33" s="17"/>
      <c r="L33" s="19">
        <f>1*(1 - CUSTOS!$M$28)</f>
        <v>1</v>
      </c>
      <c r="M33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2.0245564187835248</v>
      </c>
      <c r="N33" s="19">
        <f ca="1">(+M33+O33+R33+U33+V33+W33+X33+Y33+Z33+AA33+AC33+AH33+AI33+AJ33+AK33)*CUSTOS!$M$5</f>
        <v>5.6427145641878359E-12</v>
      </c>
      <c r="O33" s="19">
        <f>1 - CUSTOS!$M$28</f>
        <v>1</v>
      </c>
      <c r="P33" s="19">
        <f>1 - CUSTOS!$M$28</f>
        <v>1</v>
      </c>
      <c r="Q33" s="19">
        <f>1*(1 - CUSTOS!$M$28)</f>
        <v>1</v>
      </c>
      <c r="R33" s="19">
        <f>1 - CUSTOS!$M$28</f>
        <v>1</v>
      </c>
      <c r="S33" s="19">
        <f>1 - CUSTOS!$M$28</f>
        <v>1</v>
      </c>
      <c r="T33" s="19"/>
      <c r="U33" s="19">
        <f>TRANSICAO!$U$33*CUSTOS!$T$3</f>
        <v>0</v>
      </c>
      <c r="V33" s="19">
        <f>TRANSICAO!$V$33*CUSTOS!$T$3</f>
        <v>0</v>
      </c>
      <c r="W33" s="19">
        <f>TRANSICAO!$W$33*CUSTOS!$T$3</f>
        <v>0</v>
      </c>
      <c r="X33" s="19">
        <f>TRANSICAO!$X$33*CUSTOS!$T$3</f>
        <v>0</v>
      </c>
      <c r="Y33" s="19">
        <f>TRANSICAO!$Y$33*CUSTOS!$T$3</f>
        <v>117.1891</v>
      </c>
      <c r="Z33" s="19">
        <f>TRANSICAO!$Z$33*CUSTOS!$T$3</f>
        <v>0</v>
      </c>
      <c r="AA33" s="19">
        <f>TRANSICAO!$AA$33*CUSTOS!$T$3</f>
        <v>0</v>
      </c>
      <c r="AB33" s="19">
        <f>TRANSICAO!$AB$33*CUSTOS!$T$3</f>
        <v>0</v>
      </c>
      <c r="AC33" s="19">
        <f>TRANSICAO!$AC$33*CUSTOS!$T$3</f>
        <v>410.0385</v>
      </c>
      <c r="AD33" s="19">
        <f>TRANSICAO!$AD$33*CUSTOS!$T$3</f>
        <v>0</v>
      </c>
      <c r="AE33" s="19">
        <v>0</v>
      </c>
      <c r="AF33" s="19">
        <v>0</v>
      </c>
      <c r="AG33" s="19"/>
      <c r="AH33" s="19">
        <f>(1 - CUSTOS!$M$28)*33.0193</f>
        <v>33.019300000000001</v>
      </c>
      <c r="AI33" s="19">
        <v>0</v>
      </c>
      <c r="AJ33" s="19">
        <f ca="1">$N$64*(1-CUSTOS!$M$28)</f>
        <v>0</v>
      </c>
      <c r="AK33" s="19">
        <f t="shared" ca="1" si="0"/>
        <v>0</v>
      </c>
      <c r="AL33" s="19"/>
      <c r="AM33" s="19"/>
      <c r="AP33" s="19">
        <f>IF((1 - CUSTOS!$M$28)&lt;&gt;0,1/(1 - CUSTOS!$M$28),1)</f>
        <v>1</v>
      </c>
    </row>
    <row r="34" spans="1:42" ht="11.25" customHeight="1" x14ac:dyDescent="0.25">
      <c r="A34" s="132"/>
      <c r="B34" s="132" t="s">
        <v>39</v>
      </c>
      <c r="C34" s="132" t="s">
        <v>42</v>
      </c>
      <c r="D34" s="132" t="s">
        <v>86</v>
      </c>
      <c r="E34" s="132" t="s">
        <v>25</v>
      </c>
      <c r="F34" s="132" t="s">
        <v>25</v>
      </c>
      <c r="G34" s="21" t="s">
        <v>70</v>
      </c>
      <c r="H34" s="21" t="s">
        <v>69</v>
      </c>
      <c r="I34" s="21">
        <f>'MERCADO TUSD'!$U$31</f>
        <v>0</v>
      </c>
      <c r="J34" s="17"/>
      <c r="L34" s="19">
        <f>1*(1 - CUSTOS!$M$29)</f>
        <v>1</v>
      </c>
      <c r="M34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2.0245564187835248</v>
      </c>
      <c r="N34" s="19">
        <f ca="1">(+M34+O34+R34+U34+V34+W34+X34+Y34+Z34+AA34+AC34+AH34+AI34+AJ34+AK34)*CUSTOS!$M$5</f>
        <v>1.4429006564187835E-11</v>
      </c>
      <c r="O34" s="19">
        <f>1 - CUSTOS!$M$29</f>
        <v>1</v>
      </c>
      <c r="P34" s="19">
        <f>1 - CUSTOS!$M$29</f>
        <v>1</v>
      </c>
      <c r="Q34" s="19">
        <f>1*(1 - CUSTOS!$M$29)</f>
        <v>1</v>
      </c>
      <c r="R34" s="19">
        <f>1 - CUSTOS!$M$29</f>
        <v>1</v>
      </c>
      <c r="S34" s="19">
        <f>1 - CUSTOS!$M$29</f>
        <v>1</v>
      </c>
      <c r="T34" s="19"/>
      <c r="U34" s="19">
        <f>TRANSICAO!$U$34*CUSTOS!$T$3</f>
        <v>0</v>
      </c>
      <c r="V34" s="19">
        <f>TRANSICAO!$V$34*CUSTOS!$T$3</f>
        <v>0</v>
      </c>
      <c r="W34" s="19">
        <f>TRANSICAO!$W$34*CUSTOS!$T$3</f>
        <v>0</v>
      </c>
      <c r="X34" s="19">
        <f>TRANSICAO!$X$34*CUSTOS!$T$3</f>
        <v>0</v>
      </c>
      <c r="Y34" s="19">
        <f>TRANSICAO!$Y$34*CUSTOS!$T$3</f>
        <v>312.48660000000001</v>
      </c>
      <c r="Z34" s="19">
        <f>TRANSICAO!$Z$34*CUSTOS!$T$3</f>
        <v>0</v>
      </c>
      <c r="AA34" s="19">
        <f>TRANSICAO!$AA$34*CUSTOS!$T$3</f>
        <v>0</v>
      </c>
      <c r="AB34" s="19">
        <f>TRANSICAO!$AB$34*CUSTOS!$T$3</f>
        <v>0</v>
      </c>
      <c r="AC34" s="19">
        <f>TRANSICAO!$AC$34*CUSTOS!$T$3</f>
        <v>1093.3702000000001</v>
      </c>
      <c r="AD34" s="19">
        <f>TRANSICAO!$AD$34*CUSTOS!$T$3</f>
        <v>0</v>
      </c>
      <c r="AE34" s="19">
        <v>0</v>
      </c>
      <c r="AF34" s="19">
        <v>0</v>
      </c>
      <c r="AG34" s="19"/>
      <c r="AH34" s="19">
        <f>(1 - CUSTOS!$M$29)*33.0193</f>
        <v>33.019300000000001</v>
      </c>
      <c r="AI34" s="19">
        <v>0</v>
      </c>
      <c r="AJ34" s="19">
        <f ca="1">$N$64*(1-CUSTOS!$M$29)</f>
        <v>0</v>
      </c>
      <c r="AK34" s="19">
        <f t="shared" ca="1" si="0"/>
        <v>0</v>
      </c>
      <c r="AL34" s="19"/>
      <c r="AM34" s="19"/>
      <c r="AP34" s="19">
        <f>IF((1 - CUSTOS!$M$29)&lt;&gt;0,1/(1 - CUSTOS!$M$29),1)</f>
        <v>1</v>
      </c>
    </row>
    <row r="35" spans="1:42" ht="11.25" customHeight="1" x14ac:dyDescent="0.25">
      <c r="A35" s="132"/>
      <c r="B35" s="132"/>
      <c r="C35" s="132"/>
      <c r="D35" s="132"/>
      <c r="E35" s="132"/>
      <c r="F35" s="132"/>
      <c r="G35" s="21" t="s">
        <v>83</v>
      </c>
      <c r="H35" s="21" t="s">
        <v>69</v>
      </c>
      <c r="I35" s="21">
        <f>'MERCADO TUSD'!$U$32</f>
        <v>0</v>
      </c>
      <c r="J35" s="17"/>
      <c r="L35" s="19">
        <f>1*(1 - CUSTOS!$M$29)</f>
        <v>1</v>
      </c>
      <c r="M35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2.0245564187835248</v>
      </c>
      <c r="N35" s="19">
        <f ca="1">(+M35+O35+R35+U35+V35+W35+X35+Y35+Z35+AA35+AC35+AH35+AI35+AJ35+AK35)*CUSTOS!$M$5</f>
        <v>8.8055855641878351E-12</v>
      </c>
      <c r="O35" s="19">
        <f>1 - CUSTOS!$M$29</f>
        <v>1</v>
      </c>
      <c r="P35" s="19">
        <f>1 - CUSTOS!$M$29</f>
        <v>1</v>
      </c>
      <c r="Q35" s="19">
        <f>1*(1 - CUSTOS!$M$29)</f>
        <v>1</v>
      </c>
      <c r="R35" s="19">
        <f>1 - CUSTOS!$M$29</f>
        <v>1</v>
      </c>
      <c r="S35" s="19">
        <f>1 - CUSTOS!$M$29</f>
        <v>1</v>
      </c>
      <c r="T35" s="19"/>
      <c r="U35" s="19">
        <f>TRANSICAO!$U$35*CUSTOS!$T$3</f>
        <v>0</v>
      </c>
      <c r="V35" s="19">
        <f>TRANSICAO!$V$35*CUSTOS!$T$3</f>
        <v>0</v>
      </c>
      <c r="W35" s="19">
        <f>TRANSICAO!$W$35*CUSTOS!$T$3</f>
        <v>0</v>
      </c>
      <c r="X35" s="19">
        <f>TRANSICAO!$X$35*CUSTOS!$T$3</f>
        <v>0</v>
      </c>
      <c r="Y35" s="19">
        <f>TRANSICAO!$Y$35*CUSTOS!$T$3</f>
        <v>187.49279999999999</v>
      </c>
      <c r="Z35" s="19">
        <f>TRANSICAO!$Z$35*CUSTOS!$T$3</f>
        <v>0</v>
      </c>
      <c r="AA35" s="19">
        <f>TRANSICAO!$AA$35*CUSTOS!$T$3</f>
        <v>0</v>
      </c>
      <c r="AB35" s="19">
        <f>TRANSICAO!$AB$35*CUSTOS!$T$3</f>
        <v>0</v>
      </c>
      <c r="AC35" s="19">
        <f>TRANSICAO!$AC$35*CUSTOS!$T$3</f>
        <v>656.02189999999996</v>
      </c>
      <c r="AD35" s="19">
        <f>TRANSICAO!$AD$35*CUSTOS!$T$3</f>
        <v>0</v>
      </c>
      <c r="AE35" s="19">
        <v>0</v>
      </c>
      <c r="AF35" s="19">
        <v>0</v>
      </c>
      <c r="AG35" s="19"/>
      <c r="AH35" s="19">
        <f>(1 - CUSTOS!$M$29)*33.0193</f>
        <v>33.019300000000001</v>
      </c>
      <c r="AI35" s="19">
        <v>0</v>
      </c>
      <c r="AJ35" s="19">
        <f ca="1">$N$64*(1-CUSTOS!$M$29)</f>
        <v>0</v>
      </c>
      <c r="AK35" s="19">
        <f t="shared" ca="1" si="0"/>
        <v>0</v>
      </c>
      <c r="AL35" s="19"/>
      <c r="AM35" s="19"/>
      <c r="AP35" s="19">
        <f>IF((1 - CUSTOS!$M$29)&lt;&gt;0,1/(1 - CUSTOS!$M$29),1)</f>
        <v>1</v>
      </c>
    </row>
    <row r="36" spans="1:42" ht="11.25" customHeight="1" x14ac:dyDescent="0.25">
      <c r="A36" s="132"/>
      <c r="B36" s="132"/>
      <c r="C36" s="132"/>
      <c r="D36" s="132"/>
      <c r="E36" s="132"/>
      <c r="F36" s="132"/>
      <c r="G36" s="21" t="s">
        <v>71</v>
      </c>
      <c r="H36" s="21" t="s">
        <v>69</v>
      </c>
      <c r="I36" s="21">
        <f>'MERCADO TUSD'!$U$33</f>
        <v>0</v>
      </c>
      <c r="J36" s="17"/>
      <c r="L36" s="19">
        <f>1*(1 - CUSTOS!$M$29)</f>
        <v>1</v>
      </c>
      <c r="M36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2.0245564187835248</v>
      </c>
      <c r="N36" s="19">
        <f ca="1">(+M36+O36+R36+U36+V36+W36+X36+Y36+Z36+AA36+AC36+AH36+AI36+AJ36+AK36)*CUSTOS!$M$5</f>
        <v>3.1821715641878354E-12</v>
      </c>
      <c r="O36" s="19">
        <f>1 - CUSTOS!$M$29</f>
        <v>1</v>
      </c>
      <c r="P36" s="19">
        <f>1 - CUSTOS!$M$29</f>
        <v>1</v>
      </c>
      <c r="Q36" s="19">
        <f>1*(1 - CUSTOS!$M$29)</f>
        <v>1</v>
      </c>
      <c r="R36" s="19">
        <f>1 - CUSTOS!$M$29</f>
        <v>1</v>
      </c>
      <c r="S36" s="19">
        <f>1 - CUSTOS!$M$29</f>
        <v>1</v>
      </c>
      <c r="T36" s="19"/>
      <c r="U36" s="19">
        <f>TRANSICAO!$U$36*CUSTOS!$T$3</f>
        <v>0</v>
      </c>
      <c r="V36" s="19">
        <f>TRANSICAO!$V$36*CUSTOS!$T$3</f>
        <v>0</v>
      </c>
      <c r="W36" s="19">
        <f>TRANSICAO!$W$36*CUSTOS!$T$3</f>
        <v>0</v>
      </c>
      <c r="X36" s="19">
        <f>TRANSICAO!$X$36*CUSTOS!$T$3</f>
        <v>0</v>
      </c>
      <c r="Y36" s="19">
        <f>TRANSICAO!$Y$36*CUSTOS!$T$3</f>
        <v>62.499099999999999</v>
      </c>
      <c r="Z36" s="19">
        <f>TRANSICAO!$Z$36*CUSTOS!$T$3</f>
        <v>0</v>
      </c>
      <c r="AA36" s="19">
        <f>TRANSICAO!$AA$36*CUSTOS!$T$3</f>
        <v>0</v>
      </c>
      <c r="AB36" s="19">
        <f>TRANSICAO!$AB$36*CUSTOS!$T$3</f>
        <v>0</v>
      </c>
      <c r="AC36" s="19">
        <f>TRANSICAO!$AC$36*CUSTOS!$T$3</f>
        <v>218.67420000000001</v>
      </c>
      <c r="AD36" s="19">
        <f>TRANSICAO!$AD$36*CUSTOS!$T$3</f>
        <v>0</v>
      </c>
      <c r="AE36" s="19">
        <v>0</v>
      </c>
      <c r="AF36" s="19">
        <v>0</v>
      </c>
      <c r="AG36" s="19"/>
      <c r="AH36" s="19">
        <f>(1 - CUSTOS!$M$29)*33.0193</f>
        <v>33.019300000000001</v>
      </c>
      <c r="AI36" s="19">
        <v>0</v>
      </c>
      <c r="AJ36" s="19">
        <f ca="1">$N$64*(1-CUSTOS!$M$29)</f>
        <v>0</v>
      </c>
      <c r="AK36" s="19">
        <f t="shared" ca="1" si="0"/>
        <v>0</v>
      </c>
      <c r="AL36" s="19"/>
      <c r="AM36" s="19"/>
      <c r="AP36" s="19">
        <f>IF((1 - CUSTOS!$M$29)&lt;&gt;0,1/(1 - CUSTOS!$M$29),1)</f>
        <v>1</v>
      </c>
    </row>
    <row r="37" spans="1:42" ht="11.25" customHeight="1" x14ac:dyDescent="0.25">
      <c r="A37" s="132"/>
      <c r="B37" s="22" t="s">
        <v>23</v>
      </c>
      <c r="C37" s="22" t="s">
        <v>42</v>
      </c>
      <c r="D37" s="22" t="s">
        <v>86</v>
      </c>
      <c r="E37" s="22" t="s">
        <v>25</v>
      </c>
      <c r="F37" s="22" t="s">
        <v>25</v>
      </c>
      <c r="G37" s="21" t="s">
        <v>73</v>
      </c>
      <c r="H37" s="21" t="s">
        <v>69</v>
      </c>
      <c r="I37" s="21">
        <f>'MERCADO TUSD'!$U$34</f>
        <v>0</v>
      </c>
      <c r="J37" s="17"/>
      <c r="L37" s="19">
        <f>1*(1 - CUSTOS!$M$29)</f>
        <v>1</v>
      </c>
      <c r="M37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2.0245564187835248</v>
      </c>
      <c r="N37" s="19">
        <f ca="1">(+M37+O37+R37+U37+V37+W37+X37+Y37+Z37+AA37+AC37+AH37+AI37+AJ37+AK37)*CUSTOS!$M$5</f>
        <v>5.6427145641878359E-12</v>
      </c>
      <c r="O37" s="19">
        <f>1 - CUSTOS!$M$29</f>
        <v>1</v>
      </c>
      <c r="P37" s="19">
        <f>1 - CUSTOS!$M$29</f>
        <v>1</v>
      </c>
      <c r="Q37" s="19">
        <f>1*(1 - CUSTOS!$M$29)</f>
        <v>1</v>
      </c>
      <c r="R37" s="19">
        <f>1 - CUSTOS!$M$29</f>
        <v>1</v>
      </c>
      <c r="S37" s="19">
        <f>1 - CUSTOS!$M$29</f>
        <v>1</v>
      </c>
      <c r="T37" s="19"/>
      <c r="U37" s="19">
        <f>TRANSICAO!$U$37*CUSTOS!$T$3</f>
        <v>0</v>
      </c>
      <c r="V37" s="19">
        <f>TRANSICAO!$V$37*CUSTOS!$T$3</f>
        <v>0</v>
      </c>
      <c r="W37" s="19">
        <f>TRANSICAO!$W$37*CUSTOS!$T$3</f>
        <v>0</v>
      </c>
      <c r="X37" s="19">
        <f>TRANSICAO!$X$37*CUSTOS!$T$3</f>
        <v>0</v>
      </c>
      <c r="Y37" s="19">
        <f>TRANSICAO!$Y$37*CUSTOS!$T$3</f>
        <v>117.1891</v>
      </c>
      <c r="Z37" s="19">
        <f>TRANSICAO!$Z$37*CUSTOS!$T$3</f>
        <v>0</v>
      </c>
      <c r="AA37" s="19">
        <f>TRANSICAO!$AA$37*CUSTOS!$T$3</f>
        <v>0</v>
      </c>
      <c r="AB37" s="19">
        <f>TRANSICAO!$AB$37*CUSTOS!$T$3</f>
        <v>0</v>
      </c>
      <c r="AC37" s="19">
        <f>TRANSICAO!$AC$37*CUSTOS!$T$3</f>
        <v>410.0385</v>
      </c>
      <c r="AD37" s="19">
        <f>TRANSICAO!$AD$37*CUSTOS!$T$3</f>
        <v>0</v>
      </c>
      <c r="AE37" s="19">
        <v>0</v>
      </c>
      <c r="AF37" s="19">
        <v>0</v>
      </c>
      <c r="AG37" s="19"/>
      <c r="AH37" s="19">
        <f>(1 - CUSTOS!$M$29)*33.0193</f>
        <v>33.019300000000001</v>
      </c>
      <c r="AI37" s="19">
        <v>0</v>
      </c>
      <c r="AJ37" s="19">
        <f ca="1">$N$64*(1-CUSTOS!$M$29)</f>
        <v>0</v>
      </c>
      <c r="AK37" s="19">
        <f t="shared" ca="1" si="0"/>
        <v>0</v>
      </c>
      <c r="AL37" s="19"/>
      <c r="AM37" s="19"/>
      <c r="AP37" s="19">
        <f>IF((1 - CUSTOS!$M$29)&lt;&gt;0,1/(1 - CUSTOS!$M$29),1)</f>
        <v>1</v>
      </c>
    </row>
    <row r="38" spans="1:42" ht="11.25" customHeight="1" x14ac:dyDescent="0.25">
      <c r="A38" s="132"/>
      <c r="B38" s="132" t="s">
        <v>39</v>
      </c>
      <c r="C38" s="132" t="s">
        <v>42</v>
      </c>
      <c r="D38" s="132" t="s">
        <v>87</v>
      </c>
      <c r="E38" s="132" t="s">
        <v>25</v>
      </c>
      <c r="F38" s="132" t="s">
        <v>25</v>
      </c>
      <c r="G38" s="21" t="s">
        <v>70</v>
      </c>
      <c r="H38" s="21" t="s">
        <v>69</v>
      </c>
      <c r="I38" s="21">
        <f>'MERCADO TUSD'!$U$35</f>
        <v>0</v>
      </c>
      <c r="J38" s="17"/>
      <c r="L38" s="19">
        <f>1*(1 - CUSTOS!$M$30)</f>
        <v>1</v>
      </c>
      <c r="M38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2.0245564187835248</v>
      </c>
      <c r="N38" s="19">
        <f ca="1">(+M38+O38+R38+U38+V38+W38+X38+Y38+Z38+AA38+AC38+AH38+AI38+AJ38+AK38)*CUSTOS!$M$5</f>
        <v>1.4429006564187835E-11</v>
      </c>
      <c r="O38" s="19">
        <f>1 - CUSTOS!$M$30</f>
        <v>1</v>
      </c>
      <c r="P38" s="19">
        <f>1 - CUSTOS!$M$30</f>
        <v>1</v>
      </c>
      <c r="Q38" s="19">
        <f>1*(1 - CUSTOS!$M$30)</f>
        <v>1</v>
      </c>
      <c r="R38" s="19">
        <f>1 - CUSTOS!$M$30</f>
        <v>1</v>
      </c>
      <c r="S38" s="19">
        <f>1 - CUSTOS!$M$30</f>
        <v>1</v>
      </c>
      <c r="T38" s="19"/>
      <c r="U38" s="19">
        <f>TRANSICAO!$U$38*CUSTOS!$T$3</f>
        <v>0</v>
      </c>
      <c r="V38" s="19">
        <f>TRANSICAO!$V$38*CUSTOS!$T$3</f>
        <v>0</v>
      </c>
      <c r="W38" s="19">
        <f>TRANSICAO!$W$38*CUSTOS!$T$3</f>
        <v>0</v>
      </c>
      <c r="X38" s="19">
        <f>TRANSICAO!$X$38*CUSTOS!$T$3</f>
        <v>0</v>
      </c>
      <c r="Y38" s="19">
        <f>TRANSICAO!$Y$38*CUSTOS!$T$3</f>
        <v>312.48660000000001</v>
      </c>
      <c r="Z38" s="19">
        <f>TRANSICAO!$Z$38*CUSTOS!$T$3</f>
        <v>0</v>
      </c>
      <c r="AA38" s="19">
        <f>TRANSICAO!$AA$38*CUSTOS!$T$3</f>
        <v>0</v>
      </c>
      <c r="AB38" s="19">
        <f>TRANSICAO!$AB$38*CUSTOS!$T$3</f>
        <v>0</v>
      </c>
      <c r="AC38" s="19">
        <f>TRANSICAO!$AC$38*CUSTOS!$T$3</f>
        <v>1093.3702000000001</v>
      </c>
      <c r="AD38" s="19">
        <f>TRANSICAO!$AD$38*CUSTOS!$T$3</f>
        <v>0</v>
      </c>
      <c r="AE38" s="19">
        <v>0</v>
      </c>
      <c r="AF38" s="19">
        <v>0</v>
      </c>
      <c r="AG38" s="19"/>
      <c r="AH38" s="19">
        <f>(1 - CUSTOS!$M$30)*33.0193</f>
        <v>33.019300000000001</v>
      </c>
      <c r="AI38" s="19">
        <v>0</v>
      </c>
      <c r="AJ38" s="19">
        <f ca="1">$N$64*(1-CUSTOS!$M$30)</f>
        <v>0</v>
      </c>
      <c r="AK38" s="19">
        <f t="shared" ca="1" si="0"/>
        <v>0</v>
      </c>
      <c r="AL38" s="19"/>
      <c r="AM38" s="19"/>
      <c r="AP38" s="19">
        <f>IF((1 - CUSTOS!$M$30)&lt;&gt;0,1/(1 - CUSTOS!$M$30),1)</f>
        <v>1</v>
      </c>
    </row>
    <row r="39" spans="1:42" ht="11.25" customHeight="1" x14ac:dyDescent="0.25">
      <c r="A39" s="132"/>
      <c r="B39" s="132"/>
      <c r="C39" s="132"/>
      <c r="D39" s="132"/>
      <c r="E39" s="132"/>
      <c r="F39" s="132"/>
      <c r="G39" s="21" t="s">
        <v>83</v>
      </c>
      <c r="H39" s="21" t="s">
        <v>69</v>
      </c>
      <c r="I39" s="21">
        <f>'MERCADO TUSD'!$U$36</f>
        <v>0</v>
      </c>
      <c r="J39" s="17"/>
      <c r="L39" s="19">
        <f>1*(1 - CUSTOS!$M$30)</f>
        <v>1</v>
      </c>
      <c r="M39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2.0245564187835248</v>
      </c>
      <c r="N39" s="19">
        <f ca="1">(+M39+O39+R39+U39+V39+W39+X39+Y39+Z39+AA39+AC39+AH39+AI39+AJ39+AK39)*CUSTOS!$M$5</f>
        <v>8.8055855641878351E-12</v>
      </c>
      <c r="O39" s="19">
        <f>1 - CUSTOS!$M$30</f>
        <v>1</v>
      </c>
      <c r="P39" s="19">
        <f>1 - CUSTOS!$M$30</f>
        <v>1</v>
      </c>
      <c r="Q39" s="19">
        <f>1*(1 - CUSTOS!$M$30)</f>
        <v>1</v>
      </c>
      <c r="R39" s="19">
        <f>1 - CUSTOS!$M$30</f>
        <v>1</v>
      </c>
      <c r="S39" s="19">
        <f>1 - CUSTOS!$M$30</f>
        <v>1</v>
      </c>
      <c r="T39" s="19"/>
      <c r="U39" s="19">
        <f>TRANSICAO!$U$39*CUSTOS!$T$3</f>
        <v>0</v>
      </c>
      <c r="V39" s="19">
        <f>TRANSICAO!$V$39*CUSTOS!$T$3</f>
        <v>0</v>
      </c>
      <c r="W39" s="19">
        <f>TRANSICAO!$W$39*CUSTOS!$T$3</f>
        <v>0</v>
      </c>
      <c r="X39" s="19">
        <f>TRANSICAO!$X$39*CUSTOS!$T$3</f>
        <v>0</v>
      </c>
      <c r="Y39" s="19">
        <f>TRANSICAO!$Y$39*CUSTOS!$T$3</f>
        <v>187.49279999999999</v>
      </c>
      <c r="Z39" s="19">
        <f>TRANSICAO!$Z$39*CUSTOS!$T$3</f>
        <v>0</v>
      </c>
      <c r="AA39" s="19">
        <f>TRANSICAO!$AA$39*CUSTOS!$T$3</f>
        <v>0</v>
      </c>
      <c r="AB39" s="19">
        <f>TRANSICAO!$AB$39*CUSTOS!$T$3</f>
        <v>0</v>
      </c>
      <c r="AC39" s="19">
        <f>TRANSICAO!$AC$39*CUSTOS!$T$3</f>
        <v>656.02189999999996</v>
      </c>
      <c r="AD39" s="19">
        <f>TRANSICAO!$AD$39*CUSTOS!$T$3</f>
        <v>0</v>
      </c>
      <c r="AE39" s="19">
        <v>0</v>
      </c>
      <c r="AF39" s="19">
        <v>0</v>
      </c>
      <c r="AG39" s="19"/>
      <c r="AH39" s="19">
        <f>(1 - CUSTOS!$M$30)*33.0193</f>
        <v>33.019300000000001</v>
      </c>
      <c r="AI39" s="19">
        <v>0</v>
      </c>
      <c r="AJ39" s="19">
        <f ca="1">$N$64*(1-CUSTOS!$M$30)</f>
        <v>0</v>
      </c>
      <c r="AK39" s="19">
        <f t="shared" ca="1" si="0"/>
        <v>0</v>
      </c>
      <c r="AL39" s="19"/>
      <c r="AM39" s="19"/>
      <c r="AP39" s="19">
        <f>IF((1 - CUSTOS!$M$30)&lt;&gt;0,1/(1 - CUSTOS!$M$30),1)</f>
        <v>1</v>
      </c>
    </row>
    <row r="40" spans="1:42" ht="11.25" customHeight="1" x14ac:dyDescent="0.25">
      <c r="A40" s="132"/>
      <c r="B40" s="132"/>
      <c r="C40" s="132"/>
      <c r="D40" s="132"/>
      <c r="E40" s="132"/>
      <c r="F40" s="132"/>
      <c r="G40" s="21" t="s">
        <v>71</v>
      </c>
      <c r="H40" s="21" t="s">
        <v>69</v>
      </c>
      <c r="I40" s="21">
        <f>'MERCADO TUSD'!$U$37</f>
        <v>0</v>
      </c>
      <c r="J40" s="17"/>
      <c r="L40" s="19">
        <f>1*(1 - CUSTOS!$M$30)</f>
        <v>1</v>
      </c>
      <c r="M40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2.0245564187835248</v>
      </c>
      <c r="N40" s="19">
        <f ca="1">(+M40+O40+R40+U40+V40+W40+X40+Y40+Z40+AA40+AC40+AH40+AI40+AJ40+AK40)*CUSTOS!$M$5</f>
        <v>3.1821715641878354E-12</v>
      </c>
      <c r="O40" s="19">
        <f>1 - CUSTOS!$M$30</f>
        <v>1</v>
      </c>
      <c r="P40" s="19">
        <f>1 - CUSTOS!$M$30</f>
        <v>1</v>
      </c>
      <c r="Q40" s="19">
        <f>1*(1 - CUSTOS!$M$30)</f>
        <v>1</v>
      </c>
      <c r="R40" s="19">
        <f>1 - CUSTOS!$M$30</f>
        <v>1</v>
      </c>
      <c r="S40" s="19">
        <f>1 - CUSTOS!$M$30</f>
        <v>1</v>
      </c>
      <c r="T40" s="19"/>
      <c r="U40" s="19">
        <f>TRANSICAO!$U$40*CUSTOS!$T$3</f>
        <v>0</v>
      </c>
      <c r="V40" s="19">
        <f>TRANSICAO!$V$40*CUSTOS!$T$3</f>
        <v>0</v>
      </c>
      <c r="W40" s="19">
        <f>TRANSICAO!$W$40*CUSTOS!$T$3</f>
        <v>0</v>
      </c>
      <c r="X40" s="19">
        <f>TRANSICAO!$X$40*CUSTOS!$T$3</f>
        <v>0</v>
      </c>
      <c r="Y40" s="19">
        <f>TRANSICAO!$Y$40*CUSTOS!$T$3</f>
        <v>62.499099999999999</v>
      </c>
      <c r="Z40" s="19">
        <f>TRANSICAO!$Z$40*CUSTOS!$T$3</f>
        <v>0</v>
      </c>
      <c r="AA40" s="19">
        <f>TRANSICAO!$AA$40*CUSTOS!$T$3</f>
        <v>0</v>
      </c>
      <c r="AB40" s="19">
        <f>TRANSICAO!$AB$40*CUSTOS!$T$3</f>
        <v>0</v>
      </c>
      <c r="AC40" s="19">
        <f>TRANSICAO!$AC$40*CUSTOS!$T$3</f>
        <v>218.67420000000001</v>
      </c>
      <c r="AD40" s="19">
        <f>TRANSICAO!$AD$40*CUSTOS!$T$3</f>
        <v>0</v>
      </c>
      <c r="AE40" s="19">
        <v>0</v>
      </c>
      <c r="AF40" s="19">
        <v>0</v>
      </c>
      <c r="AG40" s="19"/>
      <c r="AH40" s="19">
        <f>(1 - CUSTOS!$M$30)*33.0193</f>
        <v>33.019300000000001</v>
      </c>
      <c r="AI40" s="19">
        <v>0</v>
      </c>
      <c r="AJ40" s="19">
        <f ca="1">$N$64*(1-CUSTOS!$M$30)</f>
        <v>0</v>
      </c>
      <c r="AK40" s="19">
        <f t="shared" ca="1" si="0"/>
        <v>0</v>
      </c>
      <c r="AL40" s="19"/>
      <c r="AM40" s="19"/>
      <c r="AP40" s="19">
        <f>IF((1 - CUSTOS!$M$30)&lt;&gt;0,1/(1 - CUSTOS!$M$30),1)</f>
        <v>1</v>
      </c>
    </row>
    <row r="41" spans="1:42" ht="11.25" customHeight="1" x14ac:dyDescent="0.25">
      <c r="A41" s="132"/>
      <c r="B41" s="22" t="s">
        <v>23</v>
      </c>
      <c r="C41" s="22" t="s">
        <v>42</v>
      </c>
      <c r="D41" s="22" t="s">
        <v>87</v>
      </c>
      <c r="E41" s="22" t="s">
        <v>25</v>
      </c>
      <c r="F41" s="22" t="s">
        <v>25</v>
      </c>
      <c r="G41" s="21" t="s">
        <v>73</v>
      </c>
      <c r="H41" s="21" t="s">
        <v>69</v>
      </c>
      <c r="I41" s="21">
        <f>'MERCADO TUSD'!$U$38</f>
        <v>0</v>
      </c>
      <c r="J41" s="17"/>
      <c r="L41" s="19">
        <f>1*(1 - CUSTOS!$M$30)</f>
        <v>1</v>
      </c>
      <c r="M41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2.0245564187835248</v>
      </c>
      <c r="N41" s="19">
        <f ca="1">(+M41+O41+R41+U41+V41+W41+X41+Y41+Z41+AA41+AC41+AH41+AI41+AJ41+AK41)*CUSTOS!$M$5</f>
        <v>5.6427145641878359E-12</v>
      </c>
      <c r="O41" s="19">
        <f>1 - CUSTOS!$M$30</f>
        <v>1</v>
      </c>
      <c r="P41" s="19">
        <f>1 - CUSTOS!$M$30</f>
        <v>1</v>
      </c>
      <c r="Q41" s="19">
        <f>1*(1 - CUSTOS!$M$30)</f>
        <v>1</v>
      </c>
      <c r="R41" s="19">
        <f>1 - CUSTOS!$M$30</f>
        <v>1</v>
      </c>
      <c r="S41" s="19">
        <f>1 - CUSTOS!$M$30</f>
        <v>1</v>
      </c>
      <c r="T41" s="19"/>
      <c r="U41" s="19">
        <f>TRANSICAO!$U$41*CUSTOS!$T$3</f>
        <v>0</v>
      </c>
      <c r="V41" s="19">
        <f>TRANSICAO!$V$41*CUSTOS!$T$3</f>
        <v>0</v>
      </c>
      <c r="W41" s="19">
        <f>TRANSICAO!$W$41*CUSTOS!$T$3</f>
        <v>0</v>
      </c>
      <c r="X41" s="19">
        <f>TRANSICAO!$X$41*CUSTOS!$T$3</f>
        <v>0</v>
      </c>
      <c r="Y41" s="19">
        <f>TRANSICAO!$Y$41*CUSTOS!$T$3</f>
        <v>117.1891</v>
      </c>
      <c r="Z41" s="19">
        <f>TRANSICAO!$Z$41*CUSTOS!$T$3</f>
        <v>0</v>
      </c>
      <c r="AA41" s="19">
        <f>TRANSICAO!$AA$41*CUSTOS!$T$3</f>
        <v>0</v>
      </c>
      <c r="AB41" s="19">
        <f>TRANSICAO!$AB$41*CUSTOS!$T$3</f>
        <v>0</v>
      </c>
      <c r="AC41" s="19">
        <f>TRANSICAO!$AC$41*CUSTOS!$T$3</f>
        <v>410.0385</v>
      </c>
      <c r="AD41" s="19">
        <f>TRANSICAO!$AD$41*CUSTOS!$T$3</f>
        <v>0</v>
      </c>
      <c r="AE41" s="19">
        <v>0</v>
      </c>
      <c r="AF41" s="19">
        <v>0</v>
      </c>
      <c r="AG41" s="19"/>
      <c r="AH41" s="19">
        <f>(1 - CUSTOS!$M$30)*33.0193</f>
        <v>33.019300000000001</v>
      </c>
      <c r="AI41" s="19">
        <v>0</v>
      </c>
      <c r="AJ41" s="19">
        <f ca="1">$N$64*(1-CUSTOS!$M$30)</f>
        <v>0</v>
      </c>
      <c r="AK41" s="19">
        <f t="shared" ca="1" si="0"/>
        <v>0</v>
      </c>
      <c r="AL41" s="19"/>
      <c r="AM41" s="19"/>
      <c r="AP41" s="19">
        <f>IF((1 - CUSTOS!$M$30)&lt;&gt;0,1/(1 - CUSTOS!$M$30),1)</f>
        <v>1</v>
      </c>
    </row>
    <row r="42" spans="1:42" ht="11.25" customHeight="1" x14ac:dyDescent="0.25">
      <c r="A42" s="132"/>
      <c r="B42" s="132" t="s">
        <v>85</v>
      </c>
      <c r="C42" s="132" t="s">
        <v>42</v>
      </c>
      <c r="D42" s="22" t="s">
        <v>25</v>
      </c>
      <c r="E42" s="22" t="s">
        <v>25</v>
      </c>
      <c r="F42" s="22" t="s">
        <v>25</v>
      </c>
      <c r="G42" s="21" t="s">
        <v>73</v>
      </c>
      <c r="H42" s="21" t="s">
        <v>69</v>
      </c>
      <c r="I42" s="21">
        <f>'MERCADO TUSD'!$U$39</f>
        <v>0</v>
      </c>
      <c r="J42" s="17"/>
      <c r="L42" s="19">
        <f>1*(1 - CUSTOS!$M$28)</f>
        <v>1</v>
      </c>
      <c r="M42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2.0245564187835248</v>
      </c>
      <c r="N42" s="19">
        <f ca="1">(+M42+O42+R42+U42+V42+W42+X42+Y42+Z42+AA42+AC42+AH42+AI42+AJ42+AK42)*CUSTOS!$M$5</f>
        <v>5.6427145641878359E-12</v>
      </c>
      <c r="O42" s="19">
        <f>1 - CUSTOS!$M$28</f>
        <v>1</v>
      </c>
      <c r="P42" s="19">
        <f>1 - CUSTOS!$M$28</f>
        <v>1</v>
      </c>
      <c r="Q42" s="19">
        <f>1*(1 - CUSTOS!$M$28)</f>
        <v>1</v>
      </c>
      <c r="R42" s="19">
        <f>1 - CUSTOS!$M$28</f>
        <v>1</v>
      </c>
      <c r="S42" s="19">
        <f>1 - CUSTOS!$M$28</f>
        <v>1</v>
      </c>
      <c r="T42" s="19"/>
      <c r="U42" s="19">
        <f>TRANSICAO!$U$42*CUSTOS!$T$3</f>
        <v>0</v>
      </c>
      <c r="V42" s="19">
        <f>TRANSICAO!$V$42*CUSTOS!$T$3</f>
        <v>0</v>
      </c>
      <c r="W42" s="19">
        <f>TRANSICAO!$W$42*CUSTOS!$T$3</f>
        <v>0</v>
      </c>
      <c r="X42" s="19">
        <f>TRANSICAO!$X$42*CUSTOS!$T$3</f>
        <v>0</v>
      </c>
      <c r="Y42" s="19">
        <f>TRANSICAO!$Y$42*CUSTOS!$T$3</f>
        <v>117.1891</v>
      </c>
      <c r="Z42" s="19">
        <f>TRANSICAO!$Z$42*CUSTOS!$T$3</f>
        <v>0</v>
      </c>
      <c r="AA42" s="19">
        <f>TRANSICAO!$AA$42*CUSTOS!$T$3</f>
        <v>0</v>
      </c>
      <c r="AB42" s="19">
        <f>TRANSICAO!$AB$42*CUSTOS!$T$3</f>
        <v>0</v>
      </c>
      <c r="AC42" s="19">
        <f>TRANSICAO!$AC$42*CUSTOS!$T$3</f>
        <v>410.0385</v>
      </c>
      <c r="AD42" s="19">
        <f>TRANSICAO!$AD$42*CUSTOS!$T$3</f>
        <v>0</v>
      </c>
      <c r="AE42" s="19">
        <v>0</v>
      </c>
      <c r="AF42" s="19">
        <v>0</v>
      </c>
      <c r="AG42" s="19"/>
      <c r="AH42" s="19">
        <f>(1 - CUSTOS!$M$28)*33.0193</f>
        <v>33.019300000000001</v>
      </c>
      <c r="AI42" s="19">
        <v>0</v>
      </c>
      <c r="AJ42" s="19">
        <f ca="1">$N$64*(1-CUSTOS!$M$28)</f>
        <v>0</v>
      </c>
      <c r="AK42" s="19">
        <f t="shared" ca="1" si="0"/>
        <v>0</v>
      </c>
      <c r="AL42" s="19"/>
      <c r="AM42" s="19"/>
      <c r="AP42" s="19">
        <f>IF((1 - CUSTOS!$M$28)&lt;&gt;0,1/(1 - CUSTOS!$M$28),1)</f>
        <v>1</v>
      </c>
    </row>
    <row r="43" spans="1:42" ht="11.25" customHeight="1" x14ac:dyDescent="0.25">
      <c r="A43" s="132"/>
      <c r="B43" s="132"/>
      <c r="C43" s="132"/>
      <c r="D43" s="22" t="s">
        <v>86</v>
      </c>
      <c r="E43" s="22" t="s">
        <v>25</v>
      </c>
      <c r="F43" s="22" t="s">
        <v>25</v>
      </c>
      <c r="G43" s="21" t="s">
        <v>73</v>
      </c>
      <c r="H43" s="21" t="s">
        <v>69</v>
      </c>
      <c r="I43" s="21">
        <f>'MERCADO TUSD'!$U$40</f>
        <v>0</v>
      </c>
      <c r="J43" s="17"/>
      <c r="L43" s="19">
        <f>1*(1 - CUSTOS!$M$29)</f>
        <v>1</v>
      </c>
      <c r="M43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2.0245564187835248</v>
      </c>
      <c r="N43" s="19">
        <f ca="1">(+M43+O43+R43+U43+V43+W43+X43+Y43+Z43+AA43+AC43+AH43+AI43+AJ43+AK43)*CUSTOS!$M$5</f>
        <v>5.6427145641878359E-12</v>
      </c>
      <c r="O43" s="19">
        <f>1 - CUSTOS!$M$29</f>
        <v>1</v>
      </c>
      <c r="P43" s="19">
        <f>1 - CUSTOS!$M$29</f>
        <v>1</v>
      </c>
      <c r="Q43" s="19">
        <f>1*(1 - CUSTOS!$M$29)</f>
        <v>1</v>
      </c>
      <c r="R43" s="19">
        <f>1 - CUSTOS!$M$29</f>
        <v>1</v>
      </c>
      <c r="S43" s="19">
        <f>1 - CUSTOS!$M$29</f>
        <v>1</v>
      </c>
      <c r="T43" s="19"/>
      <c r="U43" s="19">
        <f>TRANSICAO!$U$43*CUSTOS!$T$3</f>
        <v>0</v>
      </c>
      <c r="V43" s="19">
        <f>TRANSICAO!$V$43*CUSTOS!$T$3</f>
        <v>0</v>
      </c>
      <c r="W43" s="19">
        <f>TRANSICAO!$W$43*CUSTOS!$T$3</f>
        <v>0</v>
      </c>
      <c r="X43" s="19">
        <f>TRANSICAO!$X$43*CUSTOS!$T$3</f>
        <v>0</v>
      </c>
      <c r="Y43" s="19">
        <f>TRANSICAO!$Y$43*CUSTOS!$T$3</f>
        <v>117.1891</v>
      </c>
      <c r="Z43" s="19">
        <f>TRANSICAO!$Z$43*CUSTOS!$T$3</f>
        <v>0</v>
      </c>
      <c r="AA43" s="19">
        <f>TRANSICAO!$AA$43*CUSTOS!$T$3</f>
        <v>0</v>
      </c>
      <c r="AB43" s="19">
        <f>TRANSICAO!$AB$43*CUSTOS!$T$3</f>
        <v>0</v>
      </c>
      <c r="AC43" s="19">
        <f>TRANSICAO!$AC$43*CUSTOS!$T$3</f>
        <v>410.0385</v>
      </c>
      <c r="AD43" s="19">
        <f>TRANSICAO!$AD$43*CUSTOS!$T$3</f>
        <v>0</v>
      </c>
      <c r="AE43" s="19">
        <v>0</v>
      </c>
      <c r="AF43" s="19">
        <v>0</v>
      </c>
      <c r="AG43" s="19"/>
      <c r="AH43" s="19">
        <f>(1 - CUSTOS!$M$29)*33.0193</f>
        <v>33.019300000000001</v>
      </c>
      <c r="AI43" s="19">
        <v>0</v>
      </c>
      <c r="AJ43" s="19">
        <f ca="1">$N$64*(1-CUSTOS!$M$29)</f>
        <v>0</v>
      </c>
      <c r="AK43" s="19">
        <f t="shared" ca="1" si="0"/>
        <v>0</v>
      </c>
      <c r="AL43" s="19"/>
      <c r="AM43" s="19"/>
      <c r="AP43" s="19">
        <f>IF((1 - CUSTOS!$M$29)&lt;&gt;0,1/(1 - CUSTOS!$M$29),1)</f>
        <v>1</v>
      </c>
    </row>
    <row r="44" spans="1:42" ht="11.25" customHeight="1" x14ac:dyDescent="0.25">
      <c r="A44" s="132"/>
      <c r="B44" s="132"/>
      <c r="C44" s="132"/>
      <c r="D44" s="22" t="s">
        <v>87</v>
      </c>
      <c r="E44" s="22" t="s">
        <v>25</v>
      </c>
      <c r="F44" s="22" t="s">
        <v>25</v>
      </c>
      <c r="G44" s="21" t="s">
        <v>73</v>
      </c>
      <c r="H44" s="21" t="s">
        <v>69</v>
      </c>
      <c r="I44" s="21">
        <f>'MERCADO TUSD'!$U$41</f>
        <v>0</v>
      </c>
      <c r="J44" s="17"/>
      <c r="L44" s="19">
        <f>1*(1 - CUSTOS!$M$30)</f>
        <v>1</v>
      </c>
      <c r="M44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2.0245564187835248</v>
      </c>
      <c r="N44" s="19">
        <f ca="1">(+M44+O44+R44+U44+V44+W44+X44+Y44+Z44+AA44+AC44+AH44+AI44+AJ44+AK44)*CUSTOS!$M$5</f>
        <v>5.6427145641878359E-12</v>
      </c>
      <c r="O44" s="19">
        <f>1 - CUSTOS!$M$30</f>
        <v>1</v>
      </c>
      <c r="P44" s="19">
        <f>1 - CUSTOS!$M$30</f>
        <v>1</v>
      </c>
      <c r="Q44" s="19">
        <f>1*(1 - CUSTOS!$M$30)</f>
        <v>1</v>
      </c>
      <c r="R44" s="19">
        <f>1 - CUSTOS!$M$30</f>
        <v>1</v>
      </c>
      <c r="S44" s="19">
        <f>1 - CUSTOS!$M$30</f>
        <v>1</v>
      </c>
      <c r="T44" s="19"/>
      <c r="U44" s="19">
        <f>TRANSICAO!$U$44*CUSTOS!$T$3</f>
        <v>0</v>
      </c>
      <c r="V44" s="19">
        <f>TRANSICAO!$V$44*CUSTOS!$T$3</f>
        <v>0</v>
      </c>
      <c r="W44" s="19">
        <f>TRANSICAO!$W$44*CUSTOS!$T$3</f>
        <v>0</v>
      </c>
      <c r="X44" s="19">
        <f>TRANSICAO!$X$44*CUSTOS!$T$3</f>
        <v>0</v>
      </c>
      <c r="Y44" s="19">
        <f>TRANSICAO!$Y$44*CUSTOS!$T$3</f>
        <v>117.1891</v>
      </c>
      <c r="Z44" s="19">
        <f>TRANSICAO!$Z$44*CUSTOS!$T$3</f>
        <v>0</v>
      </c>
      <c r="AA44" s="19">
        <f>TRANSICAO!$AA$44*CUSTOS!$T$3</f>
        <v>0</v>
      </c>
      <c r="AB44" s="19">
        <f>TRANSICAO!$AB$44*CUSTOS!$T$3</f>
        <v>0</v>
      </c>
      <c r="AC44" s="19">
        <f>TRANSICAO!$AC$44*CUSTOS!$T$3</f>
        <v>410.0385</v>
      </c>
      <c r="AD44" s="19">
        <f>TRANSICAO!$AD$44*CUSTOS!$T$3</f>
        <v>0</v>
      </c>
      <c r="AE44" s="19">
        <v>0</v>
      </c>
      <c r="AF44" s="19">
        <v>0</v>
      </c>
      <c r="AG44" s="19"/>
      <c r="AH44" s="19">
        <f>(1 - CUSTOS!$M$30)*33.0193</f>
        <v>33.019300000000001</v>
      </c>
      <c r="AI44" s="19">
        <v>0</v>
      </c>
      <c r="AJ44" s="19">
        <f ca="1">$N$64*(1-CUSTOS!$M$30)</f>
        <v>0</v>
      </c>
      <c r="AK44" s="19">
        <f t="shared" ca="1" si="0"/>
        <v>0</v>
      </c>
      <c r="AL44" s="19"/>
      <c r="AM44" s="19"/>
      <c r="AP44" s="19">
        <f>IF((1 - CUSTOS!$M$30)&lt;&gt;0,1/(1 - CUSTOS!$M$30),1)</f>
        <v>1</v>
      </c>
    </row>
    <row r="45" spans="1:42" ht="11.25" customHeight="1" x14ac:dyDescent="0.25">
      <c r="A45" s="132" t="s">
        <v>32</v>
      </c>
      <c r="B45" s="132" t="s">
        <v>39</v>
      </c>
      <c r="C45" s="132" t="s">
        <v>25</v>
      </c>
      <c r="D45" s="132" t="s">
        <v>25</v>
      </c>
      <c r="E45" s="132" t="s">
        <v>25</v>
      </c>
      <c r="F45" s="132" t="s">
        <v>25</v>
      </c>
      <c r="G45" s="21" t="s">
        <v>70</v>
      </c>
      <c r="H45" s="21" t="s">
        <v>69</v>
      </c>
      <c r="I45" s="21">
        <f>'MERCADO TUSD'!$U$42</f>
        <v>0.13600000000000001</v>
      </c>
      <c r="J45" s="17"/>
      <c r="L45" s="19">
        <f>1*(1 - CUSTOS!$M$31)</f>
        <v>1</v>
      </c>
      <c r="M45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2.0245564187835248</v>
      </c>
      <c r="N45" s="19">
        <f ca="1">(+M45+O45+R45+U45+V45+W45+X45+Y45+Z45+AA45+AC45+AH45+AI45+AJ45+AK45)*CUSTOS!$M$5</f>
        <v>1.7505342564187835E-11</v>
      </c>
      <c r="O45" s="19">
        <f>1 - CUSTOS!$M$31</f>
        <v>1</v>
      </c>
      <c r="P45" s="19">
        <f>1 - CUSTOS!$M$31</f>
        <v>1</v>
      </c>
      <c r="Q45" s="19">
        <f>1*(1 - CUSTOS!$M$31)</f>
        <v>1</v>
      </c>
      <c r="R45" s="19">
        <f>1 - CUSTOS!$M$31</f>
        <v>1</v>
      </c>
      <c r="S45" s="19">
        <f>1 - CUSTOS!$M$31</f>
        <v>1</v>
      </c>
      <c r="T45" s="19"/>
      <c r="U45" s="19">
        <f>TRANSICAO!$U$45*CUSTOS!$T$3</f>
        <v>0</v>
      </c>
      <c r="V45" s="19">
        <f>TRANSICAO!$V$45*CUSTOS!$T$3</f>
        <v>0</v>
      </c>
      <c r="W45" s="19">
        <f>TRANSICAO!$W$45*CUSTOS!$T$3</f>
        <v>0</v>
      </c>
      <c r="X45" s="19">
        <f>TRANSICAO!$X$45*CUSTOS!$T$3</f>
        <v>0</v>
      </c>
      <c r="Y45" s="19">
        <f>TRANSICAO!$Y$45*CUSTOS!$T$3</f>
        <v>380.86470000000003</v>
      </c>
      <c r="Z45" s="19">
        <f>TRANSICAO!$Z$45*CUSTOS!$T$3</f>
        <v>0</v>
      </c>
      <c r="AA45" s="19">
        <f>TRANSICAO!$AA$45*CUSTOS!$T$3</f>
        <v>0</v>
      </c>
      <c r="AB45" s="19">
        <f>TRANSICAO!$AB$45*CUSTOS!$T$3</f>
        <v>0</v>
      </c>
      <c r="AC45" s="19">
        <f>TRANSICAO!$AC$45*CUSTOS!$T$3</f>
        <v>1332.6257000000001</v>
      </c>
      <c r="AD45" s="19">
        <f>TRANSICAO!$AD$45*CUSTOS!$T$3</f>
        <v>0</v>
      </c>
      <c r="AE45" s="19">
        <v>0</v>
      </c>
      <c r="AF45" s="19">
        <v>0</v>
      </c>
      <c r="AG45" s="19"/>
      <c r="AH45" s="19">
        <f>(1 - CUSTOS!$M$31)*33.0193</f>
        <v>33.019300000000001</v>
      </c>
      <c r="AI45" s="19">
        <v>0</v>
      </c>
      <c r="AJ45" s="19">
        <f ca="1">$N$64*(1-CUSTOS!$M$31)</f>
        <v>0</v>
      </c>
      <c r="AK45" s="19">
        <f t="shared" ca="1" si="0"/>
        <v>0</v>
      </c>
      <c r="AL45" s="19"/>
      <c r="AM45" s="19"/>
      <c r="AP45" s="19">
        <f>IF((1 - CUSTOS!$M$31)&lt;&gt;0,1/(1 - CUSTOS!$M$31),1)</f>
        <v>1</v>
      </c>
    </row>
    <row r="46" spans="1:42" ht="11.25" customHeight="1" x14ac:dyDescent="0.25">
      <c r="A46" s="132"/>
      <c r="B46" s="132"/>
      <c r="C46" s="132"/>
      <c r="D46" s="132"/>
      <c r="E46" s="132"/>
      <c r="F46" s="132"/>
      <c r="G46" s="21" t="s">
        <v>83</v>
      </c>
      <c r="H46" s="21" t="s">
        <v>69</v>
      </c>
      <c r="I46" s="21">
        <f>'MERCADO TUSD'!$U$43</f>
        <v>0.16400000000000003</v>
      </c>
      <c r="J46" s="17"/>
      <c r="L46" s="19">
        <f>1*(1 - CUSTOS!$M$31)</f>
        <v>1</v>
      </c>
      <c r="M46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2.0245564187835248</v>
      </c>
      <c r="N46" s="19">
        <f ca="1">(+M46+O46+R46+U46+V46+W46+X46+Y46+Z46+AA46+AC46+AH46+AI46+AJ46+AK46)*CUSTOS!$M$5</f>
        <v>1.0651397564187835E-11</v>
      </c>
      <c r="O46" s="19">
        <f>1 - CUSTOS!$M$31</f>
        <v>1</v>
      </c>
      <c r="P46" s="19">
        <f>1 - CUSTOS!$M$31</f>
        <v>1</v>
      </c>
      <c r="Q46" s="19">
        <f>1*(1 - CUSTOS!$M$31)</f>
        <v>1</v>
      </c>
      <c r="R46" s="19">
        <f>1 - CUSTOS!$M$31</f>
        <v>1</v>
      </c>
      <c r="S46" s="19">
        <f>1 - CUSTOS!$M$31</f>
        <v>1</v>
      </c>
      <c r="T46" s="19"/>
      <c r="U46" s="19">
        <f>TRANSICAO!$U$46*CUSTOS!$T$3</f>
        <v>0</v>
      </c>
      <c r="V46" s="19">
        <f>TRANSICAO!$V$46*CUSTOS!$T$3</f>
        <v>0</v>
      </c>
      <c r="W46" s="19">
        <f>TRANSICAO!$W$46*CUSTOS!$T$3</f>
        <v>0</v>
      </c>
      <c r="X46" s="19">
        <f>TRANSICAO!$X$46*CUSTOS!$T$3</f>
        <v>0</v>
      </c>
      <c r="Y46" s="19">
        <f>TRANSICAO!$Y$46*CUSTOS!$T$3</f>
        <v>228.5206</v>
      </c>
      <c r="Z46" s="19">
        <f>TRANSICAO!$Z$46*CUSTOS!$T$3</f>
        <v>0</v>
      </c>
      <c r="AA46" s="19">
        <f>TRANSICAO!$AA$46*CUSTOS!$T$3</f>
        <v>0</v>
      </c>
      <c r="AB46" s="19">
        <f>TRANSICAO!$AB$46*CUSTOS!$T$3</f>
        <v>0</v>
      </c>
      <c r="AC46" s="19">
        <f>TRANSICAO!$AC$46*CUSTOS!$T$3</f>
        <v>799.57529999999997</v>
      </c>
      <c r="AD46" s="19">
        <f>TRANSICAO!$AD$46*CUSTOS!$T$3</f>
        <v>0</v>
      </c>
      <c r="AE46" s="19">
        <v>0</v>
      </c>
      <c r="AF46" s="19">
        <v>0</v>
      </c>
      <c r="AG46" s="19"/>
      <c r="AH46" s="19">
        <f>(1 - CUSTOS!$M$31)*33.0193</f>
        <v>33.019300000000001</v>
      </c>
      <c r="AI46" s="19">
        <v>0</v>
      </c>
      <c r="AJ46" s="19">
        <f ca="1">$N$64*(1-CUSTOS!$M$31)</f>
        <v>0</v>
      </c>
      <c r="AK46" s="19">
        <f t="shared" ca="1" si="0"/>
        <v>0</v>
      </c>
      <c r="AL46" s="19"/>
      <c r="AM46" s="19"/>
      <c r="AP46" s="19">
        <f>IF((1 - CUSTOS!$M$31)&lt;&gt;0,1/(1 - CUSTOS!$M$31),1)</f>
        <v>1</v>
      </c>
    </row>
    <row r="47" spans="1:42" ht="11.25" customHeight="1" x14ac:dyDescent="0.25">
      <c r="A47" s="132"/>
      <c r="B47" s="132"/>
      <c r="C47" s="132"/>
      <c r="D47" s="132"/>
      <c r="E47" s="132"/>
      <c r="F47" s="132"/>
      <c r="G47" s="21" t="s">
        <v>71</v>
      </c>
      <c r="H47" s="21" t="s">
        <v>69</v>
      </c>
      <c r="I47" s="21">
        <f>'MERCADO TUSD'!$U$44</f>
        <v>5.0719999999999992</v>
      </c>
      <c r="J47" s="17"/>
      <c r="L47" s="19">
        <f>1*(1 - CUSTOS!$M$31)</f>
        <v>1</v>
      </c>
      <c r="M47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2.0245564187835248</v>
      </c>
      <c r="N47" s="19">
        <f ca="1">(+M47+O47+R47+U47+V47+W47+X47+Y47+Z47+AA47+AC47+AH47+AI47+AJ47+AK47)*CUSTOS!$M$5</f>
        <v>3.7974325641878352E-12</v>
      </c>
      <c r="O47" s="19">
        <f>1 - CUSTOS!$M$31</f>
        <v>1</v>
      </c>
      <c r="P47" s="19">
        <f>1 - CUSTOS!$M$31</f>
        <v>1</v>
      </c>
      <c r="Q47" s="19">
        <f>1*(1 - CUSTOS!$M$31)</f>
        <v>1</v>
      </c>
      <c r="R47" s="19">
        <f>1 - CUSTOS!$M$31</f>
        <v>1</v>
      </c>
      <c r="S47" s="19">
        <f>1 - CUSTOS!$M$31</f>
        <v>1</v>
      </c>
      <c r="T47" s="19"/>
      <c r="U47" s="19">
        <f>TRANSICAO!$U$47*CUSTOS!$T$3</f>
        <v>0</v>
      </c>
      <c r="V47" s="19">
        <f>TRANSICAO!$V$47*CUSTOS!$T$3</f>
        <v>0</v>
      </c>
      <c r="W47" s="19">
        <f>TRANSICAO!$W$47*CUSTOS!$T$3</f>
        <v>0</v>
      </c>
      <c r="X47" s="19">
        <f>TRANSICAO!$X$47*CUSTOS!$T$3</f>
        <v>0</v>
      </c>
      <c r="Y47" s="19">
        <f>TRANSICAO!$Y$47*CUSTOS!$T$3</f>
        <v>76.174099999999996</v>
      </c>
      <c r="Z47" s="19">
        <f>TRANSICAO!$Z$47*CUSTOS!$T$3</f>
        <v>0</v>
      </c>
      <c r="AA47" s="19">
        <f>TRANSICAO!$AA$47*CUSTOS!$T$3</f>
        <v>0</v>
      </c>
      <c r="AB47" s="19">
        <f>TRANSICAO!$AB$47*CUSTOS!$T$3</f>
        <v>0</v>
      </c>
      <c r="AC47" s="19">
        <f>TRANSICAO!$AC$47*CUSTOS!$T$3</f>
        <v>266.52530000000002</v>
      </c>
      <c r="AD47" s="19">
        <f>TRANSICAO!$AD$47*CUSTOS!$T$3</f>
        <v>0</v>
      </c>
      <c r="AE47" s="19">
        <v>0</v>
      </c>
      <c r="AF47" s="19">
        <v>0</v>
      </c>
      <c r="AG47" s="19"/>
      <c r="AH47" s="19">
        <f>(1 - CUSTOS!$M$31)*33.0193</f>
        <v>33.019300000000001</v>
      </c>
      <c r="AI47" s="19">
        <v>0</v>
      </c>
      <c r="AJ47" s="19">
        <f ca="1">$N$64*(1-CUSTOS!$M$31)</f>
        <v>0</v>
      </c>
      <c r="AK47" s="19">
        <f t="shared" ca="1" si="0"/>
        <v>0</v>
      </c>
      <c r="AL47" s="19"/>
      <c r="AM47" s="19"/>
      <c r="AP47" s="19">
        <f>IF((1 - CUSTOS!$M$31)&lt;&gt;0,1/(1 - CUSTOS!$M$31),1)</f>
        <v>1</v>
      </c>
    </row>
    <row r="48" spans="1:42" ht="11.25" customHeight="1" x14ac:dyDescent="0.25">
      <c r="A48" s="132"/>
      <c r="B48" s="22" t="s">
        <v>23</v>
      </c>
      <c r="C48" s="22" t="s">
        <v>25</v>
      </c>
      <c r="D48" s="22" t="s">
        <v>25</v>
      </c>
      <c r="E48" s="22" t="s">
        <v>25</v>
      </c>
      <c r="F48" s="22" t="s">
        <v>25</v>
      </c>
      <c r="G48" s="21" t="s">
        <v>73</v>
      </c>
      <c r="H48" s="21" t="s">
        <v>69</v>
      </c>
      <c r="I48" s="21">
        <f>'MERCADO TUSD'!$U$45</f>
        <v>1791.422</v>
      </c>
      <c r="J48" s="17"/>
      <c r="L48" s="19">
        <f>1*(1 - CUSTOS!$M$31)</f>
        <v>1</v>
      </c>
      <c r="M48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2.0245564187835248</v>
      </c>
      <c r="N48" s="19">
        <f ca="1">(+M48+O48+R48+U48+V48+W48+X48+Y48+Z48+AA48+AC48+AH48+AI48+AJ48+AK48)*CUSTOS!$M$5</f>
        <v>5.6427145641878359E-12</v>
      </c>
      <c r="O48" s="19">
        <f>1 - CUSTOS!$M$31</f>
        <v>1</v>
      </c>
      <c r="P48" s="19">
        <f>1 - CUSTOS!$M$31</f>
        <v>1</v>
      </c>
      <c r="Q48" s="19">
        <f>1*(1 - CUSTOS!$M$31)</f>
        <v>1</v>
      </c>
      <c r="R48" s="19">
        <f>1 - CUSTOS!$M$31</f>
        <v>1</v>
      </c>
      <c r="S48" s="19">
        <f>1 - CUSTOS!$M$31</f>
        <v>1</v>
      </c>
      <c r="T48" s="19"/>
      <c r="U48" s="19">
        <f>TRANSICAO!$U$48*CUSTOS!$T$3</f>
        <v>0</v>
      </c>
      <c r="V48" s="19">
        <f>TRANSICAO!$V$48*CUSTOS!$T$3</f>
        <v>0</v>
      </c>
      <c r="W48" s="19">
        <f>TRANSICAO!$W$48*CUSTOS!$T$3</f>
        <v>0</v>
      </c>
      <c r="X48" s="19">
        <f>TRANSICAO!$X$48*CUSTOS!$T$3</f>
        <v>0</v>
      </c>
      <c r="Y48" s="19">
        <f>TRANSICAO!$Y$48*CUSTOS!$T$3</f>
        <v>117.1891</v>
      </c>
      <c r="Z48" s="19">
        <f>TRANSICAO!$Z$48*CUSTOS!$T$3</f>
        <v>0</v>
      </c>
      <c r="AA48" s="19">
        <f>TRANSICAO!$AA$48*CUSTOS!$T$3</f>
        <v>0</v>
      </c>
      <c r="AB48" s="19">
        <f>TRANSICAO!$AB$48*CUSTOS!$T$3</f>
        <v>0</v>
      </c>
      <c r="AC48" s="19">
        <f>TRANSICAO!$AC$48*CUSTOS!$T$3</f>
        <v>410.0385</v>
      </c>
      <c r="AD48" s="19">
        <f>TRANSICAO!$AD$48*CUSTOS!$T$3</f>
        <v>0</v>
      </c>
      <c r="AE48" s="19">
        <v>0</v>
      </c>
      <c r="AF48" s="19">
        <v>0</v>
      </c>
      <c r="AG48" s="19"/>
      <c r="AH48" s="19">
        <f>(1 - CUSTOS!$M$31)*33.0193</f>
        <v>33.019300000000001</v>
      </c>
      <c r="AI48" s="19">
        <v>0</v>
      </c>
      <c r="AJ48" s="19">
        <f ca="1">$N$64*(1-CUSTOS!$M$31)</f>
        <v>0</v>
      </c>
      <c r="AK48" s="19">
        <f t="shared" ca="1" si="0"/>
        <v>0</v>
      </c>
      <c r="AL48" s="19"/>
      <c r="AM48" s="19"/>
      <c r="AP48" s="19">
        <f>IF((1 - CUSTOS!$M$31)&lt;&gt;0,1/(1 - CUSTOS!$M$31),1)</f>
        <v>1</v>
      </c>
    </row>
    <row r="49" spans="1:42" ht="11.25" customHeight="1" x14ac:dyDescent="0.25">
      <c r="A49" s="132"/>
      <c r="B49" s="22" t="s">
        <v>85</v>
      </c>
      <c r="C49" s="22" t="s">
        <v>25</v>
      </c>
      <c r="D49" s="22" t="s">
        <v>25</v>
      </c>
      <c r="E49" s="22" t="s">
        <v>25</v>
      </c>
      <c r="F49" s="22" t="s">
        <v>25</v>
      </c>
      <c r="G49" s="21" t="s">
        <v>73</v>
      </c>
      <c r="H49" s="21" t="s">
        <v>69</v>
      </c>
      <c r="I49" s="21">
        <f>'MERCADO TUSD'!$U$46</f>
        <v>0</v>
      </c>
      <c r="J49" s="17"/>
      <c r="L49" s="19">
        <f>1*(1 - CUSTOS!$M$31)</f>
        <v>1</v>
      </c>
      <c r="M49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2.0245564187835248</v>
      </c>
      <c r="N49" s="19">
        <f ca="1">(+M49+O49+R49+U49+V49+W49+X49+Y49+Z49+AA49+AC49+AH49+AI49+AJ49+AK49)*CUSTOS!$M$5</f>
        <v>5.6427145641878359E-12</v>
      </c>
      <c r="O49" s="19">
        <f>1 - CUSTOS!$M$31</f>
        <v>1</v>
      </c>
      <c r="P49" s="19">
        <f>1 - CUSTOS!$M$31</f>
        <v>1</v>
      </c>
      <c r="Q49" s="19">
        <f>1*(1 - CUSTOS!$M$31)</f>
        <v>1</v>
      </c>
      <c r="R49" s="19">
        <f>1 - CUSTOS!$M$31</f>
        <v>1</v>
      </c>
      <c r="S49" s="19">
        <f>1 - CUSTOS!$M$31</f>
        <v>1</v>
      </c>
      <c r="T49" s="19"/>
      <c r="U49" s="19">
        <f>TRANSICAO!$U$49*CUSTOS!$T$3</f>
        <v>0</v>
      </c>
      <c r="V49" s="19">
        <f>TRANSICAO!$V$49*CUSTOS!$T$3</f>
        <v>0</v>
      </c>
      <c r="W49" s="19">
        <f>TRANSICAO!$W$49*CUSTOS!$T$3</f>
        <v>0</v>
      </c>
      <c r="X49" s="19">
        <f>TRANSICAO!$X$49*CUSTOS!$T$3</f>
        <v>0</v>
      </c>
      <c r="Y49" s="19">
        <f>TRANSICAO!$Y$49*CUSTOS!$T$3</f>
        <v>117.1891</v>
      </c>
      <c r="Z49" s="19">
        <f>TRANSICAO!$Z$49*CUSTOS!$T$3</f>
        <v>0</v>
      </c>
      <c r="AA49" s="19">
        <f>TRANSICAO!$AA$49*CUSTOS!$T$3</f>
        <v>0</v>
      </c>
      <c r="AB49" s="19">
        <f>TRANSICAO!$AB$49*CUSTOS!$T$3</f>
        <v>0</v>
      </c>
      <c r="AC49" s="19">
        <f>TRANSICAO!$AC$49*CUSTOS!$T$3</f>
        <v>410.0385</v>
      </c>
      <c r="AD49" s="19">
        <f>TRANSICAO!$AD$49*CUSTOS!$T$3</f>
        <v>0</v>
      </c>
      <c r="AE49" s="19">
        <v>0</v>
      </c>
      <c r="AF49" s="19">
        <v>0</v>
      </c>
      <c r="AG49" s="19"/>
      <c r="AH49" s="19">
        <f>(1 - CUSTOS!$M$31)*33.0193</f>
        <v>33.019300000000001</v>
      </c>
      <c r="AI49" s="19">
        <v>0</v>
      </c>
      <c r="AJ49" s="19">
        <f ca="1">$N$64*(1-CUSTOS!$M$31)</f>
        <v>0</v>
      </c>
      <c r="AK49" s="19">
        <f t="shared" ca="1" si="0"/>
        <v>0</v>
      </c>
      <c r="AL49" s="19"/>
      <c r="AM49" s="19"/>
      <c r="AP49" s="19">
        <f>IF((1 - CUSTOS!$M$31)&lt;&gt;0,1/(1 - CUSTOS!$M$31),1)</f>
        <v>1</v>
      </c>
    </row>
    <row r="50" spans="1:42" ht="11.25" customHeight="1" x14ac:dyDescent="0.25">
      <c r="A50" s="132" t="s">
        <v>44</v>
      </c>
      <c r="B50" s="132" t="s">
        <v>23</v>
      </c>
      <c r="C50" s="132" t="s">
        <v>45</v>
      </c>
      <c r="D50" s="22" t="s">
        <v>46</v>
      </c>
      <c r="E50" s="22" t="s">
        <v>25</v>
      </c>
      <c r="F50" s="22" t="s">
        <v>25</v>
      </c>
      <c r="G50" s="21" t="s">
        <v>73</v>
      </c>
      <c r="H50" s="21" t="s">
        <v>69</v>
      </c>
      <c r="I50" s="21">
        <f>'MERCADO TUSD'!$U$47</f>
        <v>1518.0680000000002</v>
      </c>
      <c r="J50" s="17"/>
      <c r="L50" s="19">
        <f>1*(1 - CUSTOS!$M$32)</f>
        <v>0.55000000000000004</v>
      </c>
      <c r="M50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CUSTOS!$M$32)</f>
        <v>1.1135060303309388</v>
      </c>
      <c r="N50" s="19">
        <f ca="1">(+M50+O50+R50+U50+V50+W50+X50+Y50+Z50+AA50+AC50+AH50+AI50+AJ50+AK50)*CUSTOS!$M$5</f>
        <v>3.1034930103033099E-12</v>
      </c>
      <c r="O50" s="19">
        <f>1 - CUSTOS!$M$32</f>
        <v>0.55000000000000004</v>
      </c>
      <c r="P50" s="19">
        <f>1 - CUSTOS!$M$32</f>
        <v>0.55000000000000004</v>
      </c>
      <c r="Q50" s="19">
        <f>1*(1 - CUSTOS!$M$32)</f>
        <v>0.55000000000000004</v>
      </c>
      <c r="R50" s="19">
        <f>1 - CUSTOS!$M$32</f>
        <v>0.55000000000000004</v>
      </c>
      <c r="S50" s="19">
        <f>1 - CUSTOS!$M$32</f>
        <v>0.55000000000000004</v>
      </c>
      <c r="T50" s="19"/>
      <c r="U50" s="19">
        <f>TRANSICAO!$U$50*CUSTOS!$T$3</f>
        <v>0</v>
      </c>
      <c r="V50" s="19">
        <f>TRANSICAO!$V$50*CUSTOS!$T$3</f>
        <v>0</v>
      </c>
      <c r="W50" s="19">
        <f>TRANSICAO!$W$50*CUSTOS!$T$3</f>
        <v>0</v>
      </c>
      <c r="X50" s="19">
        <f>TRANSICAO!$X$50*CUSTOS!$T$3</f>
        <v>0</v>
      </c>
      <c r="Y50" s="19">
        <f>TRANSICAO!$Y$50*CUSTOS!$T$3</f>
        <v>64.454005000000009</v>
      </c>
      <c r="Z50" s="19">
        <f>TRANSICAO!$Z$50*CUSTOS!$T$3</f>
        <v>0</v>
      </c>
      <c r="AA50" s="19">
        <f>TRANSICAO!$AA$50*CUSTOS!$T$3</f>
        <v>0</v>
      </c>
      <c r="AB50" s="19">
        <f>TRANSICAO!$AB$50*CUSTOS!$T$3</f>
        <v>0</v>
      </c>
      <c r="AC50" s="19">
        <f>TRANSICAO!$AC$50*CUSTOS!$T$3</f>
        <v>225.52117500000003</v>
      </c>
      <c r="AD50" s="19">
        <f>TRANSICAO!$AD$50*CUSTOS!$T$3</f>
        <v>0</v>
      </c>
      <c r="AE50" s="19">
        <v>0</v>
      </c>
      <c r="AF50" s="19">
        <v>0</v>
      </c>
      <c r="AG50" s="19"/>
      <c r="AH50" s="19">
        <f>(1 - CUSTOS!$M$32)*33.0193</f>
        <v>18.160615000000004</v>
      </c>
      <c r="AI50" s="19">
        <v>0</v>
      </c>
      <c r="AJ50" s="19">
        <f ca="1">$N$64*(1-CUSTOS!$M$32)</f>
        <v>0</v>
      </c>
      <c r="AK50" s="19">
        <f t="shared" ca="1" si="0"/>
        <v>0</v>
      </c>
      <c r="AL50" s="19"/>
      <c r="AM50" s="19"/>
      <c r="AP50" s="19">
        <f>IF((1 - CUSTOS!$M$32)&lt;&gt;0,1/(1 - CUSTOS!$M$32),1)</f>
        <v>1.8181818181818181</v>
      </c>
    </row>
    <row r="51" spans="1:42" ht="11.25" customHeight="1" x14ac:dyDescent="0.25">
      <c r="A51" s="132"/>
      <c r="B51" s="132"/>
      <c r="C51" s="132"/>
      <c r="D51" s="21" t="s">
        <v>88</v>
      </c>
      <c r="E51" s="21" t="s">
        <v>25</v>
      </c>
      <c r="F51" s="21" t="s">
        <v>25</v>
      </c>
      <c r="G51" s="21" t="s">
        <v>73</v>
      </c>
      <c r="H51" s="21" t="s">
        <v>69</v>
      </c>
      <c r="I51" s="21">
        <f>'MERCADO TUSD'!$U$48</f>
        <v>0</v>
      </c>
      <c r="J51" s="17"/>
      <c r="L51" s="19">
        <f>1*(1 - CUSTOS!$M$33)</f>
        <v>0.6</v>
      </c>
      <c r="M51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CUSTOS!$M$33)</f>
        <v>1.2147338512701149</v>
      </c>
      <c r="N51" s="19">
        <f ca="1">(+M51+O51+R51+U51+V51+W51+X51+Y51+Z51+AA51+AC51+AH51+AI51+AJ51+AK51)*CUSTOS!$M$5</f>
        <v>3.3856287385127014E-12</v>
      </c>
      <c r="O51" s="19">
        <f>1 - CUSTOS!$M$33</f>
        <v>0.6</v>
      </c>
      <c r="P51" s="19">
        <f>1 - CUSTOS!$M$33</f>
        <v>0.6</v>
      </c>
      <c r="Q51" s="19">
        <f>1*(1 - CUSTOS!$M$33)</f>
        <v>0.6</v>
      </c>
      <c r="R51" s="19">
        <f>1 - CUSTOS!$M$33</f>
        <v>0.6</v>
      </c>
      <c r="S51" s="19">
        <f>1 - CUSTOS!$M$33</f>
        <v>0.6</v>
      </c>
      <c r="T51" s="19"/>
      <c r="U51" s="19">
        <f>TRANSICAO!$U$51*CUSTOS!$T$3</f>
        <v>0</v>
      </c>
      <c r="V51" s="19">
        <f>TRANSICAO!$V$51*CUSTOS!$T$3</f>
        <v>0</v>
      </c>
      <c r="W51" s="19">
        <f>TRANSICAO!$W$51*CUSTOS!$T$3</f>
        <v>0</v>
      </c>
      <c r="X51" s="19">
        <f>TRANSICAO!$X$51*CUSTOS!$T$3</f>
        <v>0</v>
      </c>
      <c r="Y51" s="19">
        <f>TRANSICAO!$Y$51*CUSTOS!$T$3</f>
        <v>70.313459999999992</v>
      </c>
      <c r="Z51" s="19">
        <f>TRANSICAO!$Z$51*CUSTOS!$T$3</f>
        <v>0</v>
      </c>
      <c r="AA51" s="19">
        <f>TRANSICAO!$AA$51*CUSTOS!$T$3</f>
        <v>0</v>
      </c>
      <c r="AB51" s="19">
        <f>TRANSICAO!$AB$51*CUSTOS!$T$3</f>
        <v>0</v>
      </c>
      <c r="AC51" s="19">
        <f>TRANSICAO!$AC$51*CUSTOS!$T$3</f>
        <v>246.0231</v>
      </c>
      <c r="AD51" s="19">
        <f>TRANSICAO!$AD$51*CUSTOS!$T$3</f>
        <v>0</v>
      </c>
      <c r="AE51" s="19">
        <v>0</v>
      </c>
      <c r="AF51" s="19">
        <v>0</v>
      </c>
      <c r="AG51" s="19"/>
      <c r="AH51" s="19">
        <f>(1 - CUSTOS!$M$33)*33.0193</f>
        <v>19.811579999999999</v>
      </c>
      <c r="AI51" s="19">
        <v>0</v>
      </c>
      <c r="AJ51" s="19">
        <f ca="1">$N$64*(1-CUSTOS!$M$33)</f>
        <v>0</v>
      </c>
      <c r="AK51" s="19">
        <f t="shared" ca="1" si="0"/>
        <v>0</v>
      </c>
      <c r="AL51" s="19"/>
      <c r="AM51" s="19"/>
      <c r="AP51" s="19">
        <f>IF((1 - CUSTOS!$M$33)&lt;&gt;0,1/(1 - CUSTOS!$M$33),1)</f>
        <v>1.6666666666666667</v>
      </c>
    </row>
    <row r="53" spans="1:42" ht="11.25" customHeight="1" x14ac:dyDescent="0.25">
      <c r="K53" s="18" t="s">
        <v>611</v>
      </c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</row>
    <row r="54" spans="1:42" ht="11.25" customHeight="1" x14ac:dyDescent="0.25">
      <c r="K54" s="18" t="s">
        <v>612</v>
      </c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</row>
    <row r="55" spans="1:42" ht="11.25" customHeight="1" x14ac:dyDescent="0.25">
      <c r="K55" s="18" t="s">
        <v>613</v>
      </c>
      <c r="L55" s="19">
        <f>IF(ISERROR(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,0,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</f>
        <v>7983.21252</v>
      </c>
      <c r="M55" s="19">
        <f>IF(ISERROR(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,0,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</f>
        <v>20911.095368909238</v>
      </c>
      <c r="N55" s="19">
        <f ca="1">IF(ISERROR(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,0,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</f>
        <v>5.7743532243478695E-8</v>
      </c>
      <c r="O55" s="19">
        <f>IF(ISERROR(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,0,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</f>
        <v>10537.5524</v>
      </c>
      <c r="P55" s="19">
        <f>IF(ISERROR(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,0,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</f>
        <v>8033.2633999999989</v>
      </c>
      <c r="Q55" s="19">
        <f>IF(ISERROR(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,0,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</f>
        <v>7983.21252</v>
      </c>
      <c r="R55" s="19">
        <f>IF(ISERROR(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,0,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</f>
        <v>8033.2633999999989</v>
      </c>
      <c r="S55" s="19">
        <f>IF(ISERROR(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,0,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</f>
        <v>10537.5524</v>
      </c>
      <c r="T55" s="19"/>
      <c r="U55" s="19">
        <f>IF(ISERROR(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,0,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</f>
        <v>0</v>
      </c>
      <c r="V55" s="19">
        <f>IF(ISERROR(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,0,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</f>
        <v>0</v>
      </c>
      <c r="W55" s="19">
        <f>IF(ISERROR(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,0,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</f>
        <v>0</v>
      </c>
      <c r="X55" s="19">
        <f>IF(ISERROR(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,0,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</f>
        <v>0</v>
      </c>
      <c r="Y55" s="19">
        <f>IF(ISERROR(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,0,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</f>
        <v>1233501.7773500399</v>
      </c>
      <c r="Z55" s="19">
        <f>IF(ISERROR(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,0,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</f>
        <v>0</v>
      </c>
      <c r="AA55" s="19">
        <f>IF(ISERROR(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,0,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</f>
        <v>0</v>
      </c>
      <c r="AB55" s="19"/>
      <c r="AC55" s="19">
        <f>IF(ISERROR(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,0,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</f>
        <v>4231647.4269113988</v>
      </c>
      <c r="AD55" s="19"/>
      <c r="AE55" s="19">
        <f>IF(ISERROR(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,0,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</f>
        <v>0</v>
      </c>
      <c r="AF55" s="19">
        <f>IF(ISERROR(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,0,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</f>
        <v>0</v>
      </c>
      <c r="AG55" s="19"/>
      <c r="AH55" s="19">
        <f>IF(ISERROR(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,0,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</f>
        <v>342355.61191772</v>
      </c>
      <c r="AI55" s="19">
        <f>IF(ISERROR(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,0,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</f>
        <v>0</v>
      </c>
      <c r="AJ55" s="19">
        <f ca="1">IF(ISERROR(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,0,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</f>
        <v>0</v>
      </c>
      <c r="AK55" s="19">
        <f ca="1">IF(ISERROR(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,0,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</f>
        <v>0</v>
      </c>
      <c r="AL55" s="19"/>
      <c r="AM55" s="19"/>
    </row>
    <row r="56" spans="1:42" ht="11.25" customHeight="1" x14ac:dyDescent="0.25">
      <c r="K56" s="18" t="s">
        <v>549</v>
      </c>
      <c r="L56" s="19">
        <f>CUSTOS!$D$2</f>
        <v>0</v>
      </c>
      <c r="M56" s="19">
        <f>CUSTOS!$D$3</f>
        <v>22294.131810006256</v>
      </c>
      <c r="N56" s="19">
        <f>CUSTOS!$D$4</f>
        <v>0</v>
      </c>
      <c r="O56" s="19">
        <f>CUSTOS!$D$5</f>
        <v>0</v>
      </c>
      <c r="P56" s="19">
        <f>CUSTOS!$D$6</f>
        <v>0</v>
      </c>
      <c r="Q56" s="19">
        <f>CUSTOS!$D$7</f>
        <v>326721.76126000017</v>
      </c>
      <c r="R56" s="19">
        <f>CUSTOS!$D$8</f>
        <v>123162.64722000006</v>
      </c>
      <c r="S56" s="19">
        <f>CUSTOS!$D$9</f>
        <v>0</v>
      </c>
      <c r="T56" s="19">
        <f>CUSTOS!$D$10</f>
        <v>472178.54029000649</v>
      </c>
      <c r="U56" s="19">
        <f>CUSTOS!$D$11</f>
        <v>0</v>
      </c>
      <c r="V56" s="19">
        <f>IF(SUM(V53:V55)&lt;&gt;0,CUSTOS!$D$12+CUSTOS!$D$16+CUSTOS!$D$17-'TR TUSD'!$Z$54-'TR TUSD'!$AA$54,0)</f>
        <v>0</v>
      </c>
      <c r="W56" s="19">
        <f>CUSTOS!$D$13</f>
        <v>0</v>
      </c>
      <c r="X56" s="19">
        <f>CUSTOS!$D$14</f>
        <v>0</v>
      </c>
      <c r="Y56" s="19">
        <f>IF(SUM(V53:V55)=0,CUSTOS!$D$15+CUSTOS!$D$16+CUSTOS!$D$17-'TR TUSD'!$Z$54-'TR TUSD'!$AA$54,CUSTOS!$D$15)</f>
        <v>1447629.078219</v>
      </c>
      <c r="Z56" s="19">
        <f>Z54</f>
        <v>0</v>
      </c>
      <c r="AA56" s="19">
        <f>AA54</f>
        <v>0</v>
      </c>
      <c r="AB56" s="19">
        <f>CUSTOS!$D$18</f>
        <v>1447629.078219</v>
      </c>
      <c r="AC56" s="19">
        <f>CUSTOS!$D$19</f>
        <v>5374442.8200000003</v>
      </c>
      <c r="AD56" s="19">
        <f>CUSTOS!$D$20</f>
        <v>5374442.8200000003</v>
      </c>
      <c r="AE56" s="19">
        <f>CUSTOS!$D$21</f>
        <v>0</v>
      </c>
      <c r="AF56" s="19">
        <f>CUSTOS!$D$22</f>
        <v>0</v>
      </c>
      <c r="AG56" s="19">
        <f>CUSTOS!$D$23</f>
        <v>0</v>
      </c>
      <c r="AH56" s="19">
        <f>CUSTOS!$D$24</f>
        <v>408027.49405773473</v>
      </c>
      <c r="AI56" s="19">
        <f>CUSTOS!$D$25</f>
        <v>0</v>
      </c>
      <c r="AJ56" s="19">
        <f>CUSTOS!$D$26</f>
        <v>0</v>
      </c>
      <c r="AK56" s="19">
        <f>CUSTOS!$D$27</f>
        <v>0</v>
      </c>
      <c r="AL56" s="19">
        <f>CUSTOS!$D$28</f>
        <v>408027.49405773473</v>
      </c>
      <c r="AM56" s="19">
        <f>CUSTOS!$D$29</f>
        <v>7702277.9325667415</v>
      </c>
    </row>
    <row r="57" spans="1:42" ht="11.25" customHeight="1" x14ac:dyDescent="0.25">
      <c r="K57" s="18" t="s">
        <v>550</v>
      </c>
      <c r="L57" s="19">
        <f>CUSTOS!$E$2</f>
        <v>0</v>
      </c>
      <c r="M57" s="19">
        <f>CUSTOS!$E$3</f>
        <v>-878.65841579449477</v>
      </c>
      <c r="N57" s="19">
        <f>CUSTOS!$E$4</f>
        <v>0</v>
      </c>
      <c r="O57" s="19">
        <f>CUSTOS!$E$5</f>
        <v>0</v>
      </c>
      <c r="P57" s="19">
        <f>CUSTOS!$E$6</f>
        <v>0</v>
      </c>
      <c r="Q57" s="19">
        <f>CUSTOS!$E$7</f>
        <v>-2691.1137489444864</v>
      </c>
      <c r="R57" s="19">
        <f>CUSTOS!$E$8</f>
        <v>-1175.0322466898426</v>
      </c>
      <c r="S57" s="19">
        <f>CUSTOS!$E$9</f>
        <v>0</v>
      </c>
      <c r="T57" s="19">
        <f>CUSTOS!$E$10</f>
        <v>-4744.8044114288241</v>
      </c>
      <c r="U57" s="19">
        <f>CUSTOS!$E$11</f>
        <v>0</v>
      </c>
      <c r="V57" s="19">
        <f>CUSTOS!$E$12</f>
        <v>0</v>
      </c>
      <c r="W57" s="19">
        <f>CUSTOS!$E$13</f>
        <v>0</v>
      </c>
      <c r="X57" s="19">
        <f>CUSTOS!$E$14</f>
        <v>0</v>
      </c>
      <c r="Y57" s="19">
        <f>CUSTOS!$E$15</f>
        <v>53063.032490582591</v>
      </c>
      <c r="Z57" s="19">
        <f>CUSTOS!$E$16</f>
        <v>0</v>
      </c>
      <c r="AA57" s="19">
        <f>CUSTOS!$E$17</f>
        <v>0</v>
      </c>
      <c r="AB57" s="19">
        <f>CUSTOS!$E$18</f>
        <v>53063.032490582591</v>
      </c>
      <c r="AC57" s="19">
        <f>CUSTOS!$E$19</f>
        <v>-1029915.1601314496</v>
      </c>
      <c r="AD57" s="19">
        <f>CUSTOS!$E$20</f>
        <v>-1029915.1601314496</v>
      </c>
      <c r="AE57" s="19">
        <f>CUSTOS!$E$21</f>
        <v>-9235.4301805769501</v>
      </c>
      <c r="AF57" s="19">
        <f>CUSTOS!$E$22</f>
        <v>0</v>
      </c>
      <c r="AG57" s="19">
        <f>CUSTOS!$E$23</f>
        <v>-9235.4301805769501</v>
      </c>
      <c r="AH57" s="19">
        <f>CUSTOS!$E$24</f>
        <v>-19646.636785082319</v>
      </c>
      <c r="AI57" s="19">
        <f>CUSTOS!$E$25</f>
        <v>0</v>
      </c>
      <c r="AJ57" s="19">
        <f>CUSTOS!$E$26</f>
        <v>0</v>
      </c>
      <c r="AK57" s="19">
        <f>CUSTOS!$E$27</f>
        <v>0</v>
      </c>
      <c r="AL57" s="19">
        <f>CUSTOS!$E$28</f>
        <v>-19646.636785082319</v>
      </c>
      <c r="AM57" s="19">
        <f>CUSTOS!$E$29</f>
        <v>-1010478.999017955</v>
      </c>
    </row>
    <row r="58" spans="1:42" ht="11.25" customHeight="1" x14ac:dyDescent="0.25">
      <c r="K58" s="18" t="s">
        <v>551</v>
      </c>
      <c r="L58" s="19">
        <f>CUSTOS!$F$2</f>
        <v>0</v>
      </c>
      <c r="M58" s="19">
        <f>CUSTOS!$F$3</f>
        <v>0</v>
      </c>
      <c r="N58" s="19">
        <f>CUSTOS!$F$4</f>
        <v>0</v>
      </c>
      <c r="O58" s="19">
        <f>CUSTOS!$F$5</f>
        <v>0</v>
      </c>
      <c r="P58" s="19">
        <f>CUSTOS!$F$6</f>
        <v>0</v>
      </c>
      <c r="Q58" s="19">
        <f>CUSTOS!$F$7</f>
        <v>0</v>
      </c>
      <c r="R58" s="19">
        <f>CUSTOS!$F$8</f>
        <v>0</v>
      </c>
      <c r="S58" s="19">
        <f>CUSTOS!$F$9</f>
        <v>0</v>
      </c>
      <c r="T58" s="19">
        <f>CUSTOS!$F$10</f>
        <v>0</v>
      </c>
      <c r="U58" s="19">
        <f>CUSTOS!$F$11</f>
        <v>0</v>
      </c>
      <c r="V58" s="19">
        <f>CUSTOS!$F$12</f>
        <v>0</v>
      </c>
      <c r="W58" s="19">
        <f>CUSTOS!$F$13</f>
        <v>0</v>
      </c>
      <c r="X58" s="19">
        <f>CUSTOS!$F$14</f>
        <v>0</v>
      </c>
      <c r="Y58" s="19">
        <f>CUSTOS!$F$15</f>
        <v>0</v>
      </c>
      <c r="Z58" s="19">
        <f>CUSTOS!$F$16</f>
        <v>0</v>
      </c>
      <c r="AA58" s="19">
        <f>CUSTOS!$F$17</f>
        <v>0</v>
      </c>
      <c r="AB58" s="19">
        <f>CUSTOS!$F$18</f>
        <v>0</v>
      </c>
      <c r="AC58" s="19">
        <f>CUSTOS!$F$19</f>
        <v>0</v>
      </c>
      <c r="AD58" s="19">
        <f>CUSTOS!$F$20</f>
        <v>0</v>
      </c>
      <c r="AE58" s="19">
        <f>CUSTOS!$F$21</f>
        <v>0</v>
      </c>
      <c r="AF58" s="19">
        <f>CUSTOS!$F$22</f>
        <v>0</v>
      </c>
      <c r="AG58" s="19">
        <f>CUSTOS!$F$23</f>
        <v>0</v>
      </c>
      <c r="AH58" s="19">
        <f>CUSTOS!$F$24</f>
        <v>0</v>
      </c>
      <c r="AI58" s="19">
        <f>CUSTOS!$F$25</f>
        <v>0</v>
      </c>
      <c r="AJ58" s="19">
        <f>CUSTOS!$F$26</f>
        <v>0</v>
      </c>
      <c r="AK58" s="19">
        <f>CUSTOS!$F$27</f>
        <v>0</v>
      </c>
      <c r="AL58" s="19">
        <f>CUSTOS!$F$28</f>
        <v>0</v>
      </c>
      <c r="AM58" s="19">
        <f>CUSTOS!$F$29</f>
        <v>0</v>
      </c>
    </row>
    <row r="59" spans="1:42" ht="11.25" customHeight="1" x14ac:dyDescent="0.25">
      <c r="K59" s="18" t="s">
        <v>614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/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/>
      <c r="AC59" s="19">
        <v>0</v>
      </c>
      <c r="AD59" s="19"/>
      <c r="AE59" s="19">
        <v>0</v>
      </c>
      <c r="AF59" s="19">
        <v>0</v>
      </c>
      <c r="AG59" s="19"/>
      <c r="AH59" s="19">
        <v>0</v>
      </c>
      <c r="AI59" s="19">
        <v>0</v>
      </c>
      <c r="AJ59" s="19">
        <v>0</v>
      </c>
      <c r="AK59" s="19">
        <v>0</v>
      </c>
      <c r="AL59" s="19"/>
      <c r="AM59" s="19"/>
    </row>
    <row r="60" spans="1:42" ht="11.25" customHeight="1" x14ac:dyDescent="0.25">
      <c r="K60" s="18" t="s">
        <v>615</v>
      </c>
      <c r="L60" s="19">
        <f t="shared" ref="L60:S60" si="1">IF((L55+L53)&lt;&gt;0,(L56-L54-L59)/(L55+L53),0)</f>
        <v>0</v>
      </c>
      <c r="M60" s="19">
        <f t="shared" si="1"/>
        <v>1.0661388806610927</v>
      </c>
      <c r="N60" s="19">
        <f t="shared" ca="1" si="1"/>
        <v>0</v>
      </c>
      <c r="O60" s="19">
        <f t="shared" si="1"/>
        <v>0</v>
      </c>
      <c r="P60" s="19">
        <f t="shared" si="1"/>
        <v>0</v>
      </c>
      <c r="Q60" s="19">
        <f t="shared" si="1"/>
        <v>40.926100920084259</v>
      </c>
      <c r="R60" s="19">
        <f t="shared" si="1"/>
        <v>15.331583328887247</v>
      </c>
      <c r="S60" s="19">
        <f t="shared" si="1"/>
        <v>0</v>
      </c>
      <c r="T60" s="19"/>
      <c r="U60" s="19">
        <f>IF(U55&lt;&gt;0,(U56-U54-U53-U59)/U55,0)</f>
        <v>0</v>
      </c>
      <c r="V60" s="19">
        <f>IF(V55&lt;&gt;0,(V56-V54-V53-V59)/V55,0)</f>
        <v>0</v>
      </c>
      <c r="W60" s="19">
        <f>IF(W55&lt;&gt;0,(W56-W54-W53-W59)/W55,0)</f>
        <v>0</v>
      </c>
      <c r="X60" s="19">
        <f>IF(X55&lt;&gt;0,(X56-X54-X53-X59)/X55,0)</f>
        <v>0</v>
      </c>
      <c r="Y60" s="19">
        <f>IF(Y55&lt;&gt;0,(Y56-Y54-Y53-Y59)/Y55,0)</f>
        <v>1.1735930217538679</v>
      </c>
      <c r="Z60" s="19"/>
      <c r="AA60" s="19"/>
      <c r="AB60" s="19"/>
      <c r="AC60" s="19">
        <f>IF(AC55&lt;&gt;0,(AC56-AC54-AC53-AC59)/AC55,0)</f>
        <v>1.2700592175569567</v>
      </c>
      <c r="AD60" s="19"/>
      <c r="AE60" s="19">
        <f>IF((AE55+AE53)&lt;&gt;0,(AE56-AE54-AE59)/(AE55+AE53),0)</f>
        <v>0</v>
      </c>
      <c r="AF60" s="19">
        <f>IF((AF55+AF53)&lt;&gt;0,(AF56-AF54-AF59)/(AF55+AF53),0)</f>
        <v>0</v>
      </c>
      <c r="AG60" s="19"/>
      <c r="AH60" s="19">
        <f>IF(AH55&lt;&gt;0,(AH56-AH54-AH53-AH59)/AH55,0)</f>
        <v>1.1918235888471371</v>
      </c>
      <c r="AI60" s="19">
        <f>IF(AI55&lt;&gt;0,(AI56-AI54-AI53-AI59)/AI55,0)</f>
        <v>0</v>
      </c>
      <c r="AJ60" s="19">
        <f ca="1">IF((AJ55+AJ53)&lt;&gt;0,(AJ56-AJ54-AJ59)/(AJ55+AJ53),0)</f>
        <v>0</v>
      </c>
      <c r="AK60" s="19">
        <f ca="1">IF((AK55+AK53)&lt;&gt;0,(AK56-AK54-AK59)/(AK55+AK53),0)</f>
        <v>0</v>
      </c>
      <c r="AL60" s="19"/>
      <c r="AM60" s="19"/>
    </row>
    <row r="62" spans="1:42" ht="11.25" customHeight="1" x14ac:dyDescent="0.25">
      <c r="K62" s="29" t="s">
        <v>619</v>
      </c>
      <c r="L62" s="29" t="s">
        <v>620</v>
      </c>
      <c r="M62" s="29" t="s">
        <v>621</v>
      </c>
      <c r="N62" s="29" t="s">
        <v>622</v>
      </c>
      <c r="O62" s="29" t="s">
        <v>623</v>
      </c>
      <c r="P62" s="29" t="s">
        <v>624</v>
      </c>
    </row>
    <row r="63" spans="1:42" ht="11.25" customHeight="1" x14ac:dyDescent="0.25">
      <c r="K63" s="21" t="s">
        <v>34</v>
      </c>
      <c r="L63" s="21">
        <f ca="1">+(+'TUSD BE'!$L$5+'TUSD BE'!$M$5+'TUSD BE'!$N$5+'TUSD BE'!$O$5+'TUSD BE'!$P$5+'TUSD BE'!$Q$5+'TUSD BE'!$R$5+'TUSD BE'!$S$5+'TUSD BE'!$U$5+'TUSD BE'!$V$5+'TUSD BE'!$W$5+'TUSD BE'!$X$5+'TUSD BE'!$Y$5+'TUSD BE'!$Z$5+'TUSD BE'!$AA$5+'TUSD BE'!$AC$5+'TUSD BE'!$AH$5+'TUSD BE'!$AI$5)*'TUSD BE'!$I$5+(+'TUSD BE'!$L$6+'TUSD BE'!$M$6+'TUSD BE'!$N$6+'TUSD BE'!$O$6+'TUSD BE'!$P$6+'TUSD BE'!$Q$6+'TUSD BE'!$R$6+'TUSD BE'!$S$6+'TUSD BE'!$U$6+'TUSD BE'!$V$6+'TUSD BE'!$W$6+'TUSD BE'!$X$6+'TUSD BE'!$Y$6+'TUSD BE'!$Z$6+'TUSD BE'!$AA$6+'TUSD BE'!$AC$6+'TUSD BE'!$AH$6+'TUSD BE'!$AI$6)*'TUSD BE'!$I$6+(+'TUSD BE'!$L$7+'TUSD BE'!$M$7+'TUSD BE'!$N$7+'TUSD BE'!$O$7+'TUSD BE'!$P$7+'TUSD BE'!$Q$7+'TUSD BE'!$R$7+'TUSD BE'!$S$7+'TUSD BE'!$U$7+'TUSD BE'!$V$7+'TUSD BE'!$W$7+'TUSD BE'!$X$7+'TUSD BE'!$Y$7+'TUSD BE'!$Z$7+'TUSD BE'!$AA$7+'TUSD BE'!$AC$7+'TUSD BE'!$AH$7+'TUSD BE'!$AI$7)*'TUSD BE'!$I$7+(+'TUSD BE'!$L$8+'TUSD BE'!$M$8+'TUSD BE'!$N$8+'TUSD BE'!$O$8+'TUSD BE'!$P$8+'TUSD BE'!$Q$8+'TUSD BE'!$R$8+'TUSD BE'!$S$8+'TUSD BE'!$U$8+'TUSD BE'!$V$8+'TUSD BE'!$W$8+'TUSD BE'!$X$8+'TUSD BE'!$Y$8+'TUSD BE'!$Z$8+'TUSD BE'!$AA$8+'TUSD BE'!$AC$8+'TUSD BE'!$AH$8+'TUSD BE'!$AI$8)*'TUSD BE'!$I$8+(+'TUSD BE'!$L$10+'TUSD BE'!$M$10+'TUSD BE'!$N$10+'TUSD BE'!$O$10+'TUSD BE'!$P$10+'TUSD BE'!$Q$10+'TUSD BE'!$R$10+'TUSD BE'!$S$10+'TUSD BE'!$U$10+'TUSD BE'!$V$10+'TUSD BE'!$W$10+'TUSD BE'!$X$10+'TUSD BE'!$Y$10+'TUSD BE'!$Z$10+'TUSD BE'!$AA$10+'TUSD BE'!$AC$10+'TUSD BE'!$AH$10+'TUSD BE'!$AI$10)*'TUSD BE'!$I$10+(+'TUSD BE'!$L$11+'TUSD BE'!$M$11+'TUSD BE'!$N$11+'TUSD BE'!$O$11+'TUSD BE'!$P$11+'TUSD BE'!$Q$11+'TUSD BE'!$R$11+'TUSD BE'!$S$11+'TUSD BE'!$U$11+'TUSD BE'!$V$11+'TUSD BE'!$W$11+'TUSD BE'!$X$11+'TUSD BE'!$Y$11+'TUSD BE'!$Z$11+'TUSD BE'!$AA$11+'TUSD BE'!$AC$11+'TUSD BE'!$AH$11+'TUSD BE'!$AI$11)*'TUSD BE'!$I$11+(+'TUSD BE'!$L$12+'TUSD BE'!$M$12+'TUSD BE'!$N$12+'TUSD BE'!$O$12+'TUSD BE'!$P$12+'TUSD BE'!$Q$12+'TUSD BE'!$R$12+'TUSD BE'!$S$12+'TUSD BE'!$U$12+'TUSD BE'!$V$12+'TUSD BE'!$W$12+'TUSD BE'!$X$12+'TUSD BE'!$Y$12+'TUSD BE'!$Z$12+'TUSD BE'!$AA$12+'TUSD BE'!$AC$12+'TUSD BE'!$AH$12+'TUSD BE'!$AI$12)*'TUSD BE'!$I$12+(+'TUSD BE'!$L$13+'TUSD BE'!$M$13+'TUSD BE'!$N$13+'TUSD BE'!$O$13+'TUSD BE'!$P$13+'TUSD BE'!$Q$13+'TUSD BE'!$R$13+'TUSD BE'!$S$13+'TUSD BE'!$U$13+'TUSD BE'!$V$13+'TUSD BE'!$W$13+'TUSD BE'!$X$13+'TUSD BE'!$Y$13+'TUSD BE'!$Z$13+'TUSD BE'!$AA$13+'TUSD BE'!$AC$13+'TUSD BE'!$AH$13+'TUSD BE'!$AI$13)*'TUSD BE'!$I$13+(+'TUSD BE'!$L$14+'TUSD BE'!$M$14+'TUSD BE'!$N$14+'TUSD BE'!$O$14+'TUSD BE'!$P$14+'TUSD BE'!$Q$14+'TUSD BE'!$R$14+'TUSD BE'!$S$14+'TUSD BE'!$U$14+'TUSD BE'!$V$14+'TUSD BE'!$W$14+'TUSD BE'!$X$14+'TUSD BE'!$Y$14+'TUSD BE'!$Z$14+'TUSD BE'!$AA$14+'TUSD BE'!$AC$14+'TUSD BE'!$AH$14+'TUSD BE'!$AI$14)*'TUSD BE'!$I$14</f>
        <v>118111.91610777011</v>
      </c>
      <c r="M63" s="21">
        <f>+'TUSD BE'!$I$7+'TUSD BE'!$I$8+'TUSD BE'!$I$11+'TUSD BE'!$I$12+'TUSD BE'!$I$13+'TUSD BE'!$I$14</f>
        <v>312.81799999999998</v>
      </c>
      <c r="N63" s="21">
        <f ca="1">IF(AND($L$70&lt;&gt;0,M63&lt;&gt;0),(L63/$L$70*$AJ$56)/M63,0)</f>
        <v>0</v>
      </c>
      <c r="O63" s="21"/>
      <c r="P63" s="21"/>
    </row>
    <row r="64" spans="1:42" ht="11.25" customHeight="1" x14ac:dyDescent="0.25">
      <c r="K64" s="21" t="s">
        <v>80</v>
      </c>
      <c r="L64" s="21">
        <f ca="1">+$L$65+$L$66+$L$67+$L$68+$L$69</f>
        <v>7584166.0164587181</v>
      </c>
      <c r="M64" s="21">
        <f>+$M$65+$M$66+$M$67+$M$68+$M$69</f>
        <v>10907.864999999998</v>
      </c>
      <c r="N64" s="21">
        <f ca="1">IF(AND($L$70&lt;&gt;0,M64&lt;&gt;0),(L64/$L$70*$AJ$56)/M64,0)</f>
        <v>0</v>
      </c>
      <c r="O64" s="21"/>
      <c r="P64" s="21"/>
    </row>
    <row r="65" spans="11:16" ht="11.25" customHeight="1" x14ac:dyDescent="0.25">
      <c r="K65" s="21" t="s">
        <v>80</v>
      </c>
      <c r="L65" s="21"/>
      <c r="M65" s="21"/>
      <c r="N65" s="21">
        <f ca="1">IF(AND($L$70&lt;&gt;0,M65&lt;&gt;0),(L65/$L$70*$AJ$56)/M65,0)</f>
        <v>0</v>
      </c>
      <c r="O65" s="21"/>
      <c r="P65" s="21"/>
    </row>
    <row r="66" spans="11:16" ht="11.25" customHeight="1" x14ac:dyDescent="0.25">
      <c r="K66" s="21" t="s">
        <v>22</v>
      </c>
      <c r="L66" s="21">
        <f ca="1">+(+'TUSD BE'!$L$17+'TUSD BE'!$M$17+'TUSD BE'!$N$17+'TUSD BE'!$O$17+'TUSD BE'!$P$17+'TUSD BE'!$Q$17+'TUSD BE'!$R$17+'TUSD BE'!$S$17+'TUSD BE'!$U$17+'TUSD BE'!$V$17+'TUSD BE'!$W$17+'TUSD BE'!$X$17+'TUSD BE'!$Y$17+'TUSD BE'!$Z$17+'TUSD BE'!$AA$17+'TUSD BE'!$AC$17+'TUSD BE'!$AH$17+'TUSD BE'!$AI$17)*'TUSD BE'!$I$17+(+'TUSD BE'!$L$18+'TUSD BE'!$M$18+'TUSD BE'!$N$18+'TUSD BE'!$O$18+'TUSD BE'!$P$18+'TUSD BE'!$Q$18+'TUSD BE'!$R$18+'TUSD BE'!$S$18+'TUSD BE'!$U$18+'TUSD BE'!$V$18+'TUSD BE'!$W$18+'TUSD BE'!$X$18+'TUSD BE'!$Y$18+'TUSD BE'!$Z$18+'TUSD BE'!$AA$18+'TUSD BE'!$AC$18+'TUSD BE'!$AH$18+'TUSD BE'!$AI$18)*'TUSD BE'!$I$18+(+'TUSD BE'!$L$19+'TUSD BE'!$M$19+'TUSD BE'!$N$19+'TUSD BE'!$O$19+'TUSD BE'!$P$19+'TUSD BE'!$Q$19+'TUSD BE'!$R$19+'TUSD BE'!$S$19+'TUSD BE'!$U$19+'TUSD BE'!$V$19+'TUSD BE'!$W$19+'TUSD BE'!$X$19+'TUSD BE'!$Y$19+'TUSD BE'!$Z$19+'TUSD BE'!$AA$19+'TUSD BE'!$AC$19+'TUSD BE'!$AH$19+'TUSD BE'!$AI$19)*'TUSD BE'!$I$19+(+'TUSD BE'!$L$20+'TUSD BE'!$M$20+'TUSD BE'!$N$20+'TUSD BE'!$O$20+'TUSD BE'!$P$20+'TUSD BE'!$Q$20+'TUSD BE'!$R$20+'TUSD BE'!$S$20+'TUSD BE'!$U$20+'TUSD BE'!$V$20+'TUSD BE'!$W$20+'TUSD BE'!$X$20+'TUSD BE'!$Y$20+'TUSD BE'!$Z$20+'TUSD BE'!$AA$20+'TUSD BE'!$AC$20+'TUSD BE'!$AH$20+'TUSD BE'!$AI$20)*'TUSD BE'!$I$20+(+'TUSD BE'!$L$21+'TUSD BE'!$M$21+'TUSD BE'!$N$21+'TUSD BE'!$O$21+'TUSD BE'!$P$21+'TUSD BE'!$Q$21+'TUSD BE'!$R$21+'TUSD BE'!$S$21+'TUSD BE'!$U$21+'TUSD BE'!$V$21+'TUSD BE'!$W$21+'TUSD BE'!$X$21+'TUSD BE'!$Y$21+'TUSD BE'!$Z$21+'TUSD BE'!$AA$21+'TUSD BE'!$AC$21+'TUSD BE'!$AH$21+'TUSD BE'!$AI$21)*'TUSD BE'!$I$21+(+'TUSD BE'!$L$22+'TUSD BE'!$M$22+'TUSD BE'!$N$22+'TUSD BE'!$O$22+'TUSD BE'!$P$22+'TUSD BE'!$Q$22+'TUSD BE'!$R$22+'TUSD BE'!$S$22+'TUSD BE'!$U$22+'TUSD BE'!$V$22+'TUSD BE'!$W$22+'TUSD BE'!$X$22+'TUSD BE'!$Y$22+'TUSD BE'!$Z$22+'TUSD BE'!$AA$22+'TUSD BE'!$AC$22+'TUSD BE'!$AH$22+'TUSD BE'!$AI$22)*'TUSD BE'!$I$22+(+'TUSD BE'!$L$23+'TUSD BE'!$M$23+'TUSD BE'!$N$23+'TUSD BE'!$O$23+'TUSD BE'!$P$23+'TUSD BE'!$Q$23+'TUSD BE'!$R$23+'TUSD BE'!$S$23+'TUSD BE'!$U$23+'TUSD BE'!$V$23+'TUSD BE'!$W$23+'TUSD BE'!$X$23+'TUSD BE'!$Y$23+'TUSD BE'!$Z$23+'TUSD BE'!$AA$23+'TUSD BE'!$AC$23+'TUSD BE'!$AH$23+'TUSD BE'!$AI$23)*'TUSD BE'!$I$23+(+'TUSD BE'!$L$24+'TUSD BE'!$M$24+'TUSD BE'!$N$24+'TUSD BE'!$O$24+'TUSD BE'!$P$24+'TUSD BE'!$Q$24+'TUSD BE'!$R$24+'TUSD BE'!$S$24+'TUSD BE'!$U$24+'TUSD BE'!$V$24+'TUSD BE'!$W$24+'TUSD BE'!$X$24+'TUSD BE'!$Y$24+'TUSD BE'!$Z$24+'TUSD BE'!$AA$24+'TUSD BE'!$AC$24+'TUSD BE'!$AH$24+'TUSD BE'!$AI$24)*'TUSD BE'!$I$24+(+'TUSD BE'!$L$25+'TUSD BE'!$M$25+'TUSD BE'!$N$25+'TUSD BE'!$O$25+'TUSD BE'!$P$25+'TUSD BE'!$Q$25+'TUSD BE'!$R$25+'TUSD BE'!$S$25+'TUSD BE'!$U$25+'TUSD BE'!$V$25+'TUSD BE'!$W$25+'TUSD BE'!$X$25+'TUSD BE'!$Y$25+'TUSD BE'!$Z$25+'TUSD BE'!$AA$25+'TUSD BE'!$AC$25+'TUSD BE'!$AH$25+'TUSD BE'!$AI$25)*'TUSD BE'!$I$25+(+'TUSD BE'!$L$26+'TUSD BE'!$M$26+'TUSD BE'!$N$26+'TUSD BE'!$O$26+'TUSD BE'!$P$26+'TUSD BE'!$Q$26+'TUSD BE'!$R$26+'TUSD BE'!$S$26+'TUSD BE'!$U$26+'TUSD BE'!$V$26+'TUSD BE'!$W$26+'TUSD BE'!$X$26+'TUSD BE'!$Y$26+'TUSD BE'!$Z$26+'TUSD BE'!$AA$26+'TUSD BE'!$AC$26+'TUSD BE'!$AH$26+'TUSD BE'!$AI$26)*'TUSD BE'!$I$26+(+'TUSD BE'!$L$27+'TUSD BE'!$M$27+'TUSD BE'!$N$27+'TUSD BE'!$O$27+'TUSD BE'!$P$27+'TUSD BE'!$Q$27+'TUSD BE'!$R$27+'TUSD BE'!$S$27+'TUSD BE'!$U$27+'TUSD BE'!$V$27+'TUSD BE'!$W$27+'TUSD BE'!$X$27+'TUSD BE'!$Y$27+'TUSD BE'!$Z$27+'TUSD BE'!$AA$27+'TUSD BE'!$AC$27+'TUSD BE'!$AH$27+'TUSD BE'!$AI$27)*'TUSD BE'!$I$27+(+'TUSD BE'!$L$28+'TUSD BE'!$M$28+'TUSD BE'!$N$28+'TUSD BE'!$O$28+'TUSD BE'!$P$28+'TUSD BE'!$Q$28+'TUSD BE'!$R$28+'TUSD BE'!$S$28+'TUSD BE'!$U$28+'TUSD BE'!$V$28+'TUSD BE'!$W$28+'TUSD BE'!$X$28+'TUSD BE'!$Y$28+'TUSD BE'!$Z$28+'TUSD BE'!$AA$28+'TUSD BE'!$AC$28+'TUSD BE'!$AH$28+'TUSD BE'!$AI$28)*'TUSD BE'!$I$28+(+'TUSD BE'!$L$29+'TUSD BE'!$M$29+'TUSD BE'!$N$29+'TUSD BE'!$O$29+'TUSD BE'!$P$29+'TUSD BE'!$Q$29+'TUSD BE'!$R$29+'TUSD BE'!$S$29+'TUSD BE'!$U$29+'TUSD BE'!$V$29+'TUSD BE'!$W$29+'TUSD BE'!$X$29+'TUSD BE'!$Y$29+'TUSD BE'!$Z$29+'TUSD BE'!$AA$29+'TUSD BE'!$AC$29+'TUSD BE'!$AH$29+'TUSD BE'!$AI$29)*'TUSD BE'!$I$29</f>
        <v>3658842.5873417282</v>
      </c>
      <c r="M66" s="21">
        <f>+'TUSD BE'!$I$17+'TUSD BE'!$I$18+'TUSD BE'!$I$19+'TUSD BE'!$I$20+'TUSD BE'!$I$21+'TUSD BE'!$I$22+'TUSD BE'!$I$23+'TUSD BE'!$I$24+'TUSD BE'!$I$25+'TUSD BE'!$I$26+'TUSD BE'!$I$27+'TUSD BE'!$I$28+'TUSD BE'!$I$29</f>
        <v>5025.9309999999996</v>
      </c>
      <c r="N66" s="21"/>
      <c r="O66" s="21"/>
      <c r="P66" s="21"/>
    </row>
    <row r="67" spans="11:16" ht="11.25" customHeight="1" x14ac:dyDescent="0.25">
      <c r="K67" s="21" t="s">
        <v>41</v>
      </c>
      <c r="L67" s="21">
        <f ca="1">+(+'TUSD BE'!$L$30+'TUSD BE'!$M$30+'TUSD BE'!$N$30+'TUSD BE'!$O$30+'TUSD BE'!$P$30+'TUSD BE'!$Q$30+'TUSD BE'!$R$30+'TUSD BE'!$S$30+'TUSD BE'!$U$30+'TUSD BE'!$V$30+'TUSD BE'!$W$30+'TUSD BE'!$X$30+'TUSD BE'!$Y$30+'TUSD BE'!$Z$30+'TUSD BE'!$AA$30+'TUSD BE'!$AC$30+'TUSD BE'!$AH$30+'TUSD BE'!$AI$30)*'TUSD BE'!$I$30+(+'TUSD BE'!$L$31+'TUSD BE'!$M$31+'TUSD BE'!$N$31+'TUSD BE'!$O$31+'TUSD BE'!$P$31+'TUSD BE'!$Q$31+'TUSD BE'!$R$31+'TUSD BE'!$S$31+'TUSD BE'!$U$31+'TUSD BE'!$V$31+'TUSD BE'!$W$31+'TUSD BE'!$X$31+'TUSD BE'!$Y$31+'TUSD BE'!$Z$31+'TUSD BE'!$AA$31+'TUSD BE'!$AC$31+'TUSD BE'!$AH$31+'TUSD BE'!$AI$31)*'TUSD BE'!$I$31+(+'TUSD BE'!$L$32+'TUSD BE'!$M$32+'TUSD BE'!$N$32+'TUSD BE'!$O$32+'TUSD BE'!$P$32+'TUSD BE'!$Q$32+'TUSD BE'!$R$32+'TUSD BE'!$S$32+'TUSD BE'!$U$32+'TUSD BE'!$V$32+'TUSD BE'!$W$32+'TUSD BE'!$X$32+'TUSD BE'!$Y$32+'TUSD BE'!$Z$32+'TUSD BE'!$AA$32+'TUSD BE'!$AC$32+'TUSD BE'!$AH$32+'TUSD BE'!$AI$32)*'TUSD BE'!$I$32+(+'TUSD BE'!$L$33+'TUSD BE'!$M$33+'TUSD BE'!$N$33+'TUSD BE'!$O$33+'TUSD BE'!$P$33+'TUSD BE'!$Q$33+'TUSD BE'!$R$33+'TUSD BE'!$S$33+'TUSD BE'!$U$33+'TUSD BE'!$V$33+'TUSD BE'!$W$33+'TUSD BE'!$X$33+'TUSD BE'!$Y$33+'TUSD BE'!$Z$33+'TUSD BE'!$AA$33+'TUSD BE'!$AC$33+'TUSD BE'!$AH$33+'TUSD BE'!$AI$33)*'TUSD BE'!$I$33+(+'TUSD BE'!$L$34+'TUSD BE'!$M$34+'TUSD BE'!$N$34+'TUSD BE'!$O$34+'TUSD BE'!$P$34+'TUSD BE'!$Q$34+'TUSD BE'!$R$34+'TUSD BE'!$S$34+'TUSD BE'!$U$34+'TUSD BE'!$V$34+'TUSD BE'!$W$34+'TUSD BE'!$X$34+'TUSD BE'!$Y$34+'TUSD BE'!$Z$34+'TUSD BE'!$AA$34+'TUSD BE'!$AC$34+'TUSD BE'!$AH$34+'TUSD BE'!$AI$34)*'TUSD BE'!$I$34+(+'TUSD BE'!$L$35+'TUSD BE'!$M$35+'TUSD BE'!$N$35+'TUSD BE'!$O$35+'TUSD BE'!$P$35+'TUSD BE'!$Q$35+'TUSD BE'!$R$35+'TUSD BE'!$S$35+'TUSD BE'!$U$35+'TUSD BE'!$V$35+'TUSD BE'!$W$35+'TUSD BE'!$X$35+'TUSD BE'!$Y$35+'TUSD BE'!$Z$35+'TUSD BE'!$AA$35+'TUSD BE'!$AC$35+'TUSD BE'!$AH$35+'TUSD BE'!$AI$35)*'TUSD BE'!$I$35+(+'TUSD BE'!$L$36+'TUSD BE'!$M$36+'TUSD BE'!$N$36+'TUSD BE'!$O$36+'TUSD BE'!$P$36+'TUSD BE'!$Q$36+'TUSD BE'!$R$36+'TUSD BE'!$S$36+'TUSD BE'!$U$36+'TUSD BE'!$V$36+'TUSD BE'!$W$36+'TUSD BE'!$X$36+'TUSD BE'!$Y$36+'TUSD BE'!$Z$36+'TUSD BE'!$AA$36+'TUSD BE'!$AC$36+'TUSD BE'!$AH$36+'TUSD BE'!$AI$36)*'TUSD BE'!$I$36+(+'TUSD BE'!$L$37+'TUSD BE'!$M$37+'TUSD BE'!$N$37+'TUSD BE'!$O$37+'TUSD BE'!$P$37+'TUSD BE'!$Q$37+'TUSD BE'!$R$37+'TUSD BE'!$S$37+'TUSD BE'!$U$37+'TUSD BE'!$V$37+'TUSD BE'!$W$37+'TUSD BE'!$X$37+'TUSD BE'!$Y$37+'TUSD BE'!$Z$37+'TUSD BE'!$AA$37+'TUSD BE'!$AC$37+'TUSD BE'!$AH$37+'TUSD BE'!$AI$37)*'TUSD BE'!$I$37+(+'TUSD BE'!$L$38+'TUSD BE'!$M$38+'TUSD BE'!$N$38+'TUSD BE'!$O$38+'TUSD BE'!$P$38+'TUSD BE'!$Q$38+'TUSD BE'!$R$38+'TUSD BE'!$S$38+'TUSD BE'!$U$38+'TUSD BE'!$V$38+'TUSD BE'!$W$38+'TUSD BE'!$X$38+'TUSD BE'!$Y$38+'TUSD BE'!$Z$38+'TUSD BE'!$AA$38+'TUSD BE'!$AC$38+'TUSD BE'!$AH$38+'TUSD BE'!$AI$38)*'TUSD BE'!$I$38+(+'TUSD BE'!$L$39+'TUSD BE'!$M$39+'TUSD BE'!$N$39+'TUSD BE'!$O$39+'TUSD BE'!$P$39+'TUSD BE'!$Q$39+'TUSD BE'!$R$39+'TUSD BE'!$S$39+'TUSD BE'!$U$39+'TUSD BE'!$V$39+'TUSD BE'!$W$39+'TUSD BE'!$X$39+'TUSD BE'!$Y$39+'TUSD BE'!$Z$39+'TUSD BE'!$AA$39+'TUSD BE'!$AC$39+'TUSD BE'!$AH$39+'TUSD BE'!$AI$39)*'TUSD BE'!$I$39+(+'TUSD BE'!$L$40+'TUSD BE'!$M$40+'TUSD BE'!$N$40+'TUSD BE'!$O$40+'TUSD BE'!$P$40+'TUSD BE'!$Q$40+'TUSD BE'!$R$40+'TUSD BE'!$S$40+'TUSD BE'!$U$40+'TUSD BE'!$V$40+'TUSD BE'!$W$40+'TUSD BE'!$X$40+'TUSD BE'!$Y$40+'TUSD BE'!$Z$40+'TUSD BE'!$AA$40+'TUSD BE'!$AC$40+'TUSD BE'!$AH$40+'TUSD BE'!$AI$40)*'TUSD BE'!$I$40+(+'TUSD BE'!$L$41+'TUSD BE'!$M$41+'TUSD BE'!$N$41+'TUSD BE'!$O$41+'TUSD BE'!$P$41+'TUSD BE'!$Q$41+'TUSD BE'!$R$41+'TUSD BE'!$S$41+'TUSD BE'!$U$41+'TUSD BE'!$V$41+'TUSD BE'!$W$41+'TUSD BE'!$X$41+'TUSD BE'!$Y$41+'TUSD BE'!$Z$41+'TUSD BE'!$AA$41+'TUSD BE'!$AC$41+'TUSD BE'!$AH$41+'TUSD BE'!$AI$41)*'TUSD BE'!$I$41+(+'TUSD BE'!$L$42+'TUSD BE'!$M$42+'TUSD BE'!$N$42+'TUSD BE'!$O$42+'TUSD BE'!$P$42+'TUSD BE'!$Q$42+'TUSD BE'!$R$42+'TUSD BE'!$S$42+'TUSD BE'!$U$42+'TUSD BE'!$V$42+'TUSD BE'!$W$42+'TUSD BE'!$X$42+'TUSD BE'!$Y$42+'TUSD BE'!$Z$42+'TUSD BE'!$AA$42+'TUSD BE'!$AC$42+'TUSD BE'!$AH$42+'TUSD BE'!$AI$42)*'TUSD BE'!$I$42+(+'TUSD BE'!$L$43+'TUSD BE'!$M$43+'TUSD BE'!$N$43+'TUSD BE'!$O$43+'TUSD BE'!$P$43+'TUSD BE'!$Q$43+'TUSD BE'!$R$43+'TUSD BE'!$S$43+'TUSD BE'!$U$43+'TUSD BE'!$V$43+'TUSD BE'!$W$43+'TUSD BE'!$X$43+'TUSD BE'!$Y$43+'TUSD BE'!$Z$43+'TUSD BE'!$AA$43+'TUSD BE'!$AC$43+'TUSD BE'!$AH$43+'TUSD BE'!$AI$43)*'TUSD BE'!$I$43+(+'TUSD BE'!$L$44+'TUSD BE'!$M$44+'TUSD BE'!$N$44+'TUSD BE'!$O$44+'TUSD BE'!$P$44+'TUSD BE'!$Q$44+'TUSD BE'!$R$44+'TUSD BE'!$S$44+'TUSD BE'!$U$44+'TUSD BE'!$V$44+'TUSD BE'!$W$44+'TUSD BE'!$X$44+'TUSD BE'!$Y$44+'TUSD BE'!$Z$44+'TUSD BE'!$AA$44+'TUSD BE'!$AC$44+'TUSD BE'!$AH$44+'TUSD BE'!$AI$44)*'TUSD BE'!$I$44</f>
        <v>1936402.2208786344</v>
      </c>
      <c r="M67" s="21">
        <f>+'TUSD BE'!$I$30+'TUSD BE'!$I$31+'TUSD BE'!$I$32+'TUSD BE'!$I$33+'TUSD BE'!$I$34+'TUSD BE'!$I$35+'TUSD BE'!$I$36+'TUSD BE'!$I$37+'TUSD BE'!$I$38+'TUSD BE'!$I$39+'TUSD BE'!$I$40+'TUSD BE'!$I$41+'TUSD BE'!$I$42+'TUSD BE'!$I$43+'TUSD BE'!$I$44</f>
        <v>2567.0719999999997</v>
      </c>
      <c r="N67" s="21"/>
      <c r="O67" s="21"/>
      <c r="P67" s="21"/>
    </row>
    <row r="68" spans="11:16" ht="11.25" customHeight="1" x14ac:dyDescent="0.25">
      <c r="K68" s="21" t="s">
        <v>32</v>
      </c>
      <c r="L68" s="21">
        <f ca="1">+(+'TUSD BE'!$L$45+'TUSD BE'!$M$45+'TUSD BE'!$N$45+'TUSD BE'!$O$45+'TUSD BE'!$P$45+'TUSD BE'!$Q$45+'TUSD BE'!$R$45+'TUSD BE'!$S$45+'TUSD BE'!$U$45+'TUSD BE'!$V$45+'TUSD BE'!$W$45+'TUSD BE'!$X$45+'TUSD BE'!$Y$45+'TUSD BE'!$Z$45+'TUSD BE'!$AA$45+'TUSD BE'!$AC$45+'TUSD BE'!$AH$45+'TUSD BE'!$AI$45)*'TUSD BE'!$I$45+(+'TUSD BE'!$L$46+'TUSD BE'!$M$46+'TUSD BE'!$N$46+'TUSD BE'!$O$46+'TUSD BE'!$P$46+'TUSD BE'!$Q$46+'TUSD BE'!$R$46+'TUSD BE'!$S$46+'TUSD BE'!$U$46+'TUSD BE'!$V$46+'TUSD BE'!$W$46+'TUSD BE'!$X$46+'TUSD BE'!$Y$46+'TUSD BE'!$Z$46+'TUSD BE'!$AA$46+'TUSD BE'!$AC$46+'TUSD BE'!$AH$46+'TUSD BE'!$AI$46)*'TUSD BE'!$I$46+(+'TUSD BE'!$L$47+'TUSD BE'!$M$47+'TUSD BE'!$N$47+'TUSD BE'!$O$47+'TUSD BE'!$P$47+'TUSD BE'!$Q$47+'TUSD BE'!$R$47+'TUSD BE'!$S$47+'TUSD BE'!$U$47+'TUSD BE'!$V$47+'TUSD BE'!$W$47+'TUSD BE'!$X$47+'TUSD BE'!$Y$47+'TUSD BE'!$Z$47+'TUSD BE'!$AA$47+'TUSD BE'!$AC$47+'TUSD BE'!$AH$47+'TUSD BE'!$AI$47)*'TUSD BE'!$I$47+(+'TUSD BE'!$L$48+'TUSD BE'!$M$48+'TUSD BE'!$N$48+'TUSD BE'!$O$48+'TUSD BE'!$P$48+'TUSD BE'!$Q$48+'TUSD BE'!$R$48+'TUSD BE'!$S$48+'TUSD BE'!$U$48+'TUSD BE'!$V$48+'TUSD BE'!$W$48+'TUSD BE'!$X$48+'TUSD BE'!$Y$48+'TUSD BE'!$Z$48+'TUSD BE'!$AA$48+'TUSD BE'!$AC$48+'TUSD BE'!$AH$48+'TUSD BE'!$AI$48)*'TUSD BE'!$I$48+(+'TUSD BE'!$L$49+'TUSD BE'!$M$49+'TUSD BE'!$N$49+'TUSD BE'!$O$49+'TUSD BE'!$P$49+'TUSD BE'!$Q$49+'TUSD BE'!$R$49+'TUSD BE'!$S$49+'TUSD BE'!$U$49+'TUSD BE'!$V$49+'TUSD BE'!$W$49+'TUSD BE'!$X$49+'TUSD BE'!$Y$49+'TUSD BE'!$Z$49+'TUSD BE'!$AA$49+'TUSD BE'!$AC$49+'TUSD BE'!$AH$49+'TUSD BE'!$AI$49)*'TUSD BE'!$I$49</f>
        <v>1357646.0724601885</v>
      </c>
      <c r="M68" s="21">
        <f>+'TUSD BE'!$I$45+'TUSD BE'!$I$46+'TUSD BE'!$I$47+'TUSD BE'!$I$48+'TUSD BE'!$I$49</f>
        <v>1796.7940000000001</v>
      </c>
      <c r="N68" s="21"/>
      <c r="O68" s="21"/>
      <c r="P68" s="21"/>
    </row>
    <row r="69" spans="11:16" ht="11.25" customHeight="1" x14ac:dyDescent="0.25">
      <c r="K69" s="21" t="s">
        <v>44</v>
      </c>
      <c r="L69" s="21">
        <f ca="1">+(+'TUSD BE'!$L$50+'TUSD BE'!$M$50+'TUSD BE'!$N$50+'TUSD BE'!$O$50+'TUSD BE'!$P$50+'TUSD BE'!$Q$50+'TUSD BE'!$R$50+'TUSD BE'!$S$50+'TUSD BE'!$U$50+'TUSD BE'!$V$50+'TUSD BE'!$W$50+'TUSD BE'!$X$50+'TUSD BE'!$Y$50+'TUSD BE'!$Z$50+'TUSD BE'!$AA$50+'TUSD BE'!$AC$50+'TUSD BE'!$AH$50+'TUSD BE'!$AI$50)*'TUSD BE'!$I$50+(+'TUSD BE'!$L$51+'TUSD BE'!$M$51+'TUSD BE'!$N$51+'TUSD BE'!$O$51+'TUSD BE'!$P$51+'TUSD BE'!$Q$51+'TUSD BE'!$R$51+'TUSD BE'!$S$51+'TUSD BE'!$U$51+'TUSD BE'!$V$51+'TUSD BE'!$W$51+'TUSD BE'!$X$51+'TUSD BE'!$Y$51+'TUSD BE'!$Z$51+'TUSD BE'!$AA$51+'TUSD BE'!$AC$51+'TUSD BE'!$AH$51+'TUSD BE'!$AI$51)*'TUSD BE'!$I$51</f>
        <v>631275.13577816729</v>
      </c>
      <c r="M69" s="21">
        <f>+'TUSD BE'!$I$50+'TUSD BE'!$I$51</f>
        <v>1518.0680000000002</v>
      </c>
      <c r="N69" s="21"/>
      <c r="O69" s="21"/>
      <c r="P69" s="21"/>
    </row>
    <row r="70" spans="11:16" ht="11.25" customHeight="1" x14ac:dyDescent="0.25">
      <c r="K70" s="21"/>
      <c r="L70" s="21">
        <f ca="1">SUM($L$63:$L$69,-$L$64)</f>
        <v>7702277.9325664882</v>
      </c>
      <c r="M70" s="21">
        <f>SUM($M$63:$M$69,-$M$64)</f>
        <v>11220.683000000001</v>
      </c>
      <c r="N70" s="21"/>
      <c r="O70" s="21"/>
      <c r="P70" s="21"/>
    </row>
  </sheetData>
  <mergeCells count="73">
    <mergeCell ref="E5:E7"/>
    <mergeCell ref="F5:F7"/>
    <mergeCell ref="B10:B14"/>
    <mergeCell ref="C10:C14"/>
    <mergeCell ref="A15:A16"/>
    <mergeCell ref="B15:B16"/>
    <mergeCell ref="C15:C16"/>
    <mergeCell ref="D15:D16"/>
    <mergeCell ref="A5:A14"/>
    <mergeCell ref="B5:B8"/>
    <mergeCell ref="C5:C8"/>
    <mergeCell ref="D5:D8"/>
    <mergeCell ref="D10:D14"/>
    <mergeCell ref="E10:E12"/>
    <mergeCell ref="F10:F12"/>
    <mergeCell ref="E13:E14"/>
    <mergeCell ref="F13:F14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E38:E40"/>
    <mergeCell ref="F38:F40"/>
    <mergeCell ref="A30:A44"/>
    <mergeCell ref="B30:B32"/>
    <mergeCell ref="C30:C32"/>
    <mergeCell ref="D30:D32"/>
    <mergeCell ref="E30:E32"/>
    <mergeCell ref="F30:F32"/>
    <mergeCell ref="B34:B36"/>
    <mergeCell ref="C34:C36"/>
    <mergeCell ref="D34:D36"/>
    <mergeCell ref="E34:E36"/>
    <mergeCell ref="F1:F4"/>
    <mergeCell ref="E45:E47"/>
    <mergeCell ref="F45:F47"/>
    <mergeCell ref="A50:A51"/>
    <mergeCell ref="B50:B51"/>
    <mergeCell ref="C50:C51"/>
    <mergeCell ref="B42:B44"/>
    <mergeCell ref="C42:C44"/>
    <mergeCell ref="A45:A49"/>
    <mergeCell ref="B45:B47"/>
    <mergeCell ref="C45:C47"/>
    <mergeCell ref="D45:D47"/>
    <mergeCell ref="F34:F36"/>
    <mergeCell ref="B38:B40"/>
    <mergeCell ref="C38:C40"/>
    <mergeCell ref="D38:D40"/>
    <mergeCell ref="A1:A4"/>
    <mergeCell ref="B1:B4"/>
    <mergeCell ref="C1:C4"/>
    <mergeCell ref="D1:D4"/>
    <mergeCell ref="E1:E4"/>
    <mergeCell ref="AH3:AL3"/>
    <mergeCell ref="AM3:AM4"/>
    <mergeCell ref="AP1:AP4"/>
    <mergeCell ref="G1:G4"/>
    <mergeCell ref="H1:H4"/>
    <mergeCell ref="I1:I4"/>
    <mergeCell ref="J1:J4"/>
    <mergeCell ref="L1:AM1"/>
    <mergeCell ref="L2:AM2"/>
    <mergeCell ref="L3:T3"/>
    <mergeCell ref="U3:AB3"/>
    <mergeCell ref="AC3:AD3"/>
    <mergeCell ref="AE3:AG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52A0C-1929-4B04-AE51-49A2006E9801}">
  <dimension ref="A1:AP58"/>
  <sheetViews>
    <sheetView showGridLines="0" topLeftCell="L29" workbookViewId="0">
      <selection activeCell="AM53" sqref="AM53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9" width="8.7109375" style="9" bestFit="1" customWidth="1"/>
    <col min="20" max="20" width="9.28515625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5703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570312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128" t="s">
        <v>59</v>
      </c>
      <c r="B1" s="128" t="s">
        <v>60</v>
      </c>
      <c r="C1" s="128" t="s">
        <v>61</v>
      </c>
      <c r="D1" s="128" t="s">
        <v>62</v>
      </c>
      <c r="E1" s="128" t="s">
        <v>63</v>
      </c>
      <c r="F1" s="128" t="s">
        <v>15</v>
      </c>
      <c r="G1" s="128" t="s">
        <v>65</v>
      </c>
      <c r="H1" s="128" t="s">
        <v>66</v>
      </c>
      <c r="I1" s="128" t="s">
        <v>608</v>
      </c>
      <c r="J1" s="119"/>
      <c r="L1" s="129" t="s">
        <v>616</v>
      </c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P1" s="129" t="s">
        <v>610</v>
      </c>
    </row>
    <row r="2" spans="1:42" ht="11.25" customHeight="1" x14ac:dyDescent="0.25">
      <c r="A2" s="128"/>
      <c r="B2" s="128"/>
      <c r="C2" s="128"/>
      <c r="D2" s="128"/>
      <c r="E2" s="128"/>
      <c r="F2" s="128"/>
      <c r="G2" s="128"/>
      <c r="H2" s="128"/>
      <c r="I2" s="128"/>
      <c r="J2" s="119"/>
      <c r="L2" s="129" t="s">
        <v>508</v>
      </c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P2" s="130"/>
    </row>
    <row r="3" spans="1:42" ht="11.25" customHeight="1" x14ac:dyDescent="0.25">
      <c r="A3" s="128"/>
      <c r="B3" s="128"/>
      <c r="C3" s="128"/>
      <c r="D3" s="128"/>
      <c r="E3" s="128"/>
      <c r="F3" s="128"/>
      <c r="G3" s="128"/>
      <c r="H3" s="128"/>
      <c r="I3" s="128"/>
      <c r="J3" s="119"/>
      <c r="L3" s="129" t="s">
        <v>509</v>
      </c>
      <c r="M3" s="129"/>
      <c r="N3" s="129"/>
      <c r="O3" s="129"/>
      <c r="P3" s="129"/>
      <c r="Q3" s="129"/>
      <c r="R3" s="129"/>
      <c r="S3" s="129"/>
      <c r="T3" s="129"/>
      <c r="U3" s="129" t="s">
        <v>518</v>
      </c>
      <c r="V3" s="129"/>
      <c r="W3" s="129"/>
      <c r="X3" s="129"/>
      <c r="Y3" s="129"/>
      <c r="Z3" s="129"/>
      <c r="AA3" s="129"/>
      <c r="AB3" s="129"/>
      <c r="AC3" s="129" t="s">
        <v>526</v>
      </c>
      <c r="AD3" s="129"/>
      <c r="AE3" s="129" t="s">
        <v>528</v>
      </c>
      <c r="AF3" s="129"/>
      <c r="AG3" s="129"/>
      <c r="AH3" s="129" t="s">
        <v>531</v>
      </c>
      <c r="AI3" s="129"/>
      <c r="AJ3" s="129"/>
      <c r="AK3" s="129"/>
      <c r="AL3" s="129"/>
      <c r="AM3" s="129" t="s">
        <v>517</v>
      </c>
      <c r="AP3" s="130"/>
    </row>
    <row r="4" spans="1:42" ht="11.25" customHeight="1" x14ac:dyDescent="0.25">
      <c r="A4" s="128"/>
      <c r="B4" s="128"/>
      <c r="C4" s="128"/>
      <c r="D4" s="128"/>
      <c r="E4" s="128"/>
      <c r="F4" s="128"/>
      <c r="G4" s="128"/>
      <c r="H4" s="128"/>
      <c r="I4" s="128"/>
      <c r="J4" s="119"/>
      <c r="L4" s="23" t="s">
        <v>593</v>
      </c>
      <c r="M4" s="23" t="s">
        <v>510</v>
      </c>
      <c r="N4" s="23" t="s">
        <v>511</v>
      </c>
      <c r="O4" s="23" t="s">
        <v>512</v>
      </c>
      <c r="P4" s="23" t="s">
        <v>513</v>
      </c>
      <c r="Q4" s="23" t="s">
        <v>514</v>
      </c>
      <c r="R4" s="23" t="s">
        <v>515</v>
      </c>
      <c r="S4" s="23" t="s">
        <v>516</v>
      </c>
      <c r="T4" s="23" t="s">
        <v>517</v>
      </c>
      <c r="U4" s="23" t="s">
        <v>519</v>
      </c>
      <c r="V4" s="23" t="s">
        <v>520</v>
      </c>
      <c r="W4" s="23" t="s">
        <v>521</v>
      </c>
      <c r="X4" s="23" t="s">
        <v>522</v>
      </c>
      <c r="Y4" s="23" t="s">
        <v>523</v>
      </c>
      <c r="Z4" s="23" t="s">
        <v>524</v>
      </c>
      <c r="AA4" s="23" t="s">
        <v>525</v>
      </c>
      <c r="AB4" s="23" t="s">
        <v>517</v>
      </c>
      <c r="AC4" s="23" t="s">
        <v>527</v>
      </c>
      <c r="AD4" s="23" t="s">
        <v>517</v>
      </c>
      <c r="AE4" s="23" t="s">
        <v>529</v>
      </c>
      <c r="AF4" s="23" t="s">
        <v>530</v>
      </c>
      <c r="AG4" s="23" t="s">
        <v>517</v>
      </c>
      <c r="AH4" s="23" t="s">
        <v>532</v>
      </c>
      <c r="AI4" s="23" t="s">
        <v>533</v>
      </c>
      <c r="AJ4" s="23" t="s">
        <v>534</v>
      </c>
      <c r="AK4" s="23" t="s">
        <v>535</v>
      </c>
      <c r="AL4" s="23" t="s">
        <v>517</v>
      </c>
      <c r="AM4" s="131"/>
      <c r="AP4" s="130"/>
    </row>
    <row r="5" spans="1:42" ht="11.25" customHeight="1" x14ac:dyDescent="0.25">
      <c r="A5" s="132" t="s">
        <v>34</v>
      </c>
      <c r="B5" s="132" t="s">
        <v>74</v>
      </c>
      <c r="C5" s="132" t="s">
        <v>25</v>
      </c>
      <c r="D5" s="132" t="s">
        <v>25</v>
      </c>
      <c r="E5" s="132" t="s">
        <v>25</v>
      </c>
      <c r="F5" s="132" t="s">
        <v>25</v>
      </c>
      <c r="G5" s="21" t="s">
        <v>76</v>
      </c>
      <c r="H5" s="21" t="s">
        <v>75</v>
      </c>
      <c r="I5" s="21">
        <f>'MERCADO TUSD'!$U$2</f>
        <v>0</v>
      </c>
      <c r="J5" s="17"/>
      <c r="L5" s="20">
        <f>'TR TUSD'!$L$5*'TR TUSD'!$L$60</f>
        <v>0</v>
      </c>
      <c r="M5" s="20">
        <f>'TR TUSD'!$M$5*'TR TUSD'!$M$60</f>
        <v>0</v>
      </c>
      <c r="N5" s="20">
        <f ca="1">'TR TUSD'!$N$5*'TR TUSD'!$N$60</f>
        <v>0</v>
      </c>
      <c r="O5" s="20">
        <f>'TR TUSD'!$O$5*'TR TUSD'!$O$60</f>
        <v>0</v>
      </c>
      <c r="P5" s="20">
        <f>'TR TUSD'!$P$5*'TR TUSD'!$P$60</f>
        <v>0</v>
      </c>
      <c r="Q5" s="20">
        <f>'TR TUSD'!$Q$5*'TR TUSD'!$Q$60</f>
        <v>0</v>
      </c>
      <c r="R5" s="20">
        <f>'TR TUSD'!$R$5*'TR TUSD'!$R$60</f>
        <v>0</v>
      </c>
      <c r="S5" s="20">
        <f>'TR TUSD'!$S$5*'TR TUSD'!$S$60</f>
        <v>0</v>
      </c>
      <c r="T5" s="20">
        <f ca="1">SUM($L$5:$S$5)</f>
        <v>0</v>
      </c>
      <c r="U5" s="20">
        <f>'TR TUSD'!$U$5*'TR TUSD'!$U$60</f>
        <v>0</v>
      </c>
      <c r="V5" s="20">
        <f>'TR TUSD'!$V$5*'TR TUSD'!$V$60</f>
        <v>0</v>
      </c>
      <c r="W5" s="20">
        <f>'TR TUSD'!$W$5*'TR TUSD'!$W$60</f>
        <v>0</v>
      </c>
      <c r="X5" s="20">
        <f>'TR TUSD'!$X$5*'TR TUSD'!$X$60</f>
        <v>0</v>
      </c>
      <c r="Y5" s="20">
        <f>'TR TUSD'!$Y$5*'TR TUSD'!$Y$60</f>
        <v>89.148942555676015</v>
      </c>
      <c r="Z5" s="20">
        <f>'TR TUSD'!$Z$5</f>
        <v>0</v>
      </c>
      <c r="AA5" s="20">
        <f>'TR TUSD'!$AA$5</f>
        <v>0</v>
      </c>
      <c r="AB5" s="20">
        <f>SUM($U$5:$AA$5)</f>
        <v>89.148942555676015</v>
      </c>
      <c r="AC5" s="20">
        <f>'TR TUSD'!$AC$5*'TR TUSD'!$AC$60</f>
        <v>105.92141467318912</v>
      </c>
      <c r="AD5" s="20">
        <f>SUM($AC$5:$AC$5)</f>
        <v>105.92141467318912</v>
      </c>
      <c r="AE5" s="20">
        <v>0</v>
      </c>
      <c r="AF5" s="20">
        <v>0</v>
      </c>
      <c r="AG5" s="20">
        <f>SUM($AE$5:$AF$5)</f>
        <v>0</v>
      </c>
      <c r="AH5" s="20">
        <f>'TR TUSD'!$AH$5*'TR TUSD'!$AH$60</f>
        <v>0</v>
      </c>
      <c r="AI5" s="20">
        <f>'TR TUSD'!$AI$5*'TR TUSD'!$AI$60</f>
        <v>0</v>
      </c>
      <c r="AJ5" s="20">
        <f ca="1">'TR TUSD'!$AJ$5*'TR TUSD'!$AJ$60</f>
        <v>0</v>
      </c>
      <c r="AK5" s="20">
        <f ca="1">'TR TUSD'!$AK$5*'TR TUSD'!$AK$60</f>
        <v>0</v>
      </c>
      <c r="AL5" s="20">
        <f ca="1">SUM($AH$5:$AK$5)</f>
        <v>0</v>
      </c>
      <c r="AM5" s="20">
        <f ca="1">SUMIF($L$4:$AL$4,"SUBTOTAL",$L$5:$AL$5)</f>
        <v>195.07035722886513</v>
      </c>
      <c r="AP5" s="20">
        <v>1</v>
      </c>
    </row>
    <row r="6" spans="1:42" ht="11.25" customHeight="1" x14ac:dyDescent="0.25">
      <c r="A6" s="132"/>
      <c r="B6" s="132"/>
      <c r="C6" s="132"/>
      <c r="D6" s="132"/>
      <c r="E6" s="132"/>
      <c r="F6" s="132"/>
      <c r="G6" s="21" t="s">
        <v>77</v>
      </c>
      <c r="H6" s="21" t="s">
        <v>75</v>
      </c>
      <c r="I6" s="21">
        <f>'MERCADO TUSD'!$U$3</f>
        <v>0</v>
      </c>
      <c r="J6" s="17"/>
      <c r="L6" s="20">
        <f>'TR TUSD'!$L$6*'TR TUSD'!$L$60</f>
        <v>0</v>
      </c>
      <c r="M6" s="20">
        <f>'TR TUSD'!$M$6*'TR TUSD'!$M$60</f>
        <v>0</v>
      </c>
      <c r="N6" s="20">
        <f ca="1">'TR TUSD'!$N$6*'TR TUSD'!$N$60</f>
        <v>0</v>
      </c>
      <c r="O6" s="20">
        <f>'TR TUSD'!$O$6*'TR TUSD'!$O$60</f>
        <v>0</v>
      </c>
      <c r="P6" s="20">
        <f>'TR TUSD'!$P$6*'TR TUSD'!$P$60</f>
        <v>0</v>
      </c>
      <c r="Q6" s="20">
        <f>'TR TUSD'!$Q$6*'TR TUSD'!$Q$60</f>
        <v>0</v>
      </c>
      <c r="R6" s="20">
        <f>'TR TUSD'!$R$6*'TR TUSD'!$R$60</f>
        <v>0</v>
      </c>
      <c r="S6" s="20">
        <f>'TR TUSD'!$S$6*'TR TUSD'!$S$60</f>
        <v>0</v>
      </c>
      <c r="T6" s="20">
        <f ca="1">SUM($L$6:$S$6)</f>
        <v>0</v>
      </c>
      <c r="U6" s="20">
        <f>'TR TUSD'!$U$6*'TR TUSD'!$U$60</f>
        <v>0</v>
      </c>
      <c r="V6" s="20">
        <f>'TR TUSD'!$V$6*'TR TUSD'!$V$60</f>
        <v>0</v>
      </c>
      <c r="W6" s="20">
        <f>'TR TUSD'!$W$6*'TR TUSD'!$W$60</f>
        <v>0</v>
      </c>
      <c r="X6" s="20">
        <f>'TR TUSD'!$X$6*'TR TUSD'!$X$60</f>
        <v>0</v>
      </c>
      <c r="Y6" s="20">
        <f>'TR TUSD'!$Y$6*'TR TUSD'!$Y$60</f>
        <v>28.1191714419205</v>
      </c>
      <c r="Z6" s="20">
        <f>'TR TUSD'!$Z$6</f>
        <v>0</v>
      </c>
      <c r="AA6" s="20">
        <f>'TR TUSD'!$AA$6</f>
        <v>0</v>
      </c>
      <c r="AB6" s="20">
        <f>SUM($U$6:$AA$6)</f>
        <v>28.1191714419205</v>
      </c>
      <c r="AC6" s="20">
        <f>'TR TUSD'!$AC$6*'TR TUSD'!$AC$60</f>
        <v>33.409542747444526</v>
      </c>
      <c r="AD6" s="20">
        <f>SUM($AC$6:$AC$6)</f>
        <v>33.409542747444526</v>
      </c>
      <c r="AE6" s="20">
        <v>0</v>
      </c>
      <c r="AF6" s="20">
        <v>0</v>
      </c>
      <c r="AG6" s="20">
        <f>SUM($AE$6:$AF$6)</f>
        <v>0</v>
      </c>
      <c r="AH6" s="20">
        <f>'TR TUSD'!$AH$6*'TR TUSD'!$AH$60</f>
        <v>0</v>
      </c>
      <c r="AI6" s="20">
        <f>'TR TUSD'!$AI$6*'TR TUSD'!$AI$60</f>
        <v>0</v>
      </c>
      <c r="AJ6" s="20">
        <f ca="1">'TR TUSD'!$AJ$6*'TR TUSD'!$AJ$60</f>
        <v>0</v>
      </c>
      <c r="AK6" s="20">
        <f ca="1">'TR TUSD'!$AK$6*'TR TUSD'!$AK$60</f>
        <v>0</v>
      </c>
      <c r="AL6" s="20">
        <f ca="1">SUM($AH$6:$AK$6)</f>
        <v>0</v>
      </c>
      <c r="AM6" s="20">
        <f ca="1">SUMIF($L$4:$AL$4,"SUBTOTAL",$L$6:$AL$6)</f>
        <v>61.528714189365026</v>
      </c>
      <c r="AP6" s="20">
        <v>1</v>
      </c>
    </row>
    <row r="7" spans="1:42" ht="11.25" customHeight="1" x14ac:dyDescent="0.25">
      <c r="A7" s="132"/>
      <c r="B7" s="132"/>
      <c r="C7" s="132"/>
      <c r="D7" s="132"/>
      <c r="E7" s="132"/>
      <c r="F7" s="132"/>
      <c r="G7" s="21" t="s">
        <v>73</v>
      </c>
      <c r="H7" s="21" t="s">
        <v>69</v>
      </c>
      <c r="I7" s="21">
        <f>'MERCADO TUSD'!$U$4</f>
        <v>0</v>
      </c>
      <c r="J7" s="17"/>
      <c r="L7" s="20">
        <f>'TR TUSD'!$L$7*'TR TUSD'!$L$60</f>
        <v>0</v>
      </c>
      <c r="M7" s="20">
        <f>'TR TUSD'!$M$7*'TR TUSD'!$M$60</f>
        <v>0.71757007038507359</v>
      </c>
      <c r="N7" s="20">
        <f ca="1">'TR TUSD'!$N$7*'TR TUSD'!$N$60</f>
        <v>0</v>
      </c>
      <c r="O7" s="20">
        <f>'TR TUSD'!$O$7*'TR TUSD'!$O$60</f>
        <v>0</v>
      </c>
      <c r="P7" s="20">
        <f>'TR TUSD'!$P$7*'TR TUSD'!$P$60</f>
        <v>0</v>
      </c>
      <c r="Q7" s="20">
        <f>'TR TUSD'!$Q$7*'TR TUSD'!$Q$60</f>
        <v>34.377924772870777</v>
      </c>
      <c r="R7" s="20">
        <f>'TR TUSD'!$R$7*'TR TUSD'!$R$60</f>
        <v>15.331583328887247</v>
      </c>
      <c r="S7" s="20">
        <f>'TR TUSD'!$S$7*'TR TUSD'!$S$60</f>
        <v>0</v>
      </c>
      <c r="T7" s="20">
        <f ca="1">SUM($L$7:$S$7)</f>
        <v>50.427078172143098</v>
      </c>
      <c r="U7" s="20">
        <f>'TR TUSD'!$U$7*'TR TUSD'!$U$60</f>
        <v>0</v>
      </c>
      <c r="V7" s="20">
        <f>'TR TUSD'!$V$7*'TR TUSD'!$V$60</f>
        <v>0</v>
      </c>
      <c r="W7" s="20">
        <f>'TR TUSD'!$W$7*'TR TUSD'!$W$60</f>
        <v>0</v>
      </c>
      <c r="X7" s="20">
        <f>'TR TUSD'!$X$7*'TR TUSD'!$X$60</f>
        <v>0</v>
      </c>
      <c r="Y7" s="20">
        <f>'TR TUSD'!$Y$7*'TR TUSD'!$Y$60</f>
        <v>0</v>
      </c>
      <c r="Z7" s="20">
        <f>'TR TUSD'!$Z$7</f>
        <v>0</v>
      </c>
      <c r="AA7" s="20">
        <f>'TR TUSD'!$AA$7</f>
        <v>0</v>
      </c>
      <c r="AB7" s="20">
        <f>SUM($U$7:$AA$7)</f>
        <v>0</v>
      </c>
      <c r="AC7" s="20">
        <f>'TR TUSD'!$AC$7*'TR TUSD'!$AC$60</f>
        <v>0</v>
      </c>
      <c r="AD7" s="20">
        <f>SUM($AC$7:$AC$7)</f>
        <v>0</v>
      </c>
      <c r="AE7" s="20">
        <v>0</v>
      </c>
      <c r="AF7" s="20">
        <v>0</v>
      </c>
      <c r="AG7" s="20">
        <f>SUM($AE$7:$AF$7)</f>
        <v>0</v>
      </c>
      <c r="AH7" s="20">
        <f>'TR TUSD'!$AH$7*'TR TUSD'!$AH$60</f>
        <v>18.066972965692639</v>
      </c>
      <c r="AI7" s="20">
        <f>'TR TUSD'!$AI$7*'TR TUSD'!$AI$60</f>
        <v>0</v>
      </c>
      <c r="AJ7" s="20">
        <f ca="1">'TR TUSD'!$AJ$7*'TR TUSD'!$AJ$60</f>
        <v>0</v>
      </c>
      <c r="AK7" s="20">
        <f ca="1">'TR TUSD'!$AK$7*'TR TUSD'!$AK$60</f>
        <v>0</v>
      </c>
      <c r="AL7" s="20">
        <f ca="1">SUM($AH$7:$AK$7)</f>
        <v>18.066972965692639</v>
      </c>
      <c r="AM7" s="20">
        <f ca="1">SUMIF($L$4:$AL$4,"SUBTOTAL",$L$7:$AL$7)</f>
        <v>68.49405113783574</v>
      </c>
      <c r="AP7" s="20">
        <v>1</v>
      </c>
    </row>
    <row r="8" spans="1:42" ht="11.25" customHeight="1" x14ac:dyDescent="0.25">
      <c r="A8" s="132"/>
      <c r="B8" s="132"/>
      <c r="C8" s="132"/>
      <c r="D8" s="132"/>
      <c r="E8" s="22" t="s">
        <v>78</v>
      </c>
      <c r="F8" s="22" t="s">
        <v>25</v>
      </c>
      <c r="G8" s="21" t="s">
        <v>73</v>
      </c>
      <c r="H8" s="21" t="s">
        <v>69</v>
      </c>
      <c r="I8" s="21">
        <f>'MERCADO TUSD'!$U$5</f>
        <v>0</v>
      </c>
      <c r="J8" s="17"/>
      <c r="L8" s="20">
        <f>'TR TUSD'!$L$8*'TR TUSD'!$L$60</f>
        <v>0</v>
      </c>
      <c r="M8" s="20">
        <f>'TR TUSD'!$M$8*'TR TUSD'!$M$60</f>
        <v>0.71757007038507359</v>
      </c>
      <c r="N8" s="20">
        <f ca="1">'TR TUSD'!$N$8*'TR TUSD'!$N$60</f>
        <v>0</v>
      </c>
      <c r="O8" s="20">
        <f>'TR TUSD'!$O$8*'TR TUSD'!$O$60</f>
        <v>0</v>
      </c>
      <c r="P8" s="20">
        <f>'TR TUSD'!$P$8*'TR TUSD'!$P$60</f>
        <v>0</v>
      </c>
      <c r="Q8" s="20">
        <f>'TR TUSD'!$Q$8*'TR TUSD'!$Q$60</f>
        <v>0</v>
      </c>
      <c r="R8" s="20">
        <f>'TR TUSD'!$R$8*'TR TUSD'!$R$60</f>
        <v>0</v>
      </c>
      <c r="S8" s="20">
        <f>'TR TUSD'!$S$8*'TR TUSD'!$S$60</f>
        <v>0</v>
      </c>
      <c r="T8" s="20">
        <f ca="1">SUM($L$8:$S$8)</f>
        <v>0.71757007038507359</v>
      </c>
      <c r="U8" s="20">
        <f>'TR TUSD'!$U$8*'TR TUSD'!$U$60</f>
        <v>0</v>
      </c>
      <c r="V8" s="20">
        <f>'TR TUSD'!$V$8*'TR TUSD'!$V$60</f>
        <v>0</v>
      </c>
      <c r="W8" s="20">
        <f>'TR TUSD'!$W$8*'TR TUSD'!$W$60</f>
        <v>0</v>
      </c>
      <c r="X8" s="20">
        <f>'TR TUSD'!$X$8*'TR TUSD'!$X$60</f>
        <v>0</v>
      </c>
      <c r="Y8" s="20">
        <f>'TR TUSD'!$Y$8*'TR TUSD'!$Y$60</f>
        <v>0</v>
      </c>
      <c r="Z8" s="20">
        <f>'TR TUSD'!$Z$8</f>
        <v>0</v>
      </c>
      <c r="AA8" s="20">
        <f>'TR TUSD'!$AA$8</f>
        <v>0</v>
      </c>
      <c r="AB8" s="20">
        <f>SUM($U$8:$AA$8)</f>
        <v>0</v>
      </c>
      <c r="AC8" s="20">
        <f>'TR TUSD'!$AC$8*'TR TUSD'!$AC$60</f>
        <v>0</v>
      </c>
      <c r="AD8" s="20">
        <f>SUM($AC$8:$AC$8)</f>
        <v>0</v>
      </c>
      <c r="AE8" s="20">
        <v>0</v>
      </c>
      <c r="AF8" s="20">
        <v>0</v>
      </c>
      <c r="AG8" s="20">
        <f>SUM($AE$8:$AF$8)</f>
        <v>0</v>
      </c>
      <c r="AH8" s="20">
        <f>'TR TUSD'!$AH$8*'TR TUSD'!$AH$60</f>
        <v>18.066972965692639</v>
      </c>
      <c r="AI8" s="20">
        <f>'TR TUSD'!$AI$8*'TR TUSD'!$AI$60</f>
        <v>0</v>
      </c>
      <c r="AJ8" s="20">
        <f ca="1">'TR TUSD'!$AJ$8*'TR TUSD'!$AJ$60</f>
        <v>0</v>
      </c>
      <c r="AK8" s="20">
        <f ca="1">'TR TUSD'!$AK$8*'TR TUSD'!$AK$60</f>
        <v>0</v>
      </c>
      <c r="AL8" s="20">
        <f ca="1">SUM($AH$8:$AK$8)</f>
        <v>18.066972965692639</v>
      </c>
      <c r="AM8" s="20">
        <f ca="1">SUMIF($L$4:$AL$4,"SUBTOTAL",$L$8:$AL$8)</f>
        <v>18.784543036077711</v>
      </c>
      <c r="AP8" s="20">
        <v>1</v>
      </c>
    </row>
    <row r="9" spans="1:42" ht="11.25" customHeight="1" x14ac:dyDescent="0.25">
      <c r="A9" s="132"/>
      <c r="B9" s="22" t="s">
        <v>79</v>
      </c>
      <c r="C9" s="22" t="s">
        <v>25</v>
      </c>
      <c r="D9" s="22" t="s">
        <v>25</v>
      </c>
      <c r="E9" s="22" t="s">
        <v>25</v>
      </c>
      <c r="F9" s="22" t="s">
        <v>25</v>
      </c>
      <c r="G9" s="21" t="s">
        <v>9</v>
      </c>
      <c r="H9" s="21" t="s">
        <v>75</v>
      </c>
      <c r="I9" s="21">
        <f>'MERCADO TUSD'!$U$6</f>
        <v>0</v>
      </c>
      <c r="J9" s="17"/>
      <c r="L9" s="20">
        <f>'TR TUSD'!$L$9*'TR TUSD'!$L$60</f>
        <v>0</v>
      </c>
      <c r="M9" s="20">
        <f>'TR TUSD'!$M$9*'TR TUSD'!$M$60</f>
        <v>4.6483655196823646E-2</v>
      </c>
      <c r="N9" s="20">
        <f ca="1">'TR TUSD'!$N$9*'TR TUSD'!$N$60</f>
        <v>0</v>
      </c>
      <c r="O9" s="20">
        <f>'TR TUSD'!$O$9*'TR TUSD'!$O$60</f>
        <v>0</v>
      </c>
      <c r="P9" s="20">
        <f>'TR TUSD'!$P$9*'TR TUSD'!$P$60</f>
        <v>0</v>
      </c>
      <c r="Q9" s="20">
        <f>'TR TUSD'!$Q$9*'TR TUSD'!$Q$60</f>
        <v>0</v>
      </c>
      <c r="R9" s="20">
        <f>'TR TUSD'!$R$9*'TR TUSD'!$R$60</f>
        <v>0</v>
      </c>
      <c r="S9" s="20">
        <f>'TR TUSD'!$S$9*'TR TUSD'!$S$60</f>
        <v>0</v>
      </c>
      <c r="T9" s="20">
        <f ca="1">SUM($L$9:$S$9)</f>
        <v>4.6483655196823646E-2</v>
      </c>
      <c r="U9" s="20">
        <f>'TR TUSD'!$U$9*'TR TUSD'!$U$60</f>
        <v>0</v>
      </c>
      <c r="V9" s="20">
        <f>'TR TUSD'!$V$9*'TR TUSD'!$V$60</f>
        <v>0</v>
      </c>
      <c r="W9" s="20">
        <f>'TR TUSD'!$W$9*'TR TUSD'!$W$60</f>
        <v>0</v>
      </c>
      <c r="X9" s="20">
        <f>'TR TUSD'!$X$9*'TR TUSD'!$X$60</f>
        <v>0</v>
      </c>
      <c r="Y9" s="20">
        <f>'TR TUSD'!$Y$9*'TR TUSD'!$Y$60</f>
        <v>0</v>
      </c>
      <c r="Z9" s="20">
        <f>'TR TUSD'!$Z$9*'TR TUSD'!$Z$60</f>
        <v>0</v>
      </c>
      <c r="AA9" s="20">
        <f>'TR TUSD'!$AA$9*'TR TUSD'!$AA$60</f>
        <v>0</v>
      </c>
      <c r="AB9" s="20">
        <f>SUM($U$9:$AA$9)</f>
        <v>0</v>
      </c>
      <c r="AC9" s="20">
        <f>'TR TUSD'!$AC$9*'TR TUSD'!$AC$60</f>
        <v>12.83775857106572</v>
      </c>
      <c r="AD9" s="20">
        <f>SUM($AC$9:$AC$9)</f>
        <v>12.83775857106572</v>
      </c>
      <c r="AE9" s="20">
        <v>0</v>
      </c>
      <c r="AF9" s="20">
        <v>0</v>
      </c>
      <c r="AG9" s="20">
        <f>SUM($AE$9:$AF$9)</f>
        <v>0</v>
      </c>
      <c r="AH9" s="20">
        <f>'TR TUSD'!$AH$9*'TR TUSD'!$AH$60</f>
        <v>0</v>
      </c>
      <c r="AI9" s="20">
        <f>'TR TUSD'!$AI$9*'TR TUSD'!$AI$60</f>
        <v>0</v>
      </c>
      <c r="AJ9" s="20">
        <f ca="1">'TR TUSD'!$AJ$9*'TR TUSD'!$AJ$60</f>
        <v>0</v>
      </c>
      <c r="AK9" s="20">
        <f ca="1">'TR TUSD'!$AK$9*'TR TUSD'!$AK$60</f>
        <v>0</v>
      </c>
      <c r="AL9" s="20">
        <f ca="1">SUM($AH$9:$AK$9)</f>
        <v>0</v>
      </c>
      <c r="AM9" s="20">
        <f ca="1">SUMIF($L$4:$AL$4,"SUBTOTAL",$L$9:$AL$9)</f>
        <v>12.884242226262543</v>
      </c>
      <c r="AP9" s="20"/>
    </row>
    <row r="10" spans="1:42" ht="11.25" customHeight="1" x14ac:dyDescent="0.25">
      <c r="A10" s="132"/>
      <c r="B10" s="132" t="s">
        <v>35</v>
      </c>
      <c r="C10" s="132" t="s">
        <v>25</v>
      </c>
      <c r="D10" s="132" t="s">
        <v>25</v>
      </c>
      <c r="E10" s="132" t="s">
        <v>25</v>
      </c>
      <c r="F10" s="132" t="s">
        <v>25</v>
      </c>
      <c r="G10" s="21" t="s">
        <v>9</v>
      </c>
      <c r="H10" s="21" t="s">
        <v>75</v>
      </c>
      <c r="I10" s="21">
        <f>'MERCADO TUSD'!$U$7</f>
        <v>1445</v>
      </c>
      <c r="J10" s="17"/>
      <c r="L10" s="20">
        <f>'TR TUSD'!$L$10*'TR TUSD'!$L$60</f>
        <v>0</v>
      </c>
      <c r="M10" s="20">
        <f>'TR TUSD'!$M$10*'TR TUSD'!$M$60</f>
        <v>0</v>
      </c>
      <c r="N10" s="20">
        <f ca="1">'TR TUSD'!$N$10*'TR TUSD'!$N$60</f>
        <v>0</v>
      </c>
      <c r="O10" s="20">
        <f>'TR TUSD'!$O$10*'TR TUSD'!$O$60</f>
        <v>0</v>
      </c>
      <c r="P10" s="20">
        <f>'TR TUSD'!$P$10*'TR TUSD'!$P$60</f>
        <v>0</v>
      </c>
      <c r="Q10" s="20">
        <f>'TR TUSD'!$Q$10*'TR TUSD'!$Q$60</f>
        <v>0</v>
      </c>
      <c r="R10" s="20">
        <f>'TR TUSD'!$R$10*'TR TUSD'!$R$60</f>
        <v>0</v>
      </c>
      <c r="S10" s="20">
        <f>'TR TUSD'!$S$10*'TR TUSD'!$S$60</f>
        <v>0</v>
      </c>
      <c r="T10" s="20">
        <f ca="1">SUM($L$10:$S$10)</f>
        <v>0</v>
      </c>
      <c r="U10" s="20">
        <f>'TR TUSD'!$U$10*'TR TUSD'!$U$60</f>
        <v>0</v>
      </c>
      <c r="V10" s="20">
        <f>'TR TUSD'!$V$10*'TR TUSD'!$V$60</f>
        <v>0</v>
      </c>
      <c r="W10" s="20">
        <f>'TR TUSD'!$W$10*'TR TUSD'!$W$60</f>
        <v>0</v>
      </c>
      <c r="X10" s="20">
        <f>'TR TUSD'!$X$10*'TR TUSD'!$X$60</f>
        <v>0</v>
      </c>
      <c r="Y10" s="20">
        <f>'TR TUSD'!$Y$10*'TR TUSD'!$Y$60</f>
        <v>28.1191714419205</v>
      </c>
      <c r="Z10" s="20">
        <f>'TR TUSD'!$Z$10</f>
        <v>0</v>
      </c>
      <c r="AA10" s="20">
        <f>'TR TUSD'!$AA$10</f>
        <v>0</v>
      </c>
      <c r="AB10" s="20">
        <f>SUM($U$10:$AA$10)</f>
        <v>28.1191714419205</v>
      </c>
      <c r="AC10" s="20">
        <f>'TR TUSD'!$AC$10*'TR TUSD'!$AC$60</f>
        <v>33.409542747444526</v>
      </c>
      <c r="AD10" s="20">
        <f>SUM($AC$10:$AC$10)</f>
        <v>33.409542747444526</v>
      </c>
      <c r="AE10" s="20">
        <v>0</v>
      </c>
      <c r="AF10" s="20">
        <v>0</v>
      </c>
      <c r="AG10" s="20">
        <f>SUM($AE$10:$AF$10)</f>
        <v>0</v>
      </c>
      <c r="AH10" s="20">
        <f>'TR TUSD'!$AH$10*'TR TUSD'!$AH$60</f>
        <v>0</v>
      </c>
      <c r="AI10" s="20">
        <f>'TR TUSD'!$AI$10*'TR TUSD'!$AI$60</f>
        <v>0</v>
      </c>
      <c r="AJ10" s="20">
        <f ca="1">'TR TUSD'!$AJ$10*'TR TUSD'!$AJ$60</f>
        <v>0</v>
      </c>
      <c r="AK10" s="20">
        <f ca="1">'TR TUSD'!$AK$10*'TR TUSD'!$AK$60</f>
        <v>0</v>
      </c>
      <c r="AL10" s="20">
        <f ca="1">SUM($AH$10:$AK$10)</f>
        <v>0</v>
      </c>
      <c r="AM10" s="20">
        <f ca="1">SUMIF($L$4:$AL$4,"SUBTOTAL",$L$10:$AL$10)</f>
        <v>61.528714189365026</v>
      </c>
      <c r="AP10" s="20">
        <v>1</v>
      </c>
    </row>
    <row r="11" spans="1:42" ht="11.25" customHeight="1" x14ac:dyDescent="0.25">
      <c r="A11" s="132"/>
      <c r="B11" s="132"/>
      <c r="C11" s="132"/>
      <c r="D11" s="132"/>
      <c r="E11" s="132"/>
      <c r="F11" s="132"/>
      <c r="G11" s="21" t="s">
        <v>70</v>
      </c>
      <c r="H11" s="21" t="s">
        <v>69</v>
      </c>
      <c r="I11" s="21">
        <f>'MERCADO TUSD'!$U$8</f>
        <v>2.2919999999999998</v>
      </c>
      <c r="J11" s="17"/>
      <c r="L11" s="20">
        <f>'TR TUSD'!$L$11*'TR TUSD'!$L$60</f>
        <v>0</v>
      </c>
      <c r="M11" s="20">
        <f>'TR TUSD'!$M$11*'TR TUSD'!$M$60</f>
        <v>0.71757007038507359</v>
      </c>
      <c r="N11" s="20">
        <f ca="1">'TR TUSD'!$N$11*'TR TUSD'!$N$60</f>
        <v>0</v>
      </c>
      <c r="O11" s="20">
        <f>'TR TUSD'!$O$11*'TR TUSD'!$O$60</f>
        <v>0</v>
      </c>
      <c r="P11" s="20">
        <f>'TR TUSD'!$P$11*'TR TUSD'!$P$60</f>
        <v>0</v>
      </c>
      <c r="Q11" s="20">
        <f>'TR TUSD'!$Q$11*'TR TUSD'!$Q$60</f>
        <v>34.377924772870777</v>
      </c>
      <c r="R11" s="20">
        <f>'TR TUSD'!$R$11*'TR TUSD'!$R$60</f>
        <v>15.331583328887247</v>
      </c>
      <c r="S11" s="20">
        <f>'TR TUSD'!$S$11*'TR TUSD'!$S$60</f>
        <v>0</v>
      </c>
      <c r="T11" s="20">
        <f ca="1">SUM($L$11:$S$11)</f>
        <v>50.427078172143098</v>
      </c>
      <c r="U11" s="20">
        <f>'TR TUSD'!$U$11*'TR TUSD'!$U$60</f>
        <v>0</v>
      </c>
      <c r="V11" s="20">
        <f>'TR TUSD'!$V$11*'TR TUSD'!$V$60</f>
        <v>0</v>
      </c>
      <c r="W11" s="20">
        <f>'TR TUSD'!$W$11*'TR TUSD'!$W$60</f>
        <v>0</v>
      </c>
      <c r="X11" s="20">
        <f>'TR TUSD'!$X$11*'TR TUSD'!$X$60</f>
        <v>0</v>
      </c>
      <c r="Y11" s="20">
        <f>'TR TUSD'!$Y$11*'TR TUSD'!$Y$60</f>
        <v>845.58257412132502</v>
      </c>
      <c r="Z11" s="20">
        <f>'TR TUSD'!$Z$11</f>
        <v>0</v>
      </c>
      <c r="AA11" s="20">
        <f>'TR TUSD'!$AA$11</f>
        <v>0</v>
      </c>
      <c r="AB11" s="20">
        <f>SUM($U$11:$AA$11)</f>
        <v>845.58257412132502</v>
      </c>
      <c r="AC11" s="20">
        <f>'TR TUSD'!$AC$11*'TR TUSD'!$AC$60</f>
        <v>2547.4156873543088</v>
      </c>
      <c r="AD11" s="20">
        <f>SUM($AC$11:$AC$11)</f>
        <v>2547.4156873543088</v>
      </c>
      <c r="AE11" s="20">
        <v>0</v>
      </c>
      <c r="AF11" s="20">
        <v>0</v>
      </c>
      <c r="AG11" s="20">
        <f>SUM($AE$11:$AF$11)</f>
        <v>0</v>
      </c>
      <c r="AH11" s="20">
        <f>'TR TUSD'!$AH$11*'TR TUSD'!$AH$60</f>
        <v>18.066972965692639</v>
      </c>
      <c r="AI11" s="20">
        <f>'TR TUSD'!$AI$11*'TR TUSD'!$AI$60</f>
        <v>0</v>
      </c>
      <c r="AJ11" s="20">
        <f ca="1">'TR TUSD'!$AJ$11*'TR TUSD'!$AJ$60</f>
        <v>0</v>
      </c>
      <c r="AK11" s="20">
        <f ca="1">'TR TUSD'!$AK$11*'TR TUSD'!$AK$60</f>
        <v>0</v>
      </c>
      <c r="AL11" s="20">
        <f ca="1">SUM($AH$11:$AK$11)</f>
        <v>18.066972965692639</v>
      </c>
      <c r="AM11" s="20">
        <f ca="1">SUMIF($L$4:$AL$4,"SUBTOTAL",$L$11:$AL$11)</f>
        <v>3461.4923126134695</v>
      </c>
      <c r="AP11" s="20">
        <v>1</v>
      </c>
    </row>
    <row r="12" spans="1:42" ht="11.25" customHeight="1" x14ac:dyDescent="0.25">
      <c r="A12" s="132"/>
      <c r="B12" s="132"/>
      <c r="C12" s="132"/>
      <c r="D12" s="132"/>
      <c r="E12" s="132"/>
      <c r="F12" s="132"/>
      <c r="G12" s="21" t="s">
        <v>71</v>
      </c>
      <c r="H12" s="21" t="s">
        <v>69</v>
      </c>
      <c r="I12" s="21">
        <f>'MERCADO TUSD'!$U$9</f>
        <v>310.52600000000001</v>
      </c>
      <c r="J12" s="17"/>
      <c r="L12" s="20">
        <f>'TR TUSD'!$L$12*'TR TUSD'!$L$60</f>
        <v>0</v>
      </c>
      <c r="M12" s="20">
        <f>'TR TUSD'!$M$12*'TR TUSD'!$M$60</f>
        <v>0.71757007038507359</v>
      </c>
      <c r="N12" s="20">
        <f ca="1">'TR TUSD'!$N$12*'TR TUSD'!$N$60</f>
        <v>0</v>
      </c>
      <c r="O12" s="20">
        <f>'TR TUSD'!$O$12*'TR TUSD'!$O$60</f>
        <v>0</v>
      </c>
      <c r="P12" s="20">
        <f>'TR TUSD'!$P$12*'TR TUSD'!$P$60</f>
        <v>0</v>
      </c>
      <c r="Q12" s="20">
        <f>'TR TUSD'!$Q$12*'TR TUSD'!$Q$60</f>
        <v>34.377924772870777</v>
      </c>
      <c r="R12" s="20">
        <f>'TR TUSD'!$R$12*'TR TUSD'!$R$60</f>
        <v>15.331583328887247</v>
      </c>
      <c r="S12" s="20">
        <f>'TR TUSD'!$S$12*'TR TUSD'!$S$60</f>
        <v>0</v>
      </c>
      <c r="T12" s="20">
        <f ca="1">SUM($L$12:$S$12)</f>
        <v>50.427078172143098</v>
      </c>
      <c r="U12" s="20">
        <f>'TR TUSD'!$U$12*'TR TUSD'!$U$60</f>
        <v>0</v>
      </c>
      <c r="V12" s="20">
        <f>'TR TUSD'!$V$12*'TR TUSD'!$V$60</f>
        <v>0</v>
      </c>
      <c r="W12" s="20">
        <f>'TR TUSD'!$W$12*'TR TUSD'!$W$60</f>
        <v>0</v>
      </c>
      <c r="X12" s="20">
        <f>'TR TUSD'!$X$12*'TR TUSD'!$X$60</f>
        <v>0</v>
      </c>
      <c r="Y12" s="20">
        <f>'TR TUSD'!$Y$12*'TR TUSD'!$Y$60</f>
        <v>0</v>
      </c>
      <c r="Z12" s="20">
        <f>'TR TUSD'!$Z$12</f>
        <v>0</v>
      </c>
      <c r="AA12" s="20">
        <f>'TR TUSD'!$AA$12</f>
        <v>0</v>
      </c>
      <c r="AB12" s="20">
        <f>SUM($U$12:$AA$12)</f>
        <v>0</v>
      </c>
      <c r="AC12" s="20">
        <f>'TR TUSD'!$AC$12*'TR TUSD'!$AC$60</f>
        <v>0</v>
      </c>
      <c r="AD12" s="20">
        <f>SUM($AC$12:$AC$12)</f>
        <v>0</v>
      </c>
      <c r="AE12" s="20">
        <v>0</v>
      </c>
      <c r="AF12" s="20">
        <v>0</v>
      </c>
      <c r="AG12" s="20">
        <f>SUM($AE$12:$AF$12)</f>
        <v>0</v>
      </c>
      <c r="AH12" s="20">
        <f>'TR TUSD'!$AH$12*'TR TUSD'!$AH$60</f>
        <v>18.066972965692639</v>
      </c>
      <c r="AI12" s="20">
        <f>'TR TUSD'!$AI$12*'TR TUSD'!$AI$60</f>
        <v>0</v>
      </c>
      <c r="AJ12" s="20">
        <f ca="1">'TR TUSD'!$AJ$12*'TR TUSD'!$AJ$60</f>
        <v>0</v>
      </c>
      <c r="AK12" s="20">
        <f ca="1">'TR TUSD'!$AK$12*'TR TUSD'!$AK$60</f>
        <v>0</v>
      </c>
      <c r="AL12" s="20">
        <f ca="1">SUM($AH$12:$AK$12)</f>
        <v>18.066972965692639</v>
      </c>
      <c r="AM12" s="20">
        <f ca="1">SUMIF($L$4:$AL$4,"SUBTOTAL",$L$12:$AL$12)</f>
        <v>68.49405113783574</v>
      </c>
      <c r="AP12" s="20">
        <v>1</v>
      </c>
    </row>
    <row r="13" spans="1:42" ht="11.25" customHeight="1" x14ac:dyDescent="0.25">
      <c r="A13" s="132"/>
      <c r="B13" s="132"/>
      <c r="C13" s="132"/>
      <c r="D13" s="132"/>
      <c r="E13" s="132" t="s">
        <v>78</v>
      </c>
      <c r="F13" s="132" t="s">
        <v>25</v>
      </c>
      <c r="G13" s="21" t="s">
        <v>70</v>
      </c>
      <c r="H13" s="21" t="s">
        <v>69</v>
      </c>
      <c r="I13" s="21">
        <f>'MERCADO TUSD'!$U$10</f>
        <v>0</v>
      </c>
      <c r="J13" s="17"/>
      <c r="L13" s="20">
        <f>'TR TUSD'!$L$13*'TR TUSD'!$L$60</f>
        <v>0</v>
      </c>
      <c r="M13" s="20">
        <f>'TR TUSD'!$M$13*'TR TUSD'!$M$60</f>
        <v>0.71757007038507359</v>
      </c>
      <c r="N13" s="20">
        <f ca="1">'TR TUSD'!$N$13*'TR TUSD'!$N$60</f>
        <v>0</v>
      </c>
      <c r="O13" s="20">
        <f>'TR TUSD'!$O$13*'TR TUSD'!$O$60</f>
        <v>0</v>
      </c>
      <c r="P13" s="20">
        <f>'TR TUSD'!$P$13*'TR TUSD'!$P$60</f>
        <v>0</v>
      </c>
      <c r="Q13" s="20">
        <f>'TR TUSD'!$Q$13*'TR TUSD'!$Q$60</f>
        <v>0</v>
      </c>
      <c r="R13" s="20">
        <f>'TR TUSD'!$R$13*'TR TUSD'!$R$60</f>
        <v>0</v>
      </c>
      <c r="S13" s="20">
        <f>'TR TUSD'!$S$13*'TR TUSD'!$S$60</f>
        <v>0</v>
      </c>
      <c r="T13" s="20">
        <f ca="1">SUM($L$13:$S$13)</f>
        <v>0.71757007038507359</v>
      </c>
      <c r="U13" s="20">
        <f>'TR TUSD'!$U$13*'TR TUSD'!$U$60</f>
        <v>0</v>
      </c>
      <c r="V13" s="20">
        <f>'TR TUSD'!$V$13*'TR TUSD'!$V$60</f>
        <v>0</v>
      </c>
      <c r="W13" s="20">
        <f>'TR TUSD'!$W$13*'TR TUSD'!$W$60</f>
        <v>0</v>
      </c>
      <c r="X13" s="20">
        <f>'TR TUSD'!$X$13*'TR TUSD'!$X$60</f>
        <v>0</v>
      </c>
      <c r="Y13" s="20">
        <f>'TR TUSD'!$Y$13*'TR TUSD'!$Y$60</f>
        <v>845.58257412132502</v>
      </c>
      <c r="Z13" s="20">
        <f>'TR TUSD'!$Z$13</f>
        <v>0</v>
      </c>
      <c r="AA13" s="20">
        <f>'TR TUSD'!$AA$13</f>
        <v>0</v>
      </c>
      <c r="AB13" s="20">
        <f>SUM($U$13:$AA$13)</f>
        <v>845.58257412132502</v>
      </c>
      <c r="AC13" s="20">
        <f>'TR TUSD'!$AC$13*'TR TUSD'!$AC$60</f>
        <v>2547.4156873543088</v>
      </c>
      <c r="AD13" s="20">
        <f>SUM($AC$13:$AC$13)</f>
        <v>2547.4156873543088</v>
      </c>
      <c r="AE13" s="20">
        <v>0</v>
      </c>
      <c r="AF13" s="20">
        <v>0</v>
      </c>
      <c r="AG13" s="20">
        <f>SUM($AE$13:$AF$13)</f>
        <v>0</v>
      </c>
      <c r="AH13" s="20">
        <f>'TR TUSD'!$AH$13*'TR TUSD'!$AH$60</f>
        <v>18.066972965692639</v>
      </c>
      <c r="AI13" s="20">
        <f>'TR TUSD'!$AI$13*'TR TUSD'!$AI$60</f>
        <v>0</v>
      </c>
      <c r="AJ13" s="20">
        <f ca="1">'TR TUSD'!$AJ$13*'TR TUSD'!$AJ$60</f>
        <v>0</v>
      </c>
      <c r="AK13" s="20">
        <f ca="1">'TR TUSD'!$AK$13*'TR TUSD'!$AK$60</f>
        <v>0</v>
      </c>
      <c r="AL13" s="20">
        <f ca="1">SUM($AH$13:$AK$13)</f>
        <v>18.066972965692639</v>
      </c>
      <c r="AM13" s="20">
        <f ca="1">SUMIF($L$4:$AL$4,"SUBTOTAL",$L$13:$AL$13)</f>
        <v>3411.7828045117112</v>
      </c>
      <c r="AP13" s="20">
        <v>1</v>
      </c>
    </row>
    <row r="14" spans="1:42" ht="11.25" customHeight="1" x14ac:dyDescent="0.25">
      <c r="A14" s="132"/>
      <c r="B14" s="132"/>
      <c r="C14" s="132"/>
      <c r="D14" s="132"/>
      <c r="E14" s="132"/>
      <c r="F14" s="132"/>
      <c r="G14" s="21" t="s">
        <v>71</v>
      </c>
      <c r="H14" s="21" t="s">
        <v>69</v>
      </c>
      <c r="I14" s="21">
        <f>'MERCADO TUSD'!$U$11</f>
        <v>0</v>
      </c>
      <c r="J14" s="17"/>
      <c r="L14" s="20">
        <f>'TR TUSD'!$L$14*'TR TUSD'!$L$60</f>
        <v>0</v>
      </c>
      <c r="M14" s="20">
        <f>'TR TUSD'!$M$14*'TR TUSD'!$M$60</f>
        <v>0.71757007038507359</v>
      </c>
      <c r="N14" s="20">
        <f ca="1">'TR TUSD'!$N$14*'TR TUSD'!$N$60</f>
        <v>0</v>
      </c>
      <c r="O14" s="20">
        <f>'TR TUSD'!$O$14*'TR TUSD'!$O$60</f>
        <v>0</v>
      </c>
      <c r="P14" s="20">
        <f>'TR TUSD'!$P$14*'TR TUSD'!$P$60</f>
        <v>0</v>
      </c>
      <c r="Q14" s="20">
        <f>'TR TUSD'!$Q$14*'TR TUSD'!$Q$60</f>
        <v>0</v>
      </c>
      <c r="R14" s="20">
        <f>'TR TUSD'!$R$14*'TR TUSD'!$R$60</f>
        <v>0</v>
      </c>
      <c r="S14" s="20">
        <f>'TR TUSD'!$S$14*'TR TUSD'!$S$60</f>
        <v>0</v>
      </c>
      <c r="T14" s="20">
        <f ca="1">SUM($L$14:$S$14)</f>
        <v>0.71757007038507359</v>
      </c>
      <c r="U14" s="20">
        <f>'TR TUSD'!$U$14*'TR TUSD'!$U$60</f>
        <v>0</v>
      </c>
      <c r="V14" s="20">
        <f>'TR TUSD'!$V$14*'TR TUSD'!$V$60</f>
        <v>0</v>
      </c>
      <c r="W14" s="20">
        <f>'TR TUSD'!$W$14*'TR TUSD'!$W$60</f>
        <v>0</v>
      </c>
      <c r="X14" s="20">
        <f>'TR TUSD'!$X$14*'TR TUSD'!$X$60</f>
        <v>0</v>
      </c>
      <c r="Y14" s="20">
        <f>'TR TUSD'!$Y$14*'TR TUSD'!$Y$60</f>
        <v>0</v>
      </c>
      <c r="Z14" s="20">
        <f>'TR TUSD'!$Z$14</f>
        <v>0</v>
      </c>
      <c r="AA14" s="20">
        <f>'TR TUSD'!$AA$14</f>
        <v>0</v>
      </c>
      <c r="AB14" s="20">
        <f>SUM($U$14:$AA$14)</f>
        <v>0</v>
      </c>
      <c r="AC14" s="20">
        <f>'TR TUSD'!$AC$14*'TR TUSD'!$AC$60</f>
        <v>0</v>
      </c>
      <c r="AD14" s="20">
        <f>SUM($AC$14:$AC$14)</f>
        <v>0</v>
      </c>
      <c r="AE14" s="20">
        <v>0</v>
      </c>
      <c r="AF14" s="20">
        <v>0</v>
      </c>
      <c r="AG14" s="20">
        <f>SUM($AE$14:$AF$14)</f>
        <v>0</v>
      </c>
      <c r="AH14" s="20">
        <f>'TR TUSD'!$AH$14*'TR TUSD'!$AH$60</f>
        <v>18.066972965692639</v>
      </c>
      <c r="AI14" s="20">
        <f>'TR TUSD'!$AI$14*'TR TUSD'!$AI$60</f>
        <v>0</v>
      </c>
      <c r="AJ14" s="20">
        <f ca="1">'TR TUSD'!$AJ$14*'TR TUSD'!$AJ$60</f>
        <v>0</v>
      </c>
      <c r="AK14" s="20">
        <f ca="1">'TR TUSD'!$AK$14*'TR TUSD'!$AK$60</f>
        <v>0</v>
      </c>
      <c r="AL14" s="20">
        <f ca="1">SUM($AH$14:$AK$14)</f>
        <v>18.066972965692639</v>
      </c>
      <c r="AM14" s="20">
        <f ca="1">SUMIF($L$4:$AL$4,"SUBTOTAL",$L$14:$AL$14)</f>
        <v>18.784543036077711</v>
      </c>
      <c r="AP14" s="20">
        <v>1</v>
      </c>
    </row>
    <row r="15" spans="1:42" ht="11.25" customHeight="1" x14ac:dyDescent="0.25">
      <c r="A15" s="132" t="s">
        <v>80</v>
      </c>
      <c r="B15" s="132" t="s">
        <v>79</v>
      </c>
      <c r="C15" s="132" t="s">
        <v>25</v>
      </c>
      <c r="D15" s="132" t="s">
        <v>25</v>
      </c>
      <c r="E15" s="22" t="s">
        <v>81</v>
      </c>
      <c r="F15" s="22" t="s">
        <v>25</v>
      </c>
      <c r="G15" s="21" t="s">
        <v>9</v>
      </c>
      <c r="H15" s="21" t="s">
        <v>75</v>
      </c>
      <c r="I15" s="21">
        <f>'MERCADO TUSD'!$U$12+0.00000001</f>
        <v>1E-8</v>
      </c>
      <c r="J15" s="17"/>
      <c r="L15" s="20">
        <f>'TR TUSD'!$L$15*'TR TUSD'!$L$60</f>
        <v>0</v>
      </c>
      <c r="M15" s="20">
        <f>'TR TUSD'!$M$15*'TR TUSD'!$M$60</f>
        <v>2.2708758158081276E-2</v>
      </c>
      <c r="N15" s="20">
        <f ca="1">'TR TUSD'!$N$15*'TR TUSD'!$N$60</f>
        <v>0</v>
      </c>
      <c r="O15" s="20">
        <f>'TR TUSD'!$O$15*'TR TUSD'!$O$60</f>
        <v>0</v>
      </c>
      <c r="P15" s="20">
        <f>'TR TUSD'!$P$15*'TR TUSD'!$P$60</f>
        <v>0</v>
      </c>
      <c r="Q15" s="20">
        <f>'TR TUSD'!$Q$15*'TR TUSD'!$Q$60</f>
        <v>0</v>
      </c>
      <c r="R15" s="20">
        <f>'TR TUSD'!$R$15*'TR TUSD'!$R$60</f>
        <v>0</v>
      </c>
      <c r="S15" s="20">
        <f>'TR TUSD'!$S$15*'TR TUSD'!$S$60</f>
        <v>0</v>
      </c>
      <c r="T15" s="20">
        <f ca="1">SUM($L$15:$S$15)</f>
        <v>2.2708758158081276E-2</v>
      </c>
      <c r="U15" s="20">
        <f>'TR TUSD'!$U$15*'TR TUSD'!$U$60</f>
        <v>0</v>
      </c>
      <c r="V15" s="20">
        <f>'TR TUSD'!$V$15*'TR TUSD'!$V$60</f>
        <v>0</v>
      </c>
      <c r="W15" s="20">
        <f>'TR TUSD'!$W$15*'TR TUSD'!$W$60</f>
        <v>0</v>
      </c>
      <c r="X15" s="20">
        <f>'TR TUSD'!$X$15*'TR TUSD'!$X$60</f>
        <v>0</v>
      </c>
      <c r="Y15" s="20">
        <f>'TR TUSD'!$Y$15*'TR TUSD'!$Y$60</f>
        <v>0</v>
      </c>
      <c r="Z15" s="20">
        <f>'TR TUSD'!$Z$15*'TR TUSD'!$Z$60</f>
        <v>0</v>
      </c>
      <c r="AA15" s="20">
        <f>'TR TUSD'!$AA$15*'TR TUSD'!$AA$60</f>
        <v>0</v>
      </c>
      <c r="AB15" s="20">
        <f>SUM($U$15:$AA$15)</f>
        <v>0</v>
      </c>
      <c r="AC15" s="20">
        <f>'TR TUSD'!$AC$15*'TR TUSD'!$AC$60</f>
        <v>6.2906033045596068</v>
      </c>
      <c r="AD15" s="20">
        <f>SUM($AC$15:$AC$15)</f>
        <v>6.2906033045596068</v>
      </c>
      <c r="AE15" s="20">
        <v>0</v>
      </c>
      <c r="AF15" s="20">
        <v>0</v>
      </c>
      <c r="AG15" s="20">
        <f>SUM($AE$15:$AF$15)</f>
        <v>0</v>
      </c>
      <c r="AH15" s="20">
        <f>'TR TUSD'!$AH$15*'TR TUSD'!$AH$60</f>
        <v>0</v>
      </c>
      <c r="AI15" s="20">
        <f>'TR TUSD'!$AI$15*'TR TUSD'!$AI$60</f>
        <v>0</v>
      </c>
      <c r="AJ15" s="20">
        <f ca="1">'TR TUSD'!$AJ$15*'TR TUSD'!$AJ$60</f>
        <v>0</v>
      </c>
      <c r="AK15" s="20">
        <f ca="1">'TR TUSD'!$AK$15*'TR TUSD'!$AK$60</f>
        <v>0</v>
      </c>
      <c r="AL15" s="20">
        <f ca="1">SUM($AH$15:$AK$15)</f>
        <v>0</v>
      </c>
      <c r="AM15" s="20">
        <f ca="1">SUMIF($L$4:$AL$4,"SUBTOTAL",$L$15:$AL$15)</f>
        <v>6.3133120627176877</v>
      </c>
      <c r="AP15" s="20"/>
    </row>
    <row r="16" spans="1:42" ht="11.25" customHeight="1" x14ac:dyDescent="0.25">
      <c r="A16" s="132"/>
      <c r="B16" s="132"/>
      <c r="C16" s="132"/>
      <c r="D16" s="132"/>
      <c r="E16" s="22" t="s">
        <v>82</v>
      </c>
      <c r="F16" s="22" t="s">
        <v>25</v>
      </c>
      <c r="G16" s="21" t="s">
        <v>9</v>
      </c>
      <c r="H16" s="21" t="s">
        <v>75</v>
      </c>
      <c r="I16" s="21">
        <f>'MERCADO TUSD'!$U$13+0.00000001</f>
        <v>1E-8</v>
      </c>
      <c r="J16" s="17"/>
      <c r="L16" s="20">
        <f>'TR TUSD'!$L$16*'TR TUSD'!$L$60</f>
        <v>0</v>
      </c>
      <c r="M16" s="20">
        <f>'TR TUSD'!$M$16*'TR TUSD'!$M$60</f>
        <v>2.2708758158081276E-2</v>
      </c>
      <c r="N16" s="20">
        <f ca="1">'TR TUSD'!$N$16*'TR TUSD'!$N$60</f>
        <v>0</v>
      </c>
      <c r="O16" s="20">
        <f>'TR TUSD'!$O$16*'TR TUSD'!$O$60</f>
        <v>0</v>
      </c>
      <c r="P16" s="20">
        <f>'TR TUSD'!$P$16*'TR TUSD'!$P$60</f>
        <v>0</v>
      </c>
      <c r="Q16" s="20">
        <f>'TR TUSD'!$Q$16*'TR TUSD'!$Q$60</f>
        <v>0</v>
      </c>
      <c r="R16" s="20">
        <f>'TR TUSD'!$R$16*'TR TUSD'!$R$60</f>
        <v>0</v>
      </c>
      <c r="S16" s="20">
        <f>'TR TUSD'!$S$16*'TR TUSD'!$S$60</f>
        <v>0</v>
      </c>
      <c r="T16" s="20">
        <f ca="1">SUM($L$16:$S$16)</f>
        <v>2.2708758158081276E-2</v>
      </c>
      <c r="U16" s="20">
        <f>'TR TUSD'!$U$16*'TR TUSD'!$U$60</f>
        <v>0</v>
      </c>
      <c r="V16" s="20">
        <f>'TR TUSD'!$V$16*'TR TUSD'!$V$60</f>
        <v>0</v>
      </c>
      <c r="W16" s="20">
        <f>'TR TUSD'!$W$16*'TR TUSD'!$W$60</f>
        <v>0</v>
      </c>
      <c r="X16" s="20">
        <f>'TR TUSD'!$X$16*'TR TUSD'!$X$60</f>
        <v>0</v>
      </c>
      <c r="Y16" s="20">
        <f>'TR TUSD'!$Y$16*'TR TUSD'!$Y$60</f>
        <v>0</v>
      </c>
      <c r="Z16" s="20">
        <f>'TR TUSD'!$Z$16*'TR TUSD'!$Z$60</f>
        <v>0</v>
      </c>
      <c r="AA16" s="20">
        <f>'TR TUSD'!$AA$16*'TR TUSD'!$AA$60</f>
        <v>0</v>
      </c>
      <c r="AB16" s="20">
        <f>SUM($U$16:$AA$16)</f>
        <v>0</v>
      </c>
      <c r="AC16" s="20">
        <f>'TR TUSD'!$AC$16*'TR TUSD'!$AC$60</f>
        <v>18.996275716999403</v>
      </c>
      <c r="AD16" s="20">
        <f>SUM($AC$16:$AC$16)</f>
        <v>18.996275716999403</v>
      </c>
      <c r="AE16" s="20">
        <v>0</v>
      </c>
      <c r="AF16" s="20">
        <v>0</v>
      </c>
      <c r="AG16" s="20">
        <f>SUM($AE$16:$AF$16)</f>
        <v>0</v>
      </c>
      <c r="AH16" s="20">
        <f>'TR TUSD'!$AH$16*'TR TUSD'!$AH$60</f>
        <v>0</v>
      </c>
      <c r="AI16" s="20">
        <f>'TR TUSD'!$AI$16*'TR TUSD'!$AI$60</f>
        <v>0</v>
      </c>
      <c r="AJ16" s="20">
        <f ca="1">'TR TUSD'!$AJ$16*'TR TUSD'!$AJ$60</f>
        <v>0</v>
      </c>
      <c r="AK16" s="20">
        <f ca="1">'TR TUSD'!$AK$16*'TR TUSD'!$AK$60</f>
        <v>0</v>
      </c>
      <c r="AL16" s="20">
        <f ca="1">SUM($AH$16:$AK$16)</f>
        <v>0</v>
      </c>
      <c r="AM16" s="20">
        <f ca="1">SUMIF($L$4:$AL$4,"SUBTOTAL",$L$16:$AL$16)</f>
        <v>19.018984475157485</v>
      </c>
      <c r="AP16" s="20"/>
    </row>
    <row r="17" spans="1:42" ht="11.25" customHeight="1" x14ac:dyDescent="0.25">
      <c r="A17" s="132" t="s">
        <v>22</v>
      </c>
      <c r="B17" s="132" t="s">
        <v>39</v>
      </c>
      <c r="C17" s="132" t="s">
        <v>24</v>
      </c>
      <c r="D17" s="132" t="s">
        <v>24</v>
      </c>
      <c r="E17" s="132" t="s">
        <v>25</v>
      </c>
      <c r="F17" s="132" t="s">
        <v>25</v>
      </c>
      <c r="G17" s="21" t="s">
        <v>70</v>
      </c>
      <c r="H17" s="21" t="s">
        <v>69</v>
      </c>
      <c r="I17" s="21">
        <f>'MERCADO TUSD'!$U$14</f>
        <v>0</v>
      </c>
      <c r="J17" s="17"/>
      <c r="L17" s="20">
        <f>'TR TUSD'!$L$17*'TR TUSD'!$L$60</f>
        <v>0</v>
      </c>
      <c r="M17" s="20">
        <f>'TR TUSD'!$M$17*'TR TUSD'!$M$60</f>
        <v>2.1584583141570977</v>
      </c>
      <c r="N17" s="20">
        <f ca="1">'TR TUSD'!$N$17*'TR TUSD'!$N$60</f>
        <v>0</v>
      </c>
      <c r="O17" s="20">
        <f>'TR TUSD'!$O$17*'TR TUSD'!$O$60</f>
        <v>0</v>
      </c>
      <c r="P17" s="20">
        <f>'TR TUSD'!$P$17*'TR TUSD'!$P$60</f>
        <v>0</v>
      </c>
      <c r="Q17" s="20">
        <f>'TR TUSD'!$Q$17*'TR TUSD'!$Q$60</f>
        <v>40.926100920084259</v>
      </c>
      <c r="R17" s="20">
        <f>'TR TUSD'!$R$17*'TR TUSD'!$R$60</f>
        <v>15.331583328887247</v>
      </c>
      <c r="S17" s="20">
        <f>'TR TUSD'!$S$17*'TR TUSD'!$S$60</f>
        <v>0</v>
      </c>
      <c r="T17" s="20">
        <f ca="1">SUM($L$17:$S$17)</f>
        <v>58.416142563128602</v>
      </c>
      <c r="U17" s="20">
        <f>'TR TUSD'!$U$17*'TR TUSD'!$U$60</f>
        <v>0</v>
      </c>
      <c r="V17" s="20">
        <f>'TR TUSD'!$V$17*'TR TUSD'!$V$60</f>
        <v>0</v>
      </c>
      <c r="W17" s="20">
        <f>'TR TUSD'!$W$17*'TR TUSD'!$W$60</f>
        <v>0</v>
      </c>
      <c r="X17" s="20">
        <f>'TR TUSD'!$X$17*'TR TUSD'!$X$60</f>
        <v>0</v>
      </c>
      <c r="Y17" s="20">
        <f>'TR TUSD'!$Y$17*'TR TUSD'!$Y$60</f>
        <v>412.59880770568338</v>
      </c>
      <c r="Z17" s="20">
        <f>'TR TUSD'!$Z$17</f>
        <v>0</v>
      </c>
      <c r="AA17" s="20">
        <f>'TR TUSD'!$AA$17</f>
        <v>0</v>
      </c>
      <c r="AB17" s="20">
        <f>SUM($U$17:$AA$17)</f>
        <v>412.59880770568338</v>
      </c>
      <c r="AC17" s="20">
        <f>'TR TUSD'!$AC$17*'TR TUSD'!$AC$60</f>
        <v>1562.3202914702151</v>
      </c>
      <c r="AD17" s="20">
        <f>SUM($AC$17:$AC$17)</f>
        <v>1562.3202914702151</v>
      </c>
      <c r="AE17" s="20">
        <v>0</v>
      </c>
      <c r="AF17" s="20">
        <v>0</v>
      </c>
      <c r="AG17" s="20">
        <f>SUM($AE$17:$AF$17)</f>
        <v>0</v>
      </c>
      <c r="AH17" s="20">
        <f>'TR TUSD'!$AH$17*'TR TUSD'!$AH$60</f>
        <v>39.353180627220276</v>
      </c>
      <c r="AI17" s="20">
        <f>'TR TUSD'!$AI$17*'TR TUSD'!$AI$60</f>
        <v>0</v>
      </c>
      <c r="AJ17" s="20">
        <f ca="1">'TR TUSD'!$AJ$17*'TR TUSD'!$AJ$60</f>
        <v>0</v>
      </c>
      <c r="AK17" s="20">
        <f ca="1">'TR TUSD'!$AK$17*'TR TUSD'!$AK$60</f>
        <v>0</v>
      </c>
      <c r="AL17" s="20">
        <f ca="1">SUM($AH$17:$AK$17)</f>
        <v>39.353180627220276</v>
      </c>
      <c r="AM17" s="20">
        <f ca="1">SUMIF($L$4:$AL$4,"SUBTOTAL",$L$17:$AL$17)</f>
        <v>2072.6884223662473</v>
      </c>
      <c r="AP17" s="20">
        <v>1</v>
      </c>
    </row>
    <row r="18" spans="1:42" ht="11.25" customHeight="1" x14ac:dyDescent="0.25">
      <c r="A18" s="132"/>
      <c r="B18" s="132"/>
      <c r="C18" s="132"/>
      <c r="D18" s="132"/>
      <c r="E18" s="132"/>
      <c r="F18" s="132"/>
      <c r="G18" s="21" t="s">
        <v>83</v>
      </c>
      <c r="H18" s="21" t="s">
        <v>69</v>
      </c>
      <c r="I18" s="21">
        <f>'MERCADO TUSD'!$U$15</f>
        <v>5.0000000000000001E-3</v>
      </c>
      <c r="J18" s="17"/>
      <c r="L18" s="20">
        <f>'TR TUSD'!$L$18*'TR TUSD'!$L$60</f>
        <v>0</v>
      </c>
      <c r="M18" s="20">
        <f>'TR TUSD'!$M$18*'TR TUSD'!$M$60</f>
        <v>2.1584583141570977</v>
      </c>
      <c r="N18" s="20">
        <f ca="1">'TR TUSD'!$N$18*'TR TUSD'!$N$60</f>
        <v>0</v>
      </c>
      <c r="O18" s="20">
        <f>'TR TUSD'!$O$18*'TR TUSD'!$O$60</f>
        <v>0</v>
      </c>
      <c r="P18" s="20">
        <f>'TR TUSD'!$P$18*'TR TUSD'!$P$60</f>
        <v>0</v>
      </c>
      <c r="Q18" s="20">
        <f>'TR TUSD'!$Q$18*'TR TUSD'!$Q$60</f>
        <v>40.926100920084259</v>
      </c>
      <c r="R18" s="20">
        <f>'TR TUSD'!$R$18*'TR TUSD'!$R$60</f>
        <v>15.331583328887247</v>
      </c>
      <c r="S18" s="20">
        <f>'TR TUSD'!$S$18*'TR TUSD'!$S$60</f>
        <v>0</v>
      </c>
      <c r="T18" s="20">
        <f ca="1">SUM($L$18:$S$18)</f>
        <v>58.416142563128602</v>
      </c>
      <c r="U18" s="20">
        <f>'TR TUSD'!$U$18*'TR TUSD'!$U$60</f>
        <v>0</v>
      </c>
      <c r="V18" s="20">
        <f>'TR TUSD'!$V$18*'TR TUSD'!$V$60</f>
        <v>0</v>
      </c>
      <c r="W18" s="20">
        <f>'TR TUSD'!$W$18*'TR TUSD'!$W$60</f>
        <v>0</v>
      </c>
      <c r="X18" s="20">
        <f>'TR TUSD'!$X$18*'TR TUSD'!$X$60</f>
        <v>0</v>
      </c>
      <c r="Y18" s="20">
        <f>'TR TUSD'!$Y$18*'TR TUSD'!$Y$60</f>
        <v>247.55712521225004</v>
      </c>
      <c r="Z18" s="20">
        <f>'TR TUSD'!$Z$18</f>
        <v>0</v>
      </c>
      <c r="AA18" s="20">
        <f>'TR TUSD'!$AA$18</f>
        <v>0</v>
      </c>
      <c r="AB18" s="20">
        <f>SUM($U$18:$AA$18)</f>
        <v>247.55712521225004</v>
      </c>
      <c r="AC18" s="20">
        <f>'TR TUSD'!$AC$18*'TR TUSD'!$AC$60</f>
        <v>937.39184466673248</v>
      </c>
      <c r="AD18" s="20">
        <f>SUM($AC$18:$AC$18)</f>
        <v>937.39184466673248</v>
      </c>
      <c r="AE18" s="20">
        <v>0</v>
      </c>
      <c r="AF18" s="20">
        <v>0</v>
      </c>
      <c r="AG18" s="20">
        <f>SUM($AE$18:$AF$18)</f>
        <v>0</v>
      </c>
      <c r="AH18" s="20">
        <f>'TR TUSD'!$AH$18*'TR TUSD'!$AH$60</f>
        <v>39.353180627220276</v>
      </c>
      <c r="AI18" s="20">
        <f>'TR TUSD'!$AI$18*'TR TUSD'!$AI$60</f>
        <v>0</v>
      </c>
      <c r="AJ18" s="20">
        <f ca="1">'TR TUSD'!$AJ$18*'TR TUSD'!$AJ$60</f>
        <v>0</v>
      </c>
      <c r="AK18" s="20">
        <f ca="1">'TR TUSD'!$AK$18*'TR TUSD'!$AK$60</f>
        <v>0</v>
      </c>
      <c r="AL18" s="20">
        <f ca="1">SUM($AH$18:$AK$18)</f>
        <v>39.353180627220276</v>
      </c>
      <c r="AM18" s="20">
        <f ca="1">SUMIF($L$4:$AL$4,"SUBTOTAL",$L$18:$AL$18)</f>
        <v>1282.7182930693316</v>
      </c>
      <c r="AP18" s="20">
        <v>1</v>
      </c>
    </row>
    <row r="19" spans="1:42" ht="11.25" customHeight="1" x14ac:dyDescent="0.25">
      <c r="A19" s="132"/>
      <c r="B19" s="132"/>
      <c r="C19" s="132"/>
      <c r="D19" s="132"/>
      <c r="E19" s="132"/>
      <c r="F19" s="132"/>
      <c r="G19" s="21" t="s">
        <v>71</v>
      </c>
      <c r="H19" s="21" t="s">
        <v>69</v>
      </c>
      <c r="I19" s="21">
        <f>'MERCADO TUSD'!$U$16</f>
        <v>0.96600000000000008</v>
      </c>
      <c r="J19" s="17"/>
      <c r="L19" s="20">
        <f>'TR TUSD'!$L$19*'TR TUSD'!$L$60</f>
        <v>0</v>
      </c>
      <c r="M19" s="20">
        <f>'TR TUSD'!$M$19*'TR TUSD'!$M$60</f>
        <v>2.1584583141570977</v>
      </c>
      <c r="N19" s="20">
        <f ca="1">'TR TUSD'!$N$19*'TR TUSD'!$N$60</f>
        <v>0</v>
      </c>
      <c r="O19" s="20">
        <f>'TR TUSD'!$O$19*'TR TUSD'!$O$60</f>
        <v>0</v>
      </c>
      <c r="P19" s="20">
        <f>'TR TUSD'!$P$19*'TR TUSD'!$P$60</f>
        <v>0</v>
      </c>
      <c r="Q19" s="20">
        <f>'TR TUSD'!$Q$19*'TR TUSD'!$Q$60</f>
        <v>40.926100920084259</v>
      </c>
      <c r="R19" s="20">
        <f>'TR TUSD'!$R$19*'TR TUSD'!$R$60</f>
        <v>15.331583328887247</v>
      </c>
      <c r="S19" s="20">
        <f>'TR TUSD'!$S$19*'TR TUSD'!$S$60</f>
        <v>0</v>
      </c>
      <c r="T19" s="20">
        <f ca="1">SUM($L$19:$S$19)</f>
        <v>58.416142563128602</v>
      </c>
      <c r="U19" s="20">
        <f>'TR TUSD'!$U$19*'TR TUSD'!$U$60</f>
        <v>0</v>
      </c>
      <c r="V19" s="20">
        <f>'TR TUSD'!$V$19*'TR TUSD'!$V$60</f>
        <v>0</v>
      </c>
      <c r="W19" s="20">
        <f>'TR TUSD'!$W$19*'TR TUSD'!$W$60</f>
        <v>0</v>
      </c>
      <c r="X19" s="20">
        <f>'TR TUSD'!$X$19*'TR TUSD'!$X$60</f>
        <v>0</v>
      </c>
      <c r="Y19" s="20">
        <f>'TR TUSD'!$Y$19*'TR TUSD'!$Y$60</f>
        <v>82.518259342068845</v>
      </c>
      <c r="Z19" s="20">
        <f>'TR TUSD'!$Z$19</f>
        <v>0</v>
      </c>
      <c r="AA19" s="20">
        <f>'TR TUSD'!$AA$19</f>
        <v>0</v>
      </c>
      <c r="AB19" s="20">
        <f>SUM($U$19:$AA$19)</f>
        <v>82.518259342068845</v>
      </c>
      <c r="AC19" s="20">
        <f>'TR TUSD'!$AC$19*'TR TUSD'!$AC$60</f>
        <v>312.46403289285865</v>
      </c>
      <c r="AD19" s="20">
        <f>SUM($AC$19:$AC$19)</f>
        <v>312.46403289285865</v>
      </c>
      <c r="AE19" s="20">
        <v>0</v>
      </c>
      <c r="AF19" s="20">
        <v>0</v>
      </c>
      <c r="AG19" s="20">
        <f>SUM($AE$19:$AF$19)</f>
        <v>0</v>
      </c>
      <c r="AH19" s="20">
        <f>'TR TUSD'!$AH$19*'TR TUSD'!$AH$60</f>
        <v>39.353180627220276</v>
      </c>
      <c r="AI19" s="20">
        <f>'TR TUSD'!$AI$19*'TR TUSD'!$AI$60</f>
        <v>0</v>
      </c>
      <c r="AJ19" s="20">
        <f ca="1">'TR TUSD'!$AJ$19*'TR TUSD'!$AJ$60</f>
        <v>0</v>
      </c>
      <c r="AK19" s="20">
        <f ca="1">'TR TUSD'!$AK$19*'TR TUSD'!$AK$60</f>
        <v>0</v>
      </c>
      <c r="AL19" s="20">
        <f ca="1">SUM($AH$19:$AK$19)</f>
        <v>39.353180627220276</v>
      </c>
      <c r="AM19" s="20">
        <f ca="1">SUMIF($L$4:$AL$4,"SUBTOTAL",$L$19:$AL$19)</f>
        <v>492.75161542527638</v>
      </c>
      <c r="AP19" s="20">
        <v>1</v>
      </c>
    </row>
    <row r="20" spans="1:42" ht="11.25" customHeight="1" x14ac:dyDescent="0.25">
      <c r="A20" s="132"/>
      <c r="B20" s="132" t="s">
        <v>23</v>
      </c>
      <c r="C20" s="132" t="s">
        <v>24</v>
      </c>
      <c r="D20" s="22" t="s">
        <v>24</v>
      </c>
      <c r="E20" s="22" t="s">
        <v>25</v>
      </c>
      <c r="F20" s="22" t="s">
        <v>25</v>
      </c>
      <c r="G20" s="21" t="s">
        <v>73</v>
      </c>
      <c r="H20" s="21" t="s">
        <v>69</v>
      </c>
      <c r="I20" s="21">
        <f>'MERCADO TUSD'!$U$17</f>
        <v>2520.6710000000003</v>
      </c>
      <c r="J20" s="17"/>
      <c r="L20" s="20">
        <f>'TR TUSD'!$L$20*'TR TUSD'!$L$60</f>
        <v>0</v>
      </c>
      <c r="M20" s="20">
        <f>'TR TUSD'!$M$20*'TR TUSD'!$M$60</f>
        <v>2.1584583141570977</v>
      </c>
      <c r="N20" s="20">
        <f ca="1">'TR TUSD'!$N$20*'TR TUSD'!$N$60</f>
        <v>0</v>
      </c>
      <c r="O20" s="20">
        <f>'TR TUSD'!$O$20*'TR TUSD'!$O$60</f>
        <v>0</v>
      </c>
      <c r="P20" s="20">
        <f>'TR TUSD'!$P$20*'TR TUSD'!$P$60</f>
        <v>0</v>
      </c>
      <c r="Q20" s="20">
        <f>'TR TUSD'!$Q$20*'TR TUSD'!$Q$60</f>
        <v>40.926100920084259</v>
      </c>
      <c r="R20" s="20">
        <f>'TR TUSD'!$R$20*'TR TUSD'!$R$60</f>
        <v>15.331583328887247</v>
      </c>
      <c r="S20" s="20">
        <f>'TR TUSD'!$S$20*'TR TUSD'!$S$60</f>
        <v>0</v>
      </c>
      <c r="T20" s="20">
        <f ca="1">SUM($L$20:$S$20)</f>
        <v>58.416142563128602</v>
      </c>
      <c r="U20" s="20">
        <f>'TR TUSD'!$U$20*'TR TUSD'!$U$60</f>
        <v>0</v>
      </c>
      <c r="V20" s="20">
        <f>'TR TUSD'!$V$20*'TR TUSD'!$V$60</f>
        <v>0</v>
      </c>
      <c r="W20" s="20">
        <f>'TR TUSD'!$W$20*'TR TUSD'!$W$60</f>
        <v>0</v>
      </c>
      <c r="X20" s="20">
        <f>'TR TUSD'!$X$20*'TR TUSD'!$X$60</f>
        <v>0</v>
      </c>
      <c r="Y20" s="20">
        <f>'TR TUSD'!$Y$20*'TR TUSD'!$Y$60</f>
        <v>137.53230998561619</v>
      </c>
      <c r="Z20" s="20">
        <f>'TR TUSD'!$Z$20</f>
        <v>0</v>
      </c>
      <c r="AA20" s="20">
        <f>'TR TUSD'!$AA$20</f>
        <v>0</v>
      </c>
      <c r="AB20" s="20">
        <f>SUM($U$20:$AA$20)</f>
        <v>137.53230998561619</v>
      </c>
      <c r="AC20" s="20">
        <f>'TR TUSD'!$AC$20*'TR TUSD'!$AC$60</f>
        <v>520.77317647822815</v>
      </c>
      <c r="AD20" s="20">
        <f>SUM($AC$20:$AC$20)</f>
        <v>520.77317647822815</v>
      </c>
      <c r="AE20" s="20">
        <v>0</v>
      </c>
      <c r="AF20" s="20">
        <v>0</v>
      </c>
      <c r="AG20" s="20">
        <f>SUM($AE$20:$AF$20)</f>
        <v>0</v>
      </c>
      <c r="AH20" s="20">
        <f>'TR TUSD'!$AH$20*'TR TUSD'!$AH$60</f>
        <v>39.353180627220276</v>
      </c>
      <c r="AI20" s="20">
        <f>'TR TUSD'!$AI$20*'TR TUSD'!$AI$60</f>
        <v>0</v>
      </c>
      <c r="AJ20" s="20">
        <f ca="1">'TR TUSD'!$AJ$20*'TR TUSD'!$AJ$60</f>
        <v>0</v>
      </c>
      <c r="AK20" s="20">
        <f ca="1">'TR TUSD'!$AK$20*'TR TUSD'!$AK$60</f>
        <v>0</v>
      </c>
      <c r="AL20" s="20">
        <f ca="1">SUM($AH$20:$AK$20)</f>
        <v>39.353180627220276</v>
      </c>
      <c r="AM20" s="20">
        <f ca="1">SUMIF($L$4:$AL$4,"SUBTOTAL",$L$20:$AL$20)</f>
        <v>756.07480965419325</v>
      </c>
      <c r="AP20" s="20">
        <v>1</v>
      </c>
    </row>
    <row r="21" spans="1:42" ht="11.25" customHeight="1" x14ac:dyDescent="0.25">
      <c r="A21" s="132"/>
      <c r="B21" s="132"/>
      <c r="C21" s="132"/>
      <c r="D21" s="22" t="s">
        <v>28</v>
      </c>
      <c r="E21" s="22" t="s">
        <v>25</v>
      </c>
      <c r="F21" s="22" t="s">
        <v>25</v>
      </c>
      <c r="G21" s="21" t="s">
        <v>73</v>
      </c>
      <c r="H21" s="21" t="s">
        <v>69</v>
      </c>
      <c r="I21" s="21">
        <f>'MERCADO TUSD'!$U$18</f>
        <v>782.16</v>
      </c>
      <c r="J21" s="17"/>
      <c r="L21" s="20">
        <f>'TR TUSD'!$L$21*'TR TUSD'!$L$60</f>
        <v>0</v>
      </c>
      <c r="M21" s="20">
        <f>'TR TUSD'!$M$21*'TR TUSD'!$M$60</f>
        <v>2.1584583141570977</v>
      </c>
      <c r="N21" s="20">
        <f ca="1">'TR TUSD'!$N$21*'TR TUSD'!$N$60</f>
        <v>0</v>
      </c>
      <c r="O21" s="20">
        <f>'TR TUSD'!$O$21*'TR TUSD'!$O$60</f>
        <v>0</v>
      </c>
      <c r="P21" s="20">
        <f>'TR TUSD'!$P$21*'TR TUSD'!$P$60</f>
        <v>0</v>
      </c>
      <c r="Q21" s="20">
        <f>'TR TUSD'!$Q$21*'TR TUSD'!$Q$60</f>
        <v>0</v>
      </c>
      <c r="R21" s="20">
        <f>'TR TUSD'!$R$21*'TR TUSD'!$R$60</f>
        <v>0</v>
      </c>
      <c r="S21" s="20">
        <f>'TR TUSD'!$S$21*'TR TUSD'!$S$60</f>
        <v>0</v>
      </c>
      <c r="T21" s="20">
        <f ca="1">SUM($L$21:$S$21)</f>
        <v>2.1584583141570977</v>
      </c>
      <c r="U21" s="20">
        <f>'TR TUSD'!$U$21*'TR TUSD'!$U$60</f>
        <v>0</v>
      </c>
      <c r="V21" s="20">
        <f>'TR TUSD'!$V$21*'TR TUSD'!$V$60</f>
        <v>0</v>
      </c>
      <c r="W21" s="20">
        <f>'TR TUSD'!$W$21*'TR TUSD'!$W$60</f>
        <v>0</v>
      </c>
      <c r="X21" s="20">
        <f>'TR TUSD'!$X$21*'TR TUSD'!$X$60</f>
        <v>0</v>
      </c>
      <c r="Y21" s="20">
        <f>'TR TUSD'!$Y$21*'TR TUSD'!$Y$60</f>
        <v>137.53230998561619</v>
      </c>
      <c r="Z21" s="20">
        <f>'TR TUSD'!$Z$21</f>
        <v>0</v>
      </c>
      <c r="AA21" s="20">
        <f>'TR TUSD'!$AA$21</f>
        <v>0</v>
      </c>
      <c r="AB21" s="20">
        <f>SUM($U$21:$AA$21)</f>
        <v>137.53230998561619</v>
      </c>
      <c r="AC21" s="20">
        <f>'TR TUSD'!$AC$21*'TR TUSD'!$AC$60</f>
        <v>520.77317647822815</v>
      </c>
      <c r="AD21" s="20">
        <f>SUM($AC$21:$AC$21)</f>
        <v>520.77317647822815</v>
      </c>
      <c r="AE21" s="20">
        <v>0</v>
      </c>
      <c r="AF21" s="20">
        <v>0</v>
      </c>
      <c r="AG21" s="20">
        <f>SUM($AE$21:$AF$21)</f>
        <v>0</v>
      </c>
      <c r="AH21" s="20">
        <f>'TR TUSD'!$AH$21*'TR TUSD'!$AH$60</f>
        <v>39.353180627220276</v>
      </c>
      <c r="AI21" s="20">
        <f>'TR TUSD'!$AI$21*'TR TUSD'!$AI$60</f>
        <v>0</v>
      </c>
      <c r="AJ21" s="20">
        <f ca="1">'TR TUSD'!$AJ$21*'TR TUSD'!$AJ$60</f>
        <v>0</v>
      </c>
      <c r="AK21" s="20">
        <f ca="1">'TR TUSD'!$AK$21*'TR TUSD'!$AK$60</f>
        <v>0</v>
      </c>
      <c r="AL21" s="20">
        <f ca="1">SUM($AH$21:$AK$21)</f>
        <v>39.353180627220276</v>
      </c>
      <c r="AM21" s="20">
        <f ca="1">SUMIF($L$4:$AL$4,"SUBTOTAL",$L$21:$AL$21)</f>
        <v>699.81712540522165</v>
      </c>
      <c r="AP21" s="20">
        <f>IF((1 - CUSTOS!$M$24)&lt;&gt;0,1/(1 - CUSTOS!$M$24),1)</f>
        <v>1</v>
      </c>
    </row>
    <row r="22" spans="1:42" ht="11.25" customHeight="1" x14ac:dyDescent="0.25">
      <c r="A22" s="132"/>
      <c r="B22" s="132"/>
      <c r="C22" s="132"/>
      <c r="D22" s="22" t="s">
        <v>29</v>
      </c>
      <c r="E22" s="22" t="s">
        <v>25</v>
      </c>
      <c r="F22" s="22" t="s">
        <v>25</v>
      </c>
      <c r="G22" s="21" t="s">
        <v>73</v>
      </c>
      <c r="H22" s="21" t="s">
        <v>69</v>
      </c>
      <c r="I22" s="21">
        <f>'MERCADO TUSD'!$U$19</f>
        <v>1214.3559999999998</v>
      </c>
      <c r="J22" s="17"/>
      <c r="L22" s="20">
        <f>'TR TUSD'!$L$22*'TR TUSD'!$L$60</f>
        <v>0</v>
      </c>
      <c r="M22" s="20">
        <f>'TR TUSD'!$M$22*'TR TUSD'!$M$60</f>
        <v>2.1584583141570977</v>
      </c>
      <c r="N22" s="20">
        <f ca="1">'TR TUSD'!$N$22*'TR TUSD'!$N$60</f>
        <v>0</v>
      </c>
      <c r="O22" s="20">
        <f>'TR TUSD'!$O$22*'TR TUSD'!$O$60</f>
        <v>0</v>
      </c>
      <c r="P22" s="20">
        <f>'TR TUSD'!$P$22*'TR TUSD'!$P$60</f>
        <v>0</v>
      </c>
      <c r="Q22" s="20">
        <f>'TR TUSD'!$Q$22*'TR TUSD'!$Q$60</f>
        <v>0</v>
      </c>
      <c r="R22" s="20">
        <f>'TR TUSD'!$R$22*'TR TUSD'!$R$60</f>
        <v>0</v>
      </c>
      <c r="S22" s="20">
        <f>'TR TUSD'!$S$22*'TR TUSD'!$S$60</f>
        <v>0</v>
      </c>
      <c r="T22" s="20">
        <f ca="1">SUM($L$22:$S$22)</f>
        <v>2.1584583141570977</v>
      </c>
      <c r="U22" s="20">
        <f>'TR TUSD'!$U$22*'TR TUSD'!$U$60</f>
        <v>0</v>
      </c>
      <c r="V22" s="20">
        <f>'TR TUSD'!$V$22*'TR TUSD'!$V$60</f>
        <v>0</v>
      </c>
      <c r="W22" s="20">
        <f>'TR TUSD'!$W$22*'TR TUSD'!$W$60</f>
        <v>0</v>
      </c>
      <c r="X22" s="20">
        <f>'TR TUSD'!$X$22*'TR TUSD'!$X$60</f>
        <v>0</v>
      </c>
      <c r="Y22" s="20">
        <f>'TR TUSD'!$Y$22*'TR TUSD'!$Y$60</f>
        <v>137.53230998561619</v>
      </c>
      <c r="Z22" s="20">
        <f>'TR TUSD'!$Z$22</f>
        <v>0</v>
      </c>
      <c r="AA22" s="20">
        <f>'TR TUSD'!$AA$22</f>
        <v>0</v>
      </c>
      <c r="AB22" s="20">
        <f>SUM($U$22:$AA$22)</f>
        <v>137.53230998561619</v>
      </c>
      <c r="AC22" s="20">
        <f>'TR TUSD'!$AC$22*'TR TUSD'!$AC$60</f>
        <v>520.77317647822815</v>
      </c>
      <c r="AD22" s="20">
        <f>SUM($AC$22:$AC$22)</f>
        <v>520.77317647822815</v>
      </c>
      <c r="AE22" s="20">
        <v>0</v>
      </c>
      <c r="AF22" s="20">
        <v>0</v>
      </c>
      <c r="AG22" s="20">
        <f>SUM($AE$22:$AF$22)</f>
        <v>0</v>
      </c>
      <c r="AH22" s="20">
        <f>'TR TUSD'!$AH$22*'TR TUSD'!$AH$60</f>
        <v>39.353180627220276</v>
      </c>
      <c r="AI22" s="20">
        <f>'TR TUSD'!$AI$22*'TR TUSD'!$AI$60</f>
        <v>0</v>
      </c>
      <c r="AJ22" s="20">
        <f ca="1">'TR TUSD'!$AJ$22*'TR TUSD'!$AJ$60</f>
        <v>0</v>
      </c>
      <c r="AK22" s="20">
        <f ca="1">'TR TUSD'!$AK$22*'TR TUSD'!$AK$60</f>
        <v>0</v>
      </c>
      <c r="AL22" s="20">
        <f ca="1">SUM($AH$22:$AK$22)</f>
        <v>39.353180627220276</v>
      </c>
      <c r="AM22" s="20">
        <f ca="1">SUMIF($L$4:$AL$4,"SUBTOTAL",$L$22:$AL$22)</f>
        <v>699.81712540522165</v>
      </c>
      <c r="AP22" s="20">
        <f>IF((1 - CUSTOS!$M$25)&lt;&gt;0,1/(1 - CUSTOS!$M$25),1)</f>
        <v>1</v>
      </c>
    </row>
    <row r="23" spans="1:42" ht="11.25" customHeight="1" x14ac:dyDescent="0.25">
      <c r="A23" s="132"/>
      <c r="B23" s="132"/>
      <c r="C23" s="132"/>
      <c r="D23" s="22" t="s">
        <v>30</v>
      </c>
      <c r="E23" s="22" t="s">
        <v>25</v>
      </c>
      <c r="F23" s="22" t="s">
        <v>25</v>
      </c>
      <c r="G23" s="21" t="s">
        <v>73</v>
      </c>
      <c r="H23" s="21" t="s">
        <v>69</v>
      </c>
      <c r="I23" s="21">
        <f>'MERCADO TUSD'!$U$20</f>
        <v>403.89</v>
      </c>
      <c r="J23" s="17"/>
      <c r="L23" s="20">
        <f>'TR TUSD'!$L$23*'TR TUSD'!$L$60</f>
        <v>0</v>
      </c>
      <c r="M23" s="20">
        <f>'TR TUSD'!$M$23*'TR TUSD'!$M$60</f>
        <v>2.1584583141570977</v>
      </c>
      <c r="N23" s="20">
        <f ca="1">'TR TUSD'!$N$23*'TR TUSD'!$N$60</f>
        <v>0</v>
      </c>
      <c r="O23" s="20">
        <f>'TR TUSD'!$O$23*'TR TUSD'!$O$60</f>
        <v>0</v>
      </c>
      <c r="P23" s="20">
        <f>'TR TUSD'!$P$23*'TR TUSD'!$P$60</f>
        <v>0</v>
      </c>
      <c r="Q23" s="20">
        <f>'TR TUSD'!$Q$23*'TR TUSD'!$Q$60</f>
        <v>0</v>
      </c>
      <c r="R23" s="20">
        <f>'TR TUSD'!$R$23*'TR TUSD'!$R$60</f>
        <v>0</v>
      </c>
      <c r="S23" s="20">
        <f>'TR TUSD'!$S$23*'TR TUSD'!$S$60</f>
        <v>0</v>
      </c>
      <c r="T23" s="20">
        <f ca="1">SUM($L$23:$S$23)</f>
        <v>2.1584583141570977</v>
      </c>
      <c r="U23" s="20">
        <f>'TR TUSD'!$U$23*'TR TUSD'!$U$60</f>
        <v>0</v>
      </c>
      <c r="V23" s="20">
        <f>'TR TUSD'!$V$23*'TR TUSD'!$V$60</f>
        <v>0</v>
      </c>
      <c r="W23" s="20">
        <f>'TR TUSD'!$W$23*'TR TUSD'!$W$60</f>
        <v>0</v>
      </c>
      <c r="X23" s="20">
        <f>'TR TUSD'!$X$23*'TR TUSD'!$X$60</f>
        <v>0</v>
      </c>
      <c r="Y23" s="20">
        <f>'TR TUSD'!$Y$23*'TR TUSD'!$Y$60</f>
        <v>137.53230998561619</v>
      </c>
      <c r="Z23" s="20">
        <f>'TR TUSD'!$Z$23</f>
        <v>0</v>
      </c>
      <c r="AA23" s="20">
        <f>'TR TUSD'!$AA$23</f>
        <v>0</v>
      </c>
      <c r="AB23" s="20">
        <f>SUM($U$23:$AA$23)</f>
        <v>137.53230998561619</v>
      </c>
      <c r="AC23" s="20">
        <f>'TR TUSD'!$AC$23*'TR TUSD'!$AC$60</f>
        <v>520.77317647822815</v>
      </c>
      <c r="AD23" s="20">
        <f>SUM($AC$23:$AC$23)</f>
        <v>520.77317647822815</v>
      </c>
      <c r="AE23" s="20">
        <v>0</v>
      </c>
      <c r="AF23" s="20">
        <v>0</v>
      </c>
      <c r="AG23" s="20">
        <f>SUM($AE$23:$AF$23)</f>
        <v>0</v>
      </c>
      <c r="AH23" s="20">
        <f>'TR TUSD'!$AH$23*'TR TUSD'!$AH$60</f>
        <v>39.353180627220276</v>
      </c>
      <c r="AI23" s="20">
        <f>'TR TUSD'!$AI$23*'TR TUSD'!$AI$60</f>
        <v>0</v>
      </c>
      <c r="AJ23" s="20">
        <f ca="1">'TR TUSD'!$AJ$23*'TR TUSD'!$AJ$60</f>
        <v>0</v>
      </c>
      <c r="AK23" s="20">
        <f ca="1">'TR TUSD'!$AK$23*'TR TUSD'!$AK$60</f>
        <v>0</v>
      </c>
      <c r="AL23" s="20">
        <f ca="1">SUM($AH$23:$AK$23)</f>
        <v>39.353180627220276</v>
      </c>
      <c r="AM23" s="20">
        <f ca="1">SUMIF($L$4:$AL$4,"SUBTOTAL",$L$23:$AL$23)</f>
        <v>699.81712540522165</v>
      </c>
      <c r="AP23" s="20">
        <f>IF((1 - CUSTOS!$M$26)&lt;&gt;0,1/(1 - CUSTOS!$M$26),1)</f>
        <v>1</v>
      </c>
    </row>
    <row r="24" spans="1:42" ht="11.25" customHeight="1" x14ac:dyDescent="0.25">
      <c r="A24" s="132"/>
      <c r="B24" s="132"/>
      <c r="C24" s="132"/>
      <c r="D24" s="22" t="s">
        <v>31</v>
      </c>
      <c r="E24" s="22" t="s">
        <v>25</v>
      </c>
      <c r="F24" s="22" t="s">
        <v>25</v>
      </c>
      <c r="G24" s="21" t="s">
        <v>73</v>
      </c>
      <c r="H24" s="21" t="s">
        <v>69</v>
      </c>
      <c r="I24" s="21">
        <f>'MERCADO TUSD'!$U$21</f>
        <v>103.88300000000001</v>
      </c>
      <c r="J24" s="17"/>
      <c r="L24" s="20">
        <f>'TR TUSD'!$L$24*'TR TUSD'!$L$60</f>
        <v>0</v>
      </c>
      <c r="M24" s="20">
        <f>'TR TUSD'!$M$24*'TR TUSD'!$M$60</f>
        <v>2.1584583141570977</v>
      </c>
      <c r="N24" s="20">
        <f ca="1">'TR TUSD'!$N$24*'TR TUSD'!$N$60</f>
        <v>0</v>
      </c>
      <c r="O24" s="20">
        <f>'TR TUSD'!$O$24*'TR TUSD'!$O$60</f>
        <v>0</v>
      </c>
      <c r="P24" s="20">
        <f>'TR TUSD'!$P$24*'TR TUSD'!$P$60</f>
        <v>0</v>
      </c>
      <c r="Q24" s="20">
        <f>'TR TUSD'!$Q$24*'TR TUSD'!$Q$60</f>
        <v>0</v>
      </c>
      <c r="R24" s="20">
        <f>'TR TUSD'!$R$24*'TR TUSD'!$R$60</f>
        <v>0</v>
      </c>
      <c r="S24" s="20">
        <f>'TR TUSD'!$S$24*'TR TUSD'!$S$60</f>
        <v>0</v>
      </c>
      <c r="T24" s="20">
        <f ca="1">SUM($L$24:$S$24)</f>
        <v>2.1584583141570977</v>
      </c>
      <c r="U24" s="20">
        <f>'TR TUSD'!$U$24*'TR TUSD'!$U$60</f>
        <v>0</v>
      </c>
      <c r="V24" s="20">
        <f>'TR TUSD'!$V$24*'TR TUSD'!$V$60</f>
        <v>0</v>
      </c>
      <c r="W24" s="20">
        <f>'TR TUSD'!$W$24*'TR TUSD'!$W$60</f>
        <v>0</v>
      </c>
      <c r="X24" s="20">
        <f>'TR TUSD'!$X$24*'TR TUSD'!$X$60</f>
        <v>0</v>
      </c>
      <c r="Y24" s="20">
        <f>'TR TUSD'!$Y$24*'TR TUSD'!$Y$60</f>
        <v>137.53230998561619</v>
      </c>
      <c r="Z24" s="20">
        <f>'TR TUSD'!$Z$24</f>
        <v>0</v>
      </c>
      <c r="AA24" s="20">
        <f>'TR TUSD'!$AA$24</f>
        <v>0</v>
      </c>
      <c r="AB24" s="20">
        <f>SUM($U$24:$AA$24)</f>
        <v>137.53230998561619</v>
      </c>
      <c r="AC24" s="20">
        <f>'TR TUSD'!$AC$24*'TR TUSD'!$AC$60</f>
        <v>520.77317647822815</v>
      </c>
      <c r="AD24" s="20">
        <f>SUM($AC$24:$AC$24)</f>
        <v>520.77317647822815</v>
      </c>
      <c r="AE24" s="20">
        <v>0</v>
      </c>
      <c r="AF24" s="20">
        <v>0</v>
      </c>
      <c r="AG24" s="20">
        <f>SUM($AE$24:$AF$24)</f>
        <v>0</v>
      </c>
      <c r="AH24" s="20">
        <f>'TR TUSD'!$AH$24*'TR TUSD'!$AH$60</f>
        <v>39.353180627220276</v>
      </c>
      <c r="AI24" s="20">
        <f>'TR TUSD'!$AI$24*'TR TUSD'!$AI$60</f>
        <v>0</v>
      </c>
      <c r="AJ24" s="20">
        <f ca="1">'TR TUSD'!$AJ$24*'TR TUSD'!$AJ$60</f>
        <v>0</v>
      </c>
      <c r="AK24" s="20">
        <f ca="1">'TR TUSD'!$AK$24*'TR TUSD'!$AK$60</f>
        <v>0</v>
      </c>
      <c r="AL24" s="20">
        <f ca="1">SUM($AH$24:$AK$24)</f>
        <v>39.353180627220276</v>
      </c>
      <c r="AM24" s="20">
        <f ca="1">SUMIF($L$4:$AL$4,"SUBTOTAL",$L$24:$AL$24)</f>
        <v>699.81712540522165</v>
      </c>
      <c r="AP24" s="20">
        <f>IF((1 - CUSTOS!$M$27)&lt;&gt;0,1/(1 - CUSTOS!$M$27),1)</f>
        <v>1</v>
      </c>
    </row>
    <row r="25" spans="1:42" ht="11.25" customHeight="1" x14ac:dyDescent="0.25">
      <c r="A25" s="132"/>
      <c r="B25" s="132" t="s">
        <v>85</v>
      </c>
      <c r="C25" s="132" t="s">
        <v>24</v>
      </c>
      <c r="D25" s="22" t="s">
        <v>24</v>
      </c>
      <c r="E25" s="22" t="s">
        <v>25</v>
      </c>
      <c r="F25" s="22" t="s">
        <v>25</v>
      </c>
      <c r="G25" s="21" t="s">
        <v>73</v>
      </c>
      <c r="H25" s="21" t="s">
        <v>69</v>
      </c>
      <c r="I25" s="21">
        <f>'MERCADO TUSD'!$U$22</f>
        <v>0</v>
      </c>
      <c r="J25" s="17"/>
      <c r="L25" s="20">
        <f>'TR TUSD'!$L$25*'TR TUSD'!$L$60</f>
        <v>0</v>
      </c>
      <c r="M25" s="20">
        <f>'TR TUSD'!$M$25*'TR TUSD'!$M$60</f>
        <v>2.1584583141570977</v>
      </c>
      <c r="N25" s="20">
        <f ca="1">'TR TUSD'!$N$25*'TR TUSD'!$N$60</f>
        <v>0</v>
      </c>
      <c r="O25" s="20">
        <f>'TR TUSD'!$O$25*'TR TUSD'!$O$60</f>
        <v>0</v>
      </c>
      <c r="P25" s="20">
        <f>'TR TUSD'!$P$25*'TR TUSD'!$P$60</f>
        <v>0</v>
      </c>
      <c r="Q25" s="20">
        <f>'TR TUSD'!$Q$25*'TR TUSD'!$Q$60</f>
        <v>40.926100920084259</v>
      </c>
      <c r="R25" s="20">
        <f>'TR TUSD'!$R$25*'TR TUSD'!$R$60</f>
        <v>15.331583328887247</v>
      </c>
      <c r="S25" s="20">
        <f>'TR TUSD'!$S$25*'TR TUSD'!$S$60</f>
        <v>0</v>
      </c>
      <c r="T25" s="20">
        <f ca="1">SUM($L$25:$S$25)</f>
        <v>58.416142563128602</v>
      </c>
      <c r="U25" s="20">
        <f>'TR TUSD'!$U$25*'TR TUSD'!$U$60</f>
        <v>0</v>
      </c>
      <c r="V25" s="20">
        <f>'TR TUSD'!$V$25*'TR TUSD'!$V$60</f>
        <v>0</v>
      </c>
      <c r="W25" s="20">
        <f>'TR TUSD'!$W$25*'TR TUSD'!$W$60</f>
        <v>0</v>
      </c>
      <c r="X25" s="20">
        <f>'TR TUSD'!$X$25*'TR TUSD'!$X$60</f>
        <v>0</v>
      </c>
      <c r="Y25" s="20">
        <f>'TR TUSD'!$Y$25*'TR TUSD'!$Y$60</f>
        <v>137.53230998561619</v>
      </c>
      <c r="Z25" s="20">
        <f>'TR TUSD'!$Z$25</f>
        <v>0</v>
      </c>
      <c r="AA25" s="20">
        <f>'TR TUSD'!$AA$25</f>
        <v>0</v>
      </c>
      <c r="AB25" s="20">
        <f>SUM($U$25:$AA$25)</f>
        <v>137.53230998561619</v>
      </c>
      <c r="AC25" s="20">
        <f>'TR TUSD'!$AC$25*'TR TUSD'!$AC$60</f>
        <v>520.77317647822815</v>
      </c>
      <c r="AD25" s="20">
        <f>SUM($AC$25:$AC$25)</f>
        <v>520.77317647822815</v>
      </c>
      <c r="AE25" s="20">
        <v>0</v>
      </c>
      <c r="AF25" s="20">
        <v>0</v>
      </c>
      <c r="AG25" s="20">
        <f>SUM($AE$25:$AF$25)</f>
        <v>0</v>
      </c>
      <c r="AH25" s="20">
        <f>'TR TUSD'!$AH$25*'TR TUSD'!$AH$60</f>
        <v>39.353180627220276</v>
      </c>
      <c r="AI25" s="20">
        <f>'TR TUSD'!$AI$25*'TR TUSD'!$AI$60</f>
        <v>0</v>
      </c>
      <c r="AJ25" s="20">
        <f ca="1">'TR TUSD'!$AJ$25*'TR TUSD'!$AJ$60</f>
        <v>0</v>
      </c>
      <c r="AK25" s="20">
        <f ca="1">'TR TUSD'!$AK$25*'TR TUSD'!$AK$60</f>
        <v>0</v>
      </c>
      <c r="AL25" s="20">
        <f ca="1">SUM($AH$25:$AK$25)</f>
        <v>39.353180627220276</v>
      </c>
      <c r="AM25" s="20">
        <f ca="1">SUMIF($L$4:$AL$4,"SUBTOTAL",$L$25:$AL$25)</f>
        <v>756.07480965419325</v>
      </c>
      <c r="AP25" s="20">
        <v>1</v>
      </c>
    </row>
    <row r="26" spans="1:42" ht="11.25" customHeight="1" x14ac:dyDescent="0.25">
      <c r="A26" s="132"/>
      <c r="B26" s="132"/>
      <c r="C26" s="132"/>
      <c r="D26" s="22" t="s">
        <v>28</v>
      </c>
      <c r="E26" s="22" t="s">
        <v>25</v>
      </c>
      <c r="F26" s="22" t="s">
        <v>25</v>
      </c>
      <c r="G26" s="21" t="s">
        <v>73</v>
      </c>
      <c r="H26" s="21" t="s">
        <v>69</v>
      </c>
      <c r="I26" s="21">
        <f>'MERCADO TUSD'!$U$23</f>
        <v>0</v>
      </c>
      <c r="J26" s="17"/>
      <c r="L26" s="20">
        <f>'TR TUSD'!$L$26*'TR TUSD'!$L$60</f>
        <v>0</v>
      </c>
      <c r="M26" s="20">
        <f>'TR TUSD'!$M$26*'TR TUSD'!$M$60</f>
        <v>2.1584583141570977</v>
      </c>
      <c r="N26" s="20">
        <f ca="1">'TR TUSD'!$N$26*'TR TUSD'!$N$60</f>
        <v>0</v>
      </c>
      <c r="O26" s="20">
        <f>'TR TUSD'!$O$26*'TR TUSD'!$O$60</f>
        <v>0</v>
      </c>
      <c r="P26" s="20">
        <f>'TR TUSD'!$P$26*'TR TUSD'!$P$60</f>
        <v>0</v>
      </c>
      <c r="Q26" s="20">
        <f>'TR TUSD'!$Q$26*'TR TUSD'!$Q$60</f>
        <v>0</v>
      </c>
      <c r="R26" s="20">
        <f>'TR TUSD'!$R$26*'TR TUSD'!$R$60</f>
        <v>0</v>
      </c>
      <c r="S26" s="20">
        <f>'TR TUSD'!$S$26*'TR TUSD'!$S$60</f>
        <v>0</v>
      </c>
      <c r="T26" s="20">
        <f ca="1">SUM($L$26:$S$26)</f>
        <v>2.1584583141570977</v>
      </c>
      <c r="U26" s="20">
        <f>'TR TUSD'!$U$26*'TR TUSD'!$U$60</f>
        <v>0</v>
      </c>
      <c r="V26" s="20">
        <f>'TR TUSD'!$V$26*'TR TUSD'!$V$60</f>
        <v>0</v>
      </c>
      <c r="W26" s="20">
        <f>'TR TUSD'!$W$26*'TR TUSD'!$W$60</f>
        <v>0</v>
      </c>
      <c r="X26" s="20">
        <f>'TR TUSD'!$X$26*'TR TUSD'!$X$60</f>
        <v>0</v>
      </c>
      <c r="Y26" s="20">
        <f>'TR TUSD'!$Y$26*'TR TUSD'!$Y$60</f>
        <v>137.53230998561619</v>
      </c>
      <c r="Z26" s="20">
        <f>'TR TUSD'!$Z$26</f>
        <v>0</v>
      </c>
      <c r="AA26" s="20">
        <f>'TR TUSD'!$AA$26</f>
        <v>0</v>
      </c>
      <c r="AB26" s="20">
        <f>SUM($U$26:$AA$26)</f>
        <v>137.53230998561619</v>
      </c>
      <c r="AC26" s="20">
        <f>'TR TUSD'!$AC$26*'TR TUSD'!$AC$60</f>
        <v>520.77317647822815</v>
      </c>
      <c r="AD26" s="20">
        <f>SUM($AC$26:$AC$26)</f>
        <v>520.77317647822815</v>
      </c>
      <c r="AE26" s="20">
        <v>0</v>
      </c>
      <c r="AF26" s="20">
        <v>0</v>
      </c>
      <c r="AG26" s="20">
        <f>SUM($AE$26:$AF$26)</f>
        <v>0</v>
      </c>
      <c r="AH26" s="20">
        <f>'TR TUSD'!$AH$26*'TR TUSD'!$AH$60</f>
        <v>39.353180627220276</v>
      </c>
      <c r="AI26" s="20">
        <f>'TR TUSD'!$AI$26*'TR TUSD'!$AI$60</f>
        <v>0</v>
      </c>
      <c r="AJ26" s="20">
        <f ca="1">'TR TUSD'!$AJ$26*'TR TUSD'!$AJ$60</f>
        <v>0</v>
      </c>
      <c r="AK26" s="20">
        <f ca="1">'TR TUSD'!$AK$26*'TR TUSD'!$AK$60</f>
        <v>0</v>
      </c>
      <c r="AL26" s="20">
        <f ca="1">SUM($AH$26:$AK$26)</f>
        <v>39.353180627220276</v>
      </c>
      <c r="AM26" s="20">
        <f ca="1">SUMIF($L$4:$AL$4,"SUBTOTAL",$L$26:$AL$26)</f>
        <v>699.81712540522165</v>
      </c>
      <c r="AP26" s="20">
        <f>IF((1 - CUSTOS!$M$24)&lt;&gt;0,1/(1 - CUSTOS!$M$24),1)</f>
        <v>1</v>
      </c>
    </row>
    <row r="27" spans="1:42" ht="11.25" customHeight="1" x14ac:dyDescent="0.25">
      <c r="A27" s="132"/>
      <c r="B27" s="132"/>
      <c r="C27" s="132"/>
      <c r="D27" s="22" t="s">
        <v>29</v>
      </c>
      <c r="E27" s="22" t="s">
        <v>25</v>
      </c>
      <c r="F27" s="22" t="s">
        <v>25</v>
      </c>
      <c r="G27" s="21" t="s">
        <v>73</v>
      </c>
      <c r="H27" s="21" t="s">
        <v>69</v>
      </c>
      <c r="I27" s="21">
        <f>'MERCADO TUSD'!$U$24</f>
        <v>0</v>
      </c>
      <c r="J27" s="17"/>
      <c r="L27" s="20">
        <f>'TR TUSD'!$L$27*'TR TUSD'!$L$60</f>
        <v>0</v>
      </c>
      <c r="M27" s="20">
        <f>'TR TUSD'!$M$27*'TR TUSD'!$M$60</f>
        <v>2.1584583141570977</v>
      </c>
      <c r="N27" s="20">
        <f ca="1">'TR TUSD'!$N$27*'TR TUSD'!$N$60</f>
        <v>0</v>
      </c>
      <c r="O27" s="20">
        <f>'TR TUSD'!$O$27*'TR TUSD'!$O$60</f>
        <v>0</v>
      </c>
      <c r="P27" s="20">
        <f>'TR TUSD'!$P$27*'TR TUSD'!$P$60</f>
        <v>0</v>
      </c>
      <c r="Q27" s="20">
        <f>'TR TUSD'!$Q$27*'TR TUSD'!$Q$60</f>
        <v>0</v>
      </c>
      <c r="R27" s="20">
        <f>'TR TUSD'!$R$27*'TR TUSD'!$R$60</f>
        <v>0</v>
      </c>
      <c r="S27" s="20">
        <f>'TR TUSD'!$S$27*'TR TUSD'!$S$60</f>
        <v>0</v>
      </c>
      <c r="T27" s="20">
        <f ca="1">SUM($L$27:$S$27)</f>
        <v>2.1584583141570977</v>
      </c>
      <c r="U27" s="20">
        <f>'TR TUSD'!$U$27*'TR TUSD'!$U$60</f>
        <v>0</v>
      </c>
      <c r="V27" s="20">
        <f>'TR TUSD'!$V$27*'TR TUSD'!$V$60</f>
        <v>0</v>
      </c>
      <c r="W27" s="20">
        <f>'TR TUSD'!$W$27*'TR TUSD'!$W$60</f>
        <v>0</v>
      </c>
      <c r="X27" s="20">
        <f>'TR TUSD'!$X$27*'TR TUSD'!$X$60</f>
        <v>0</v>
      </c>
      <c r="Y27" s="20">
        <f>'TR TUSD'!$Y$27*'TR TUSD'!$Y$60</f>
        <v>137.53230998561619</v>
      </c>
      <c r="Z27" s="20">
        <f>'TR TUSD'!$Z$27</f>
        <v>0</v>
      </c>
      <c r="AA27" s="20">
        <f>'TR TUSD'!$AA$27</f>
        <v>0</v>
      </c>
      <c r="AB27" s="20">
        <f>SUM($U$27:$AA$27)</f>
        <v>137.53230998561619</v>
      </c>
      <c r="AC27" s="20">
        <f>'TR TUSD'!$AC$27*'TR TUSD'!$AC$60</f>
        <v>520.77317647822815</v>
      </c>
      <c r="AD27" s="20">
        <f>SUM($AC$27:$AC$27)</f>
        <v>520.77317647822815</v>
      </c>
      <c r="AE27" s="20">
        <v>0</v>
      </c>
      <c r="AF27" s="20">
        <v>0</v>
      </c>
      <c r="AG27" s="20">
        <f>SUM($AE$27:$AF$27)</f>
        <v>0</v>
      </c>
      <c r="AH27" s="20">
        <f>'TR TUSD'!$AH$27*'TR TUSD'!$AH$60</f>
        <v>39.353180627220276</v>
      </c>
      <c r="AI27" s="20">
        <f>'TR TUSD'!$AI$27*'TR TUSD'!$AI$60</f>
        <v>0</v>
      </c>
      <c r="AJ27" s="20">
        <f ca="1">'TR TUSD'!$AJ$27*'TR TUSD'!$AJ$60</f>
        <v>0</v>
      </c>
      <c r="AK27" s="20">
        <f ca="1">'TR TUSD'!$AK$27*'TR TUSD'!$AK$60</f>
        <v>0</v>
      </c>
      <c r="AL27" s="20">
        <f ca="1">SUM($AH$27:$AK$27)</f>
        <v>39.353180627220276</v>
      </c>
      <c r="AM27" s="20">
        <f ca="1">SUMIF($L$4:$AL$4,"SUBTOTAL",$L$27:$AL$27)</f>
        <v>699.81712540522165</v>
      </c>
      <c r="AP27" s="20">
        <f>IF((1 - CUSTOS!$M$25)&lt;&gt;0,1/(1 - CUSTOS!$M$25),1)</f>
        <v>1</v>
      </c>
    </row>
    <row r="28" spans="1:42" ht="11.25" customHeight="1" x14ac:dyDescent="0.25">
      <c r="A28" s="132"/>
      <c r="B28" s="132"/>
      <c r="C28" s="132"/>
      <c r="D28" s="22" t="s">
        <v>30</v>
      </c>
      <c r="E28" s="22" t="s">
        <v>25</v>
      </c>
      <c r="F28" s="22" t="s">
        <v>25</v>
      </c>
      <c r="G28" s="21" t="s">
        <v>73</v>
      </c>
      <c r="H28" s="21" t="s">
        <v>69</v>
      </c>
      <c r="I28" s="21">
        <f>'MERCADO TUSD'!$U$25</f>
        <v>0</v>
      </c>
      <c r="J28" s="17"/>
      <c r="L28" s="20">
        <f>'TR TUSD'!$L$28*'TR TUSD'!$L$60</f>
        <v>0</v>
      </c>
      <c r="M28" s="20">
        <f>'TR TUSD'!$M$28*'TR TUSD'!$M$60</f>
        <v>2.1584583141570977</v>
      </c>
      <c r="N28" s="20">
        <f ca="1">'TR TUSD'!$N$28*'TR TUSD'!$N$60</f>
        <v>0</v>
      </c>
      <c r="O28" s="20">
        <f>'TR TUSD'!$O$28*'TR TUSD'!$O$60</f>
        <v>0</v>
      </c>
      <c r="P28" s="20">
        <f>'TR TUSD'!$P$28*'TR TUSD'!$P$60</f>
        <v>0</v>
      </c>
      <c r="Q28" s="20">
        <f>'TR TUSD'!$Q$28*'TR TUSD'!$Q$60</f>
        <v>0</v>
      </c>
      <c r="R28" s="20">
        <f>'TR TUSD'!$R$28*'TR TUSD'!$R$60</f>
        <v>0</v>
      </c>
      <c r="S28" s="20">
        <f>'TR TUSD'!$S$28*'TR TUSD'!$S$60</f>
        <v>0</v>
      </c>
      <c r="T28" s="20">
        <f ca="1">SUM($L$28:$S$28)</f>
        <v>2.1584583141570977</v>
      </c>
      <c r="U28" s="20">
        <f>'TR TUSD'!$U$28*'TR TUSD'!$U$60</f>
        <v>0</v>
      </c>
      <c r="V28" s="20">
        <f>'TR TUSD'!$V$28*'TR TUSD'!$V$60</f>
        <v>0</v>
      </c>
      <c r="W28" s="20">
        <f>'TR TUSD'!$W$28*'TR TUSD'!$W$60</f>
        <v>0</v>
      </c>
      <c r="X28" s="20">
        <f>'TR TUSD'!$X$28*'TR TUSD'!$X$60</f>
        <v>0</v>
      </c>
      <c r="Y28" s="20">
        <f>'TR TUSD'!$Y$28*'TR TUSD'!$Y$60</f>
        <v>137.53230998561619</v>
      </c>
      <c r="Z28" s="20">
        <f>'TR TUSD'!$Z$28</f>
        <v>0</v>
      </c>
      <c r="AA28" s="20">
        <f>'TR TUSD'!$AA$28</f>
        <v>0</v>
      </c>
      <c r="AB28" s="20">
        <f>SUM($U$28:$AA$28)</f>
        <v>137.53230998561619</v>
      </c>
      <c r="AC28" s="20">
        <f>'TR TUSD'!$AC$28*'TR TUSD'!$AC$60</f>
        <v>520.77317647822815</v>
      </c>
      <c r="AD28" s="20">
        <f>SUM($AC$28:$AC$28)</f>
        <v>520.77317647822815</v>
      </c>
      <c r="AE28" s="20">
        <v>0</v>
      </c>
      <c r="AF28" s="20">
        <v>0</v>
      </c>
      <c r="AG28" s="20">
        <f>SUM($AE$28:$AF$28)</f>
        <v>0</v>
      </c>
      <c r="AH28" s="20">
        <f>'TR TUSD'!$AH$28*'TR TUSD'!$AH$60</f>
        <v>39.353180627220276</v>
      </c>
      <c r="AI28" s="20">
        <f>'TR TUSD'!$AI$28*'TR TUSD'!$AI$60</f>
        <v>0</v>
      </c>
      <c r="AJ28" s="20">
        <f ca="1">'TR TUSD'!$AJ$28*'TR TUSD'!$AJ$60</f>
        <v>0</v>
      </c>
      <c r="AK28" s="20">
        <f ca="1">'TR TUSD'!$AK$28*'TR TUSD'!$AK$60</f>
        <v>0</v>
      </c>
      <c r="AL28" s="20">
        <f ca="1">SUM($AH$28:$AK$28)</f>
        <v>39.353180627220276</v>
      </c>
      <c r="AM28" s="20">
        <f ca="1">SUMIF($L$4:$AL$4,"SUBTOTAL",$L$28:$AL$28)</f>
        <v>699.81712540522165</v>
      </c>
      <c r="AP28" s="20">
        <f>IF((1 - CUSTOS!$M$26)&lt;&gt;0,1/(1 - CUSTOS!$M$26),1)</f>
        <v>1</v>
      </c>
    </row>
    <row r="29" spans="1:42" ht="11.25" customHeight="1" x14ac:dyDescent="0.25">
      <c r="A29" s="132"/>
      <c r="B29" s="132"/>
      <c r="C29" s="132"/>
      <c r="D29" s="22" t="s">
        <v>31</v>
      </c>
      <c r="E29" s="22" t="s">
        <v>25</v>
      </c>
      <c r="F29" s="22" t="s">
        <v>25</v>
      </c>
      <c r="G29" s="21" t="s">
        <v>73</v>
      </c>
      <c r="H29" s="21" t="s">
        <v>69</v>
      </c>
      <c r="I29" s="21">
        <f>'MERCADO TUSD'!$U$26</f>
        <v>0</v>
      </c>
      <c r="J29" s="17"/>
      <c r="L29" s="20">
        <f>'TR TUSD'!$L$29*'TR TUSD'!$L$60</f>
        <v>0</v>
      </c>
      <c r="M29" s="20">
        <f>'TR TUSD'!$M$29*'TR TUSD'!$M$60</f>
        <v>2.1584583141570977</v>
      </c>
      <c r="N29" s="20">
        <f ca="1">'TR TUSD'!$N$29*'TR TUSD'!$N$60</f>
        <v>0</v>
      </c>
      <c r="O29" s="20">
        <f>'TR TUSD'!$O$29*'TR TUSD'!$O$60</f>
        <v>0</v>
      </c>
      <c r="P29" s="20">
        <f>'TR TUSD'!$P$29*'TR TUSD'!$P$60</f>
        <v>0</v>
      </c>
      <c r="Q29" s="20">
        <f>'TR TUSD'!$Q$29*'TR TUSD'!$Q$60</f>
        <v>0</v>
      </c>
      <c r="R29" s="20">
        <f>'TR TUSD'!$R$29*'TR TUSD'!$R$60</f>
        <v>0</v>
      </c>
      <c r="S29" s="20">
        <f>'TR TUSD'!$S$29*'TR TUSD'!$S$60</f>
        <v>0</v>
      </c>
      <c r="T29" s="20">
        <f ca="1">SUM($L$29:$S$29)</f>
        <v>2.1584583141570977</v>
      </c>
      <c r="U29" s="20">
        <f>'TR TUSD'!$U$29*'TR TUSD'!$U$60</f>
        <v>0</v>
      </c>
      <c r="V29" s="20">
        <f>'TR TUSD'!$V$29*'TR TUSD'!$V$60</f>
        <v>0</v>
      </c>
      <c r="W29" s="20">
        <f>'TR TUSD'!$W$29*'TR TUSD'!$W$60</f>
        <v>0</v>
      </c>
      <c r="X29" s="20">
        <f>'TR TUSD'!$X$29*'TR TUSD'!$X$60</f>
        <v>0</v>
      </c>
      <c r="Y29" s="20">
        <f>'TR TUSD'!$Y$29*'TR TUSD'!$Y$60</f>
        <v>137.53230998561619</v>
      </c>
      <c r="Z29" s="20">
        <f>'TR TUSD'!$Z$29</f>
        <v>0</v>
      </c>
      <c r="AA29" s="20">
        <f>'TR TUSD'!$AA$29</f>
        <v>0</v>
      </c>
      <c r="AB29" s="20">
        <f>SUM($U$29:$AA$29)</f>
        <v>137.53230998561619</v>
      </c>
      <c r="AC29" s="20">
        <f>'TR TUSD'!$AC$29*'TR TUSD'!$AC$60</f>
        <v>520.77317647822815</v>
      </c>
      <c r="AD29" s="20">
        <f>SUM($AC$29:$AC$29)</f>
        <v>520.77317647822815</v>
      </c>
      <c r="AE29" s="20">
        <v>0</v>
      </c>
      <c r="AF29" s="20">
        <v>0</v>
      </c>
      <c r="AG29" s="20">
        <f>SUM($AE$29:$AF$29)</f>
        <v>0</v>
      </c>
      <c r="AH29" s="20">
        <f>'TR TUSD'!$AH$29*'TR TUSD'!$AH$60</f>
        <v>39.353180627220276</v>
      </c>
      <c r="AI29" s="20">
        <f>'TR TUSD'!$AI$29*'TR TUSD'!$AI$60</f>
        <v>0</v>
      </c>
      <c r="AJ29" s="20">
        <f ca="1">'TR TUSD'!$AJ$29*'TR TUSD'!$AJ$60</f>
        <v>0</v>
      </c>
      <c r="AK29" s="20">
        <f ca="1">'TR TUSD'!$AK$29*'TR TUSD'!$AK$60</f>
        <v>0</v>
      </c>
      <c r="AL29" s="20">
        <f ca="1">SUM($AH$29:$AK$29)</f>
        <v>39.353180627220276</v>
      </c>
      <c r="AM29" s="20">
        <f ca="1">SUMIF($L$4:$AL$4,"SUBTOTAL",$L$29:$AL$29)</f>
        <v>699.81712540522165</v>
      </c>
      <c r="AP29" s="20">
        <f>IF((1 - CUSTOS!$M$27)&lt;&gt;0,1/(1 - CUSTOS!$M$27),1)</f>
        <v>1</v>
      </c>
    </row>
    <row r="30" spans="1:42" ht="11.25" customHeight="1" x14ac:dyDescent="0.25">
      <c r="A30" s="132" t="s">
        <v>41</v>
      </c>
      <c r="B30" s="132" t="s">
        <v>39</v>
      </c>
      <c r="C30" s="132" t="s">
        <v>42</v>
      </c>
      <c r="D30" s="132" t="s">
        <v>25</v>
      </c>
      <c r="E30" s="132" t="s">
        <v>25</v>
      </c>
      <c r="F30" s="132" t="s">
        <v>25</v>
      </c>
      <c r="G30" s="21" t="s">
        <v>70</v>
      </c>
      <c r="H30" s="21" t="s">
        <v>69</v>
      </c>
      <c r="I30" s="21">
        <f>'MERCADO TUSD'!$U$27</f>
        <v>0.34100000000000003</v>
      </c>
      <c r="J30" s="17"/>
      <c r="L30" s="20">
        <f>'TR TUSD'!$L$30*'TR TUSD'!$L$60</f>
        <v>0</v>
      </c>
      <c r="M30" s="20">
        <f>'TR TUSD'!$M$30*'TR TUSD'!$M$60</f>
        <v>2.1584583141570977</v>
      </c>
      <c r="N30" s="20">
        <f ca="1">'TR TUSD'!$N$30*'TR TUSD'!$N$60</f>
        <v>0</v>
      </c>
      <c r="O30" s="20">
        <f>'TR TUSD'!$O$30*'TR TUSD'!$O$60</f>
        <v>0</v>
      </c>
      <c r="P30" s="20">
        <f>'TR TUSD'!$P$30*'TR TUSD'!$P$60</f>
        <v>0</v>
      </c>
      <c r="Q30" s="20">
        <f>'TR TUSD'!$Q$30*'TR TUSD'!$Q$60</f>
        <v>40.926100920084259</v>
      </c>
      <c r="R30" s="20">
        <f>'TR TUSD'!$R$30*'TR TUSD'!$R$60</f>
        <v>15.331583328887247</v>
      </c>
      <c r="S30" s="20">
        <f>'TR TUSD'!$S$30*'TR TUSD'!$S$60</f>
        <v>0</v>
      </c>
      <c r="T30" s="20">
        <f ca="1">SUM($L$30:$S$30)</f>
        <v>58.416142563128602</v>
      </c>
      <c r="U30" s="20">
        <f>'TR TUSD'!$U$30*'TR TUSD'!$U$60</f>
        <v>0</v>
      </c>
      <c r="V30" s="20">
        <f>'TR TUSD'!$V$30*'TR TUSD'!$V$60</f>
        <v>0</v>
      </c>
      <c r="W30" s="20">
        <f>'TR TUSD'!$W$30*'TR TUSD'!$W$60</f>
        <v>0</v>
      </c>
      <c r="X30" s="20">
        <f>'TR TUSD'!$X$30*'TR TUSD'!$X$60</f>
        <v>0</v>
      </c>
      <c r="Y30" s="20">
        <f>'TR TUSD'!$Y$30*'TR TUSD'!$Y$60</f>
        <v>366.73209315159221</v>
      </c>
      <c r="Z30" s="20">
        <f>'TR TUSD'!$Z$30</f>
        <v>0</v>
      </c>
      <c r="AA30" s="20">
        <f>'TR TUSD'!$AA$30</f>
        <v>0</v>
      </c>
      <c r="AB30" s="20">
        <f>SUM($U$30:$AA$30)</f>
        <v>366.73209315159221</v>
      </c>
      <c r="AC30" s="20">
        <f>'TR TUSD'!$AC$30*'TR TUSD'!$AC$60</f>
        <v>1388.6449007120934</v>
      </c>
      <c r="AD30" s="20">
        <f>SUM($AC$30:$AC$30)</f>
        <v>1388.6449007120934</v>
      </c>
      <c r="AE30" s="20">
        <v>0</v>
      </c>
      <c r="AF30" s="20">
        <v>0</v>
      </c>
      <c r="AG30" s="20">
        <f>SUM($AE$30:$AF$30)</f>
        <v>0</v>
      </c>
      <c r="AH30" s="20">
        <f>'TR TUSD'!$AH$30*'TR TUSD'!$AH$60</f>
        <v>39.353180627220276</v>
      </c>
      <c r="AI30" s="20">
        <f>'TR TUSD'!$AI$30*'TR TUSD'!$AI$60</f>
        <v>0</v>
      </c>
      <c r="AJ30" s="20">
        <f ca="1">'TR TUSD'!$AJ$30*'TR TUSD'!$AJ$60</f>
        <v>0</v>
      </c>
      <c r="AK30" s="20">
        <f ca="1">'TR TUSD'!$AK$30*'TR TUSD'!$AK$60</f>
        <v>0</v>
      </c>
      <c r="AL30" s="20">
        <f ca="1">SUM($AH$30:$AK$30)</f>
        <v>39.353180627220276</v>
      </c>
      <c r="AM30" s="20">
        <f ca="1">SUMIF($L$4:$AL$4,"SUBTOTAL",$L$30:$AL$30)</f>
        <v>1853.1463170540346</v>
      </c>
      <c r="AP30" s="20">
        <f>IF((1 - CUSTOS!$M$28)&lt;&gt;0,1/(1 - CUSTOS!$M$28),1)</f>
        <v>1</v>
      </c>
    </row>
    <row r="31" spans="1:42" ht="11.25" customHeight="1" x14ac:dyDescent="0.25">
      <c r="A31" s="132"/>
      <c r="B31" s="132"/>
      <c r="C31" s="132"/>
      <c r="D31" s="132"/>
      <c r="E31" s="132"/>
      <c r="F31" s="132"/>
      <c r="G31" s="21" t="s">
        <v>83</v>
      </c>
      <c r="H31" s="21" t="s">
        <v>69</v>
      </c>
      <c r="I31" s="21">
        <f>'MERCADO TUSD'!$U$28</f>
        <v>0.55500000000000005</v>
      </c>
      <c r="J31" s="17"/>
      <c r="L31" s="20">
        <f>'TR TUSD'!$L$31*'TR TUSD'!$L$60</f>
        <v>0</v>
      </c>
      <c r="M31" s="20">
        <f>'TR TUSD'!$M$31*'TR TUSD'!$M$60</f>
        <v>2.1584583141570977</v>
      </c>
      <c r="N31" s="20">
        <f ca="1">'TR TUSD'!$N$31*'TR TUSD'!$N$60</f>
        <v>0</v>
      </c>
      <c r="O31" s="20">
        <f>'TR TUSD'!$O$31*'TR TUSD'!$O$60</f>
        <v>0</v>
      </c>
      <c r="P31" s="20">
        <f>'TR TUSD'!$P$31*'TR TUSD'!$P$60</f>
        <v>0</v>
      </c>
      <c r="Q31" s="20">
        <f>'TR TUSD'!$Q$31*'TR TUSD'!$Q$60</f>
        <v>40.926100920084259</v>
      </c>
      <c r="R31" s="20">
        <f>'TR TUSD'!$R$31*'TR TUSD'!$R$60</f>
        <v>15.331583328887247</v>
      </c>
      <c r="S31" s="20">
        <f>'TR TUSD'!$S$31*'TR TUSD'!$S$60</f>
        <v>0</v>
      </c>
      <c r="T31" s="20">
        <f ca="1">SUM($L$31:$S$31)</f>
        <v>58.416142563128602</v>
      </c>
      <c r="U31" s="20">
        <f>'TR TUSD'!$U$31*'TR TUSD'!$U$60</f>
        <v>0</v>
      </c>
      <c r="V31" s="20">
        <f>'TR TUSD'!$V$31*'TR TUSD'!$V$60</f>
        <v>0</v>
      </c>
      <c r="W31" s="20">
        <f>'TR TUSD'!$W$31*'TR TUSD'!$W$60</f>
        <v>0</v>
      </c>
      <c r="X31" s="20">
        <f>'TR TUSD'!$X$31*'TR TUSD'!$X$60</f>
        <v>0</v>
      </c>
      <c r="Y31" s="20">
        <f>'TR TUSD'!$Y$31*'TR TUSD'!$Y$60</f>
        <v>220.04024170909361</v>
      </c>
      <c r="Z31" s="20">
        <f>'TR TUSD'!$Z$31</f>
        <v>0</v>
      </c>
      <c r="AA31" s="20">
        <f>'TR TUSD'!$AA$31</f>
        <v>0</v>
      </c>
      <c r="AB31" s="20">
        <f>SUM($U$31:$AA$31)</f>
        <v>220.04024170909361</v>
      </c>
      <c r="AC31" s="20">
        <f>'TR TUSD'!$AC$31*'TR TUSD'!$AC$60</f>
        <v>833.18666101422809</v>
      </c>
      <c r="AD31" s="20">
        <f>SUM($AC$31:$AC$31)</f>
        <v>833.18666101422809</v>
      </c>
      <c r="AE31" s="20">
        <v>0</v>
      </c>
      <c r="AF31" s="20">
        <v>0</v>
      </c>
      <c r="AG31" s="20">
        <f>SUM($AE$31:$AF$31)</f>
        <v>0</v>
      </c>
      <c r="AH31" s="20">
        <f>'TR TUSD'!$AH$31*'TR TUSD'!$AH$60</f>
        <v>39.353180627220276</v>
      </c>
      <c r="AI31" s="20">
        <f>'TR TUSD'!$AI$31*'TR TUSD'!$AI$60</f>
        <v>0</v>
      </c>
      <c r="AJ31" s="20">
        <f ca="1">'TR TUSD'!$AJ$31*'TR TUSD'!$AJ$60</f>
        <v>0</v>
      </c>
      <c r="AK31" s="20">
        <f ca="1">'TR TUSD'!$AK$31*'TR TUSD'!$AK$60</f>
        <v>0</v>
      </c>
      <c r="AL31" s="20">
        <f ca="1">SUM($AH$31:$AK$31)</f>
        <v>39.353180627220276</v>
      </c>
      <c r="AM31" s="20">
        <f ca="1">SUMIF($L$4:$AL$4,"SUBTOTAL",$L$31:$AL$31)</f>
        <v>1150.9962259136705</v>
      </c>
      <c r="AP31" s="20">
        <f>IF((1 - CUSTOS!$M$28)&lt;&gt;0,1/(1 - CUSTOS!$M$28),1)</f>
        <v>1</v>
      </c>
    </row>
    <row r="32" spans="1:42" ht="11.25" customHeight="1" x14ac:dyDescent="0.25">
      <c r="A32" s="132"/>
      <c r="B32" s="132"/>
      <c r="C32" s="132"/>
      <c r="D32" s="132"/>
      <c r="E32" s="132"/>
      <c r="F32" s="132"/>
      <c r="G32" s="21" t="s">
        <v>71</v>
      </c>
      <c r="H32" s="21" t="s">
        <v>69</v>
      </c>
      <c r="I32" s="21">
        <f>'MERCADO TUSD'!$U$29</f>
        <v>16.565999999999999</v>
      </c>
      <c r="J32" s="17"/>
      <c r="L32" s="20">
        <f>'TR TUSD'!$L$32*'TR TUSD'!$L$60</f>
        <v>0</v>
      </c>
      <c r="M32" s="20">
        <f>'TR TUSD'!$M$32*'TR TUSD'!$M$60</f>
        <v>2.1584583141570977</v>
      </c>
      <c r="N32" s="20">
        <f ca="1">'TR TUSD'!$N$32*'TR TUSD'!$N$60</f>
        <v>0</v>
      </c>
      <c r="O32" s="20">
        <f>'TR TUSD'!$O$32*'TR TUSD'!$O$60</f>
        <v>0</v>
      </c>
      <c r="P32" s="20">
        <f>'TR TUSD'!$P$32*'TR TUSD'!$P$60</f>
        <v>0</v>
      </c>
      <c r="Q32" s="20">
        <f>'TR TUSD'!$Q$32*'TR TUSD'!$Q$60</f>
        <v>40.926100920084259</v>
      </c>
      <c r="R32" s="20">
        <f>'TR TUSD'!$R$32*'TR TUSD'!$R$60</f>
        <v>15.331583328887247</v>
      </c>
      <c r="S32" s="20">
        <f>'TR TUSD'!$S$32*'TR TUSD'!$S$60</f>
        <v>0</v>
      </c>
      <c r="T32" s="20">
        <f ca="1">SUM($L$32:$S$32)</f>
        <v>58.416142563128602</v>
      </c>
      <c r="U32" s="20">
        <f>'TR TUSD'!$U$32*'TR TUSD'!$U$60</f>
        <v>0</v>
      </c>
      <c r="V32" s="20">
        <f>'TR TUSD'!$V$32*'TR TUSD'!$V$60</f>
        <v>0</v>
      </c>
      <c r="W32" s="20">
        <f>'TR TUSD'!$W$32*'TR TUSD'!$W$60</f>
        <v>0</v>
      </c>
      <c r="X32" s="20">
        <f>'TR TUSD'!$X$32*'TR TUSD'!$X$60</f>
        <v>0</v>
      </c>
      <c r="Y32" s="20">
        <f>'TR TUSD'!$Y$32*'TR TUSD'!$Y$60</f>
        <v>73.34850762589717</v>
      </c>
      <c r="Z32" s="20">
        <f>'TR TUSD'!$Z$32</f>
        <v>0</v>
      </c>
      <c r="AA32" s="20">
        <f>'TR TUSD'!$AA$32</f>
        <v>0</v>
      </c>
      <c r="AB32" s="20">
        <f>SUM($U$32:$AA$32)</f>
        <v>73.34850762589717</v>
      </c>
      <c r="AC32" s="20">
        <f>'TR TUSD'!$AC$32*'TR TUSD'!$AC$60</f>
        <v>277.72918335189348</v>
      </c>
      <c r="AD32" s="20">
        <f>SUM($AC$32:$AC$32)</f>
        <v>277.72918335189348</v>
      </c>
      <c r="AE32" s="20">
        <v>0</v>
      </c>
      <c r="AF32" s="20">
        <v>0</v>
      </c>
      <c r="AG32" s="20">
        <f>SUM($AE$32:$AF$32)</f>
        <v>0</v>
      </c>
      <c r="AH32" s="20">
        <f>'TR TUSD'!$AH$32*'TR TUSD'!$AH$60</f>
        <v>39.353180627220276</v>
      </c>
      <c r="AI32" s="20">
        <f>'TR TUSD'!$AI$32*'TR TUSD'!$AI$60</f>
        <v>0</v>
      </c>
      <c r="AJ32" s="20">
        <f ca="1">'TR TUSD'!$AJ$32*'TR TUSD'!$AJ$60</f>
        <v>0</v>
      </c>
      <c r="AK32" s="20">
        <f ca="1">'TR TUSD'!$AK$32*'TR TUSD'!$AK$60</f>
        <v>0</v>
      </c>
      <c r="AL32" s="20">
        <f ca="1">SUM($AH$32:$AK$32)</f>
        <v>39.353180627220276</v>
      </c>
      <c r="AM32" s="20">
        <f ca="1">SUMIF($L$4:$AL$4,"SUBTOTAL",$L$32:$AL$32)</f>
        <v>448.84701416813954</v>
      </c>
      <c r="AP32" s="20">
        <f>IF((1 - CUSTOS!$M$28)&lt;&gt;0,1/(1 - CUSTOS!$M$28),1)</f>
        <v>1</v>
      </c>
    </row>
    <row r="33" spans="1:42" ht="11.25" customHeight="1" x14ac:dyDescent="0.25">
      <c r="A33" s="132"/>
      <c r="B33" s="22" t="s">
        <v>23</v>
      </c>
      <c r="C33" s="22" t="s">
        <v>42</v>
      </c>
      <c r="D33" s="22" t="s">
        <v>25</v>
      </c>
      <c r="E33" s="22" t="s">
        <v>25</v>
      </c>
      <c r="F33" s="22" t="s">
        <v>25</v>
      </c>
      <c r="G33" s="21" t="s">
        <v>73</v>
      </c>
      <c r="H33" s="21" t="s">
        <v>69</v>
      </c>
      <c r="I33" s="21">
        <f>'MERCADO TUSD'!$U$30</f>
        <v>2549.6099999999997</v>
      </c>
      <c r="J33" s="17"/>
      <c r="L33" s="20">
        <f>'TR TUSD'!$L$33*'TR TUSD'!$L$60</f>
        <v>0</v>
      </c>
      <c r="M33" s="20">
        <f>'TR TUSD'!$M$33*'TR TUSD'!$M$60</f>
        <v>2.1584583141570977</v>
      </c>
      <c r="N33" s="20">
        <f ca="1">'TR TUSD'!$N$33*'TR TUSD'!$N$60</f>
        <v>0</v>
      </c>
      <c r="O33" s="20">
        <f>'TR TUSD'!$O$33*'TR TUSD'!$O$60</f>
        <v>0</v>
      </c>
      <c r="P33" s="20">
        <f>'TR TUSD'!$P$33*'TR TUSD'!$P$60</f>
        <v>0</v>
      </c>
      <c r="Q33" s="20">
        <f>'TR TUSD'!$Q$33*'TR TUSD'!$Q$60</f>
        <v>40.926100920084259</v>
      </c>
      <c r="R33" s="20">
        <f>'TR TUSD'!$R$33*'TR TUSD'!$R$60</f>
        <v>15.331583328887247</v>
      </c>
      <c r="S33" s="20">
        <f>'TR TUSD'!$S$33*'TR TUSD'!$S$60</f>
        <v>0</v>
      </c>
      <c r="T33" s="20">
        <f ca="1">SUM($L$33:$S$33)</f>
        <v>58.416142563128602</v>
      </c>
      <c r="U33" s="20">
        <f>'TR TUSD'!$U$33*'TR TUSD'!$U$60</f>
        <v>0</v>
      </c>
      <c r="V33" s="20">
        <f>'TR TUSD'!$V$33*'TR TUSD'!$V$60</f>
        <v>0</v>
      </c>
      <c r="W33" s="20">
        <f>'TR TUSD'!$W$33*'TR TUSD'!$W$60</f>
        <v>0</v>
      </c>
      <c r="X33" s="20">
        <f>'TR TUSD'!$X$33*'TR TUSD'!$X$60</f>
        <v>0</v>
      </c>
      <c r="Y33" s="20">
        <f>'TR TUSD'!$Y$33*'TR TUSD'!$Y$60</f>
        <v>137.53230998561619</v>
      </c>
      <c r="Z33" s="20">
        <f>'TR TUSD'!$Z$33</f>
        <v>0</v>
      </c>
      <c r="AA33" s="20">
        <f>'TR TUSD'!$AA$33</f>
        <v>0</v>
      </c>
      <c r="AB33" s="20">
        <f>SUM($U$33:$AA$33)</f>
        <v>137.53230998561619</v>
      </c>
      <c r="AC33" s="20">
        <f>'TR TUSD'!$AC$33*'TR TUSD'!$AC$60</f>
        <v>520.77317647822815</v>
      </c>
      <c r="AD33" s="20">
        <f>SUM($AC$33:$AC$33)</f>
        <v>520.77317647822815</v>
      </c>
      <c r="AE33" s="20">
        <v>0</v>
      </c>
      <c r="AF33" s="20">
        <v>0</v>
      </c>
      <c r="AG33" s="20">
        <f>SUM($AE$33:$AF$33)</f>
        <v>0</v>
      </c>
      <c r="AH33" s="20">
        <f>'TR TUSD'!$AH$33*'TR TUSD'!$AH$60</f>
        <v>39.353180627220276</v>
      </c>
      <c r="AI33" s="20">
        <f>'TR TUSD'!$AI$33*'TR TUSD'!$AI$60</f>
        <v>0</v>
      </c>
      <c r="AJ33" s="20">
        <f ca="1">'TR TUSD'!$AJ$33*'TR TUSD'!$AJ$60</f>
        <v>0</v>
      </c>
      <c r="AK33" s="20">
        <f ca="1">'TR TUSD'!$AK$33*'TR TUSD'!$AK$60</f>
        <v>0</v>
      </c>
      <c r="AL33" s="20">
        <f ca="1">SUM($AH$33:$AK$33)</f>
        <v>39.353180627220276</v>
      </c>
      <c r="AM33" s="20">
        <f ca="1">SUMIF($L$4:$AL$4,"SUBTOTAL",$L$33:$AL$33)</f>
        <v>756.07480965419325</v>
      </c>
      <c r="AP33" s="20">
        <f>IF((1 - CUSTOS!$M$28)&lt;&gt;0,1/(1 - CUSTOS!$M$28),1)</f>
        <v>1</v>
      </c>
    </row>
    <row r="34" spans="1:42" ht="11.25" customHeight="1" x14ac:dyDescent="0.25">
      <c r="A34" s="132"/>
      <c r="B34" s="132" t="s">
        <v>39</v>
      </c>
      <c r="C34" s="132" t="s">
        <v>42</v>
      </c>
      <c r="D34" s="132" t="s">
        <v>86</v>
      </c>
      <c r="E34" s="132" t="s">
        <v>25</v>
      </c>
      <c r="F34" s="132" t="s">
        <v>25</v>
      </c>
      <c r="G34" s="21" t="s">
        <v>70</v>
      </c>
      <c r="H34" s="21" t="s">
        <v>69</v>
      </c>
      <c r="I34" s="21">
        <f>'MERCADO TUSD'!$U$31</f>
        <v>0</v>
      </c>
      <c r="J34" s="17"/>
      <c r="L34" s="20">
        <f>'TR TUSD'!$L$34*'TR TUSD'!$L$60</f>
        <v>0</v>
      </c>
      <c r="M34" s="20">
        <f>'TR TUSD'!$M$34*'TR TUSD'!$M$60</f>
        <v>2.1584583141570977</v>
      </c>
      <c r="N34" s="20">
        <f ca="1">'TR TUSD'!$N$34*'TR TUSD'!$N$60</f>
        <v>0</v>
      </c>
      <c r="O34" s="20">
        <f>'TR TUSD'!$O$34*'TR TUSD'!$O$60</f>
        <v>0</v>
      </c>
      <c r="P34" s="20">
        <f>'TR TUSD'!$P$34*'TR TUSD'!$P$60</f>
        <v>0</v>
      </c>
      <c r="Q34" s="20">
        <f>'TR TUSD'!$Q$34*'TR TUSD'!$Q$60</f>
        <v>40.926100920084259</v>
      </c>
      <c r="R34" s="20">
        <f>'TR TUSD'!$R$34*'TR TUSD'!$R$60</f>
        <v>15.331583328887247</v>
      </c>
      <c r="S34" s="20">
        <f>'TR TUSD'!$S$34*'TR TUSD'!$S$60</f>
        <v>0</v>
      </c>
      <c r="T34" s="20">
        <f ca="1">SUM($L$34:$S$34)</f>
        <v>58.416142563128602</v>
      </c>
      <c r="U34" s="20">
        <f>'TR TUSD'!$U$34*'TR TUSD'!$U$60</f>
        <v>0</v>
      </c>
      <c r="V34" s="20">
        <f>'TR TUSD'!$V$34*'TR TUSD'!$V$60</f>
        <v>0</v>
      </c>
      <c r="W34" s="20">
        <f>'TR TUSD'!$W$34*'TR TUSD'!$W$60</f>
        <v>0</v>
      </c>
      <c r="X34" s="20">
        <f>'TR TUSD'!$X$34*'TR TUSD'!$X$60</f>
        <v>0</v>
      </c>
      <c r="Y34" s="20">
        <f>'TR TUSD'!$Y$34*'TR TUSD'!$Y$60</f>
        <v>366.73209315159221</v>
      </c>
      <c r="Z34" s="20">
        <f>'TR TUSD'!$Z$34</f>
        <v>0</v>
      </c>
      <c r="AA34" s="20">
        <f>'TR TUSD'!$AA$34</f>
        <v>0</v>
      </c>
      <c r="AB34" s="20">
        <f>SUM($U$34:$AA$34)</f>
        <v>366.73209315159221</v>
      </c>
      <c r="AC34" s="20">
        <f>'TR TUSD'!$AC$34*'TR TUSD'!$AC$60</f>
        <v>1388.6449007120934</v>
      </c>
      <c r="AD34" s="20">
        <f>SUM($AC$34:$AC$34)</f>
        <v>1388.6449007120934</v>
      </c>
      <c r="AE34" s="20">
        <v>0</v>
      </c>
      <c r="AF34" s="20">
        <v>0</v>
      </c>
      <c r="AG34" s="20">
        <f>SUM($AE$34:$AF$34)</f>
        <v>0</v>
      </c>
      <c r="AH34" s="20">
        <f>'TR TUSD'!$AH$34*'TR TUSD'!$AH$60</f>
        <v>39.353180627220276</v>
      </c>
      <c r="AI34" s="20">
        <f>'TR TUSD'!$AI$34*'TR TUSD'!$AI$60</f>
        <v>0</v>
      </c>
      <c r="AJ34" s="20">
        <f ca="1">'TR TUSD'!$AJ$34*'TR TUSD'!$AJ$60</f>
        <v>0</v>
      </c>
      <c r="AK34" s="20">
        <f ca="1">'TR TUSD'!$AK$34*'TR TUSD'!$AK$60</f>
        <v>0</v>
      </c>
      <c r="AL34" s="20">
        <f ca="1">SUM($AH$34:$AK$34)</f>
        <v>39.353180627220276</v>
      </c>
      <c r="AM34" s="20">
        <f ca="1">SUMIF($L$4:$AL$4,"SUBTOTAL",$L$34:$AL$34)</f>
        <v>1853.1463170540346</v>
      </c>
      <c r="AP34" s="20">
        <f>IF((1 - CUSTOS!$M$29)&lt;&gt;0,1/(1 - CUSTOS!$M$29),1)</f>
        <v>1</v>
      </c>
    </row>
    <row r="35" spans="1:42" ht="11.25" customHeight="1" x14ac:dyDescent="0.25">
      <c r="A35" s="132"/>
      <c r="B35" s="132"/>
      <c r="C35" s="132"/>
      <c r="D35" s="132"/>
      <c r="E35" s="132"/>
      <c r="F35" s="132"/>
      <c r="G35" s="21" t="s">
        <v>83</v>
      </c>
      <c r="H35" s="21" t="s">
        <v>69</v>
      </c>
      <c r="I35" s="21">
        <f>'MERCADO TUSD'!$U$32</f>
        <v>0</v>
      </c>
      <c r="J35" s="17"/>
      <c r="L35" s="20">
        <f>'TR TUSD'!$L$35*'TR TUSD'!$L$60</f>
        <v>0</v>
      </c>
      <c r="M35" s="20">
        <f>'TR TUSD'!$M$35*'TR TUSD'!$M$60</f>
        <v>2.1584583141570977</v>
      </c>
      <c r="N35" s="20">
        <f ca="1">'TR TUSD'!$N$35*'TR TUSD'!$N$60</f>
        <v>0</v>
      </c>
      <c r="O35" s="20">
        <f>'TR TUSD'!$O$35*'TR TUSD'!$O$60</f>
        <v>0</v>
      </c>
      <c r="P35" s="20">
        <f>'TR TUSD'!$P$35*'TR TUSD'!$P$60</f>
        <v>0</v>
      </c>
      <c r="Q35" s="20">
        <f>'TR TUSD'!$Q$35*'TR TUSD'!$Q$60</f>
        <v>40.926100920084259</v>
      </c>
      <c r="R35" s="20">
        <f>'TR TUSD'!$R$35*'TR TUSD'!$R$60</f>
        <v>15.331583328887247</v>
      </c>
      <c r="S35" s="20">
        <f>'TR TUSD'!$S$35*'TR TUSD'!$S$60</f>
        <v>0</v>
      </c>
      <c r="T35" s="20">
        <f ca="1">SUM($L$35:$S$35)</f>
        <v>58.416142563128602</v>
      </c>
      <c r="U35" s="20">
        <f>'TR TUSD'!$U$35*'TR TUSD'!$U$60</f>
        <v>0</v>
      </c>
      <c r="V35" s="20">
        <f>'TR TUSD'!$V$35*'TR TUSD'!$V$60</f>
        <v>0</v>
      </c>
      <c r="W35" s="20">
        <f>'TR TUSD'!$W$35*'TR TUSD'!$W$60</f>
        <v>0</v>
      </c>
      <c r="X35" s="20">
        <f>'TR TUSD'!$X$35*'TR TUSD'!$X$60</f>
        <v>0</v>
      </c>
      <c r="Y35" s="20">
        <f>'TR TUSD'!$Y$35*'TR TUSD'!$Y$60</f>
        <v>220.04024170909361</v>
      </c>
      <c r="Z35" s="20">
        <f>'TR TUSD'!$Z$35</f>
        <v>0</v>
      </c>
      <c r="AA35" s="20">
        <f>'TR TUSD'!$AA$35</f>
        <v>0</v>
      </c>
      <c r="AB35" s="20">
        <f>SUM($U$35:$AA$35)</f>
        <v>220.04024170909361</v>
      </c>
      <c r="AC35" s="20">
        <f>'TR TUSD'!$AC$35*'TR TUSD'!$AC$60</f>
        <v>833.18666101422809</v>
      </c>
      <c r="AD35" s="20">
        <f>SUM($AC$35:$AC$35)</f>
        <v>833.18666101422809</v>
      </c>
      <c r="AE35" s="20">
        <v>0</v>
      </c>
      <c r="AF35" s="20">
        <v>0</v>
      </c>
      <c r="AG35" s="20">
        <f>SUM($AE$35:$AF$35)</f>
        <v>0</v>
      </c>
      <c r="AH35" s="20">
        <f>'TR TUSD'!$AH$35*'TR TUSD'!$AH$60</f>
        <v>39.353180627220276</v>
      </c>
      <c r="AI35" s="20">
        <f>'TR TUSD'!$AI$35*'TR TUSD'!$AI$60</f>
        <v>0</v>
      </c>
      <c r="AJ35" s="20">
        <f ca="1">'TR TUSD'!$AJ$35*'TR TUSD'!$AJ$60</f>
        <v>0</v>
      </c>
      <c r="AK35" s="20">
        <f ca="1">'TR TUSD'!$AK$35*'TR TUSD'!$AK$60</f>
        <v>0</v>
      </c>
      <c r="AL35" s="20">
        <f ca="1">SUM($AH$35:$AK$35)</f>
        <v>39.353180627220276</v>
      </c>
      <c r="AM35" s="20">
        <f ca="1">SUMIF($L$4:$AL$4,"SUBTOTAL",$L$35:$AL$35)</f>
        <v>1150.9962259136705</v>
      </c>
      <c r="AP35" s="20">
        <f>IF((1 - CUSTOS!$M$29)&lt;&gt;0,1/(1 - CUSTOS!$M$29),1)</f>
        <v>1</v>
      </c>
    </row>
    <row r="36" spans="1:42" ht="11.25" customHeight="1" x14ac:dyDescent="0.25">
      <c r="A36" s="132"/>
      <c r="B36" s="132"/>
      <c r="C36" s="132"/>
      <c r="D36" s="132"/>
      <c r="E36" s="132"/>
      <c r="F36" s="132"/>
      <c r="G36" s="21" t="s">
        <v>71</v>
      </c>
      <c r="H36" s="21" t="s">
        <v>69</v>
      </c>
      <c r="I36" s="21">
        <f>'MERCADO TUSD'!$U$33</f>
        <v>0</v>
      </c>
      <c r="J36" s="17"/>
      <c r="L36" s="20">
        <f>'TR TUSD'!$L$36*'TR TUSD'!$L$60</f>
        <v>0</v>
      </c>
      <c r="M36" s="20">
        <f>'TR TUSD'!$M$36*'TR TUSD'!$M$60</f>
        <v>2.1584583141570977</v>
      </c>
      <c r="N36" s="20">
        <f ca="1">'TR TUSD'!$N$36*'TR TUSD'!$N$60</f>
        <v>0</v>
      </c>
      <c r="O36" s="20">
        <f>'TR TUSD'!$O$36*'TR TUSD'!$O$60</f>
        <v>0</v>
      </c>
      <c r="P36" s="20">
        <f>'TR TUSD'!$P$36*'TR TUSD'!$P$60</f>
        <v>0</v>
      </c>
      <c r="Q36" s="20">
        <f>'TR TUSD'!$Q$36*'TR TUSD'!$Q$60</f>
        <v>40.926100920084259</v>
      </c>
      <c r="R36" s="20">
        <f>'TR TUSD'!$R$36*'TR TUSD'!$R$60</f>
        <v>15.331583328887247</v>
      </c>
      <c r="S36" s="20">
        <f>'TR TUSD'!$S$36*'TR TUSD'!$S$60</f>
        <v>0</v>
      </c>
      <c r="T36" s="20">
        <f ca="1">SUM($L$36:$S$36)</f>
        <v>58.416142563128602</v>
      </c>
      <c r="U36" s="20">
        <f>'TR TUSD'!$U$36*'TR TUSD'!$U$60</f>
        <v>0</v>
      </c>
      <c r="V36" s="20">
        <f>'TR TUSD'!$V$36*'TR TUSD'!$V$60</f>
        <v>0</v>
      </c>
      <c r="W36" s="20">
        <f>'TR TUSD'!$W$36*'TR TUSD'!$W$60</f>
        <v>0</v>
      </c>
      <c r="X36" s="20">
        <f>'TR TUSD'!$X$36*'TR TUSD'!$X$60</f>
        <v>0</v>
      </c>
      <c r="Y36" s="20">
        <f>'TR TUSD'!$Y$36*'TR TUSD'!$Y$60</f>
        <v>73.34850762589717</v>
      </c>
      <c r="Z36" s="20">
        <f>'TR TUSD'!$Z$36</f>
        <v>0</v>
      </c>
      <c r="AA36" s="20">
        <f>'TR TUSD'!$AA$36</f>
        <v>0</v>
      </c>
      <c r="AB36" s="20">
        <f>SUM($U$36:$AA$36)</f>
        <v>73.34850762589717</v>
      </c>
      <c r="AC36" s="20">
        <f>'TR TUSD'!$AC$36*'TR TUSD'!$AC$60</f>
        <v>277.72918335189348</v>
      </c>
      <c r="AD36" s="20">
        <f>SUM($AC$36:$AC$36)</f>
        <v>277.72918335189348</v>
      </c>
      <c r="AE36" s="20">
        <v>0</v>
      </c>
      <c r="AF36" s="20">
        <v>0</v>
      </c>
      <c r="AG36" s="20">
        <f>SUM($AE$36:$AF$36)</f>
        <v>0</v>
      </c>
      <c r="AH36" s="20">
        <f>'TR TUSD'!$AH$36*'TR TUSD'!$AH$60</f>
        <v>39.353180627220276</v>
      </c>
      <c r="AI36" s="20">
        <f>'TR TUSD'!$AI$36*'TR TUSD'!$AI$60</f>
        <v>0</v>
      </c>
      <c r="AJ36" s="20">
        <f ca="1">'TR TUSD'!$AJ$36*'TR TUSD'!$AJ$60</f>
        <v>0</v>
      </c>
      <c r="AK36" s="20">
        <f ca="1">'TR TUSD'!$AK$36*'TR TUSD'!$AK$60</f>
        <v>0</v>
      </c>
      <c r="AL36" s="20">
        <f ca="1">SUM($AH$36:$AK$36)</f>
        <v>39.353180627220276</v>
      </c>
      <c r="AM36" s="20">
        <f ca="1">SUMIF($L$4:$AL$4,"SUBTOTAL",$L$36:$AL$36)</f>
        <v>448.84701416813954</v>
      </c>
      <c r="AP36" s="20">
        <f>IF((1 - CUSTOS!$M$29)&lt;&gt;0,1/(1 - CUSTOS!$M$29),1)</f>
        <v>1</v>
      </c>
    </row>
    <row r="37" spans="1:42" ht="11.25" customHeight="1" x14ac:dyDescent="0.25">
      <c r="A37" s="132"/>
      <c r="B37" s="22" t="s">
        <v>23</v>
      </c>
      <c r="C37" s="22" t="s">
        <v>42</v>
      </c>
      <c r="D37" s="22" t="s">
        <v>86</v>
      </c>
      <c r="E37" s="22" t="s">
        <v>25</v>
      </c>
      <c r="F37" s="22" t="s">
        <v>25</v>
      </c>
      <c r="G37" s="21" t="s">
        <v>73</v>
      </c>
      <c r="H37" s="21" t="s">
        <v>69</v>
      </c>
      <c r="I37" s="21">
        <f>'MERCADO TUSD'!$U$34</f>
        <v>0</v>
      </c>
      <c r="J37" s="17"/>
      <c r="L37" s="20">
        <f>'TR TUSD'!$L$37*'TR TUSD'!$L$60</f>
        <v>0</v>
      </c>
      <c r="M37" s="20">
        <f>'TR TUSD'!$M$37*'TR TUSD'!$M$60</f>
        <v>2.1584583141570977</v>
      </c>
      <c r="N37" s="20">
        <f ca="1">'TR TUSD'!$N$37*'TR TUSD'!$N$60</f>
        <v>0</v>
      </c>
      <c r="O37" s="20">
        <f>'TR TUSD'!$O$37*'TR TUSD'!$O$60</f>
        <v>0</v>
      </c>
      <c r="P37" s="20">
        <f>'TR TUSD'!$P$37*'TR TUSD'!$P$60</f>
        <v>0</v>
      </c>
      <c r="Q37" s="20">
        <f>'TR TUSD'!$Q$37*'TR TUSD'!$Q$60</f>
        <v>40.926100920084259</v>
      </c>
      <c r="R37" s="20">
        <f>'TR TUSD'!$R$37*'TR TUSD'!$R$60</f>
        <v>15.331583328887247</v>
      </c>
      <c r="S37" s="20">
        <f>'TR TUSD'!$S$37*'TR TUSD'!$S$60</f>
        <v>0</v>
      </c>
      <c r="T37" s="20">
        <f ca="1">SUM($L$37:$S$37)</f>
        <v>58.416142563128602</v>
      </c>
      <c r="U37" s="20">
        <f>'TR TUSD'!$U$37*'TR TUSD'!$U$60</f>
        <v>0</v>
      </c>
      <c r="V37" s="20">
        <f>'TR TUSD'!$V$37*'TR TUSD'!$V$60</f>
        <v>0</v>
      </c>
      <c r="W37" s="20">
        <f>'TR TUSD'!$W$37*'TR TUSD'!$W$60</f>
        <v>0</v>
      </c>
      <c r="X37" s="20">
        <f>'TR TUSD'!$X$37*'TR TUSD'!$X$60</f>
        <v>0</v>
      </c>
      <c r="Y37" s="20">
        <f>'TR TUSD'!$Y$37*'TR TUSD'!$Y$60</f>
        <v>137.53230998561619</v>
      </c>
      <c r="Z37" s="20">
        <f>'TR TUSD'!$Z$37</f>
        <v>0</v>
      </c>
      <c r="AA37" s="20">
        <f>'TR TUSD'!$AA$37</f>
        <v>0</v>
      </c>
      <c r="AB37" s="20">
        <f>SUM($U$37:$AA$37)</f>
        <v>137.53230998561619</v>
      </c>
      <c r="AC37" s="20">
        <f>'TR TUSD'!$AC$37*'TR TUSD'!$AC$60</f>
        <v>520.77317647822815</v>
      </c>
      <c r="AD37" s="20">
        <f>SUM($AC$37:$AC$37)</f>
        <v>520.77317647822815</v>
      </c>
      <c r="AE37" s="20">
        <v>0</v>
      </c>
      <c r="AF37" s="20">
        <v>0</v>
      </c>
      <c r="AG37" s="20">
        <f>SUM($AE$37:$AF$37)</f>
        <v>0</v>
      </c>
      <c r="AH37" s="20">
        <f>'TR TUSD'!$AH$37*'TR TUSD'!$AH$60</f>
        <v>39.353180627220276</v>
      </c>
      <c r="AI37" s="20">
        <f>'TR TUSD'!$AI$37*'TR TUSD'!$AI$60</f>
        <v>0</v>
      </c>
      <c r="AJ37" s="20">
        <f ca="1">'TR TUSD'!$AJ$37*'TR TUSD'!$AJ$60</f>
        <v>0</v>
      </c>
      <c r="AK37" s="20">
        <f ca="1">'TR TUSD'!$AK$37*'TR TUSD'!$AK$60</f>
        <v>0</v>
      </c>
      <c r="AL37" s="20">
        <f ca="1">SUM($AH$37:$AK$37)</f>
        <v>39.353180627220276</v>
      </c>
      <c r="AM37" s="20">
        <f ca="1">SUMIF($L$4:$AL$4,"SUBTOTAL",$L$37:$AL$37)</f>
        <v>756.07480965419325</v>
      </c>
      <c r="AP37" s="20">
        <f>IF((1 - CUSTOS!$M$29)&lt;&gt;0,1/(1 - CUSTOS!$M$29),1)</f>
        <v>1</v>
      </c>
    </row>
    <row r="38" spans="1:42" ht="11.25" customHeight="1" x14ac:dyDescent="0.25">
      <c r="A38" s="132"/>
      <c r="B38" s="132" t="s">
        <v>39</v>
      </c>
      <c r="C38" s="132" t="s">
        <v>42</v>
      </c>
      <c r="D38" s="132" t="s">
        <v>87</v>
      </c>
      <c r="E38" s="132" t="s">
        <v>25</v>
      </c>
      <c r="F38" s="132" t="s">
        <v>25</v>
      </c>
      <c r="G38" s="21" t="s">
        <v>70</v>
      </c>
      <c r="H38" s="21" t="s">
        <v>69</v>
      </c>
      <c r="I38" s="21">
        <f>'MERCADO TUSD'!$U$35</f>
        <v>0</v>
      </c>
      <c r="J38" s="17"/>
      <c r="L38" s="20">
        <f>'TR TUSD'!$L$38*'TR TUSD'!$L$60</f>
        <v>0</v>
      </c>
      <c r="M38" s="20">
        <f>'TR TUSD'!$M$38*'TR TUSD'!$M$60</f>
        <v>2.1584583141570977</v>
      </c>
      <c r="N38" s="20">
        <f ca="1">'TR TUSD'!$N$38*'TR TUSD'!$N$60</f>
        <v>0</v>
      </c>
      <c r="O38" s="20">
        <f>'TR TUSD'!$O$38*'TR TUSD'!$O$60</f>
        <v>0</v>
      </c>
      <c r="P38" s="20">
        <f>'TR TUSD'!$P$38*'TR TUSD'!$P$60</f>
        <v>0</v>
      </c>
      <c r="Q38" s="20">
        <f>'TR TUSD'!$Q$38*'TR TUSD'!$Q$60</f>
        <v>40.926100920084259</v>
      </c>
      <c r="R38" s="20">
        <f>'TR TUSD'!$R$38*'TR TUSD'!$R$60</f>
        <v>15.331583328887247</v>
      </c>
      <c r="S38" s="20">
        <f>'TR TUSD'!$S$38*'TR TUSD'!$S$60</f>
        <v>0</v>
      </c>
      <c r="T38" s="20">
        <f ca="1">SUM($L$38:$S$38)</f>
        <v>58.416142563128602</v>
      </c>
      <c r="U38" s="20">
        <f>'TR TUSD'!$U$38*'TR TUSD'!$U$60</f>
        <v>0</v>
      </c>
      <c r="V38" s="20">
        <f>'TR TUSD'!$V$38*'TR TUSD'!$V$60</f>
        <v>0</v>
      </c>
      <c r="W38" s="20">
        <f>'TR TUSD'!$W$38*'TR TUSD'!$W$60</f>
        <v>0</v>
      </c>
      <c r="X38" s="20">
        <f>'TR TUSD'!$X$38*'TR TUSD'!$X$60</f>
        <v>0</v>
      </c>
      <c r="Y38" s="20">
        <f>'TR TUSD'!$Y$38*'TR TUSD'!$Y$60</f>
        <v>366.73209315159221</v>
      </c>
      <c r="Z38" s="20">
        <f>'TR TUSD'!$Z$38</f>
        <v>0</v>
      </c>
      <c r="AA38" s="20">
        <f>'TR TUSD'!$AA$38</f>
        <v>0</v>
      </c>
      <c r="AB38" s="20">
        <f>SUM($U$38:$AA$38)</f>
        <v>366.73209315159221</v>
      </c>
      <c r="AC38" s="20">
        <f>'TR TUSD'!$AC$38*'TR TUSD'!$AC$60</f>
        <v>1388.6449007120934</v>
      </c>
      <c r="AD38" s="20">
        <f>SUM($AC$38:$AC$38)</f>
        <v>1388.6449007120934</v>
      </c>
      <c r="AE38" s="20">
        <v>0</v>
      </c>
      <c r="AF38" s="20">
        <v>0</v>
      </c>
      <c r="AG38" s="20">
        <f>SUM($AE$38:$AF$38)</f>
        <v>0</v>
      </c>
      <c r="AH38" s="20">
        <f>'TR TUSD'!$AH$38*'TR TUSD'!$AH$60</f>
        <v>39.353180627220276</v>
      </c>
      <c r="AI38" s="20">
        <f>'TR TUSD'!$AI$38*'TR TUSD'!$AI$60</f>
        <v>0</v>
      </c>
      <c r="AJ38" s="20">
        <f ca="1">'TR TUSD'!$AJ$38*'TR TUSD'!$AJ$60</f>
        <v>0</v>
      </c>
      <c r="AK38" s="20">
        <f ca="1">'TR TUSD'!$AK$38*'TR TUSD'!$AK$60</f>
        <v>0</v>
      </c>
      <c r="AL38" s="20">
        <f ca="1">SUM($AH$38:$AK$38)</f>
        <v>39.353180627220276</v>
      </c>
      <c r="AM38" s="20">
        <f ca="1">SUMIF($L$4:$AL$4,"SUBTOTAL",$L$38:$AL$38)</f>
        <v>1853.1463170540346</v>
      </c>
      <c r="AP38" s="20">
        <f>IF((1 - CUSTOS!$M$30)&lt;&gt;0,1/(1 - CUSTOS!$M$30),1)</f>
        <v>1</v>
      </c>
    </row>
    <row r="39" spans="1:42" ht="11.25" customHeight="1" x14ac:dyDescent="0.25">
      <c r="A39" s="132"/>
      <c r="B39" s="132"/>
      <c r="C39" s="132"/>
      <c r="D39" s="132"/>
      <c r="E39" s="132"/>
      <c r="F39" s="132"/>
      <c r="G39" s="21" t="s">
        <v>83</v>
      </c>
      <c r="H39" s="21" t="s">
        <v>69</v>
      </c>
      <c r="I39" s="21">
        <f>'MERCADO TUSD'!$U$36</f>
        <v>0</v>
      </c>
      <c r="J39" s="17"/>
      <c r="L39" s="20">
        <f>'TR TUSD'!$L$39*'TR TUSD'!$L$60</f>
        <v>0</v>
      </c>
      <c r="M39" s="20">
        <f>'TR TUSD'!$M$39*'TR TUSD'!$M$60</f>
        <v>2.1584583141570977</v>
      </c>
      <c r="N39" s="20">
        <f ca="1">'TR TUSD'!$N$39*'TR TUSD'!$N$60</f>
        <v>0</v>
      </c>
      <c r="O39" s="20">
        <f>'TR TUSD'!$O$39*'TR TUSD'!$O$60</f>
        <v>0</v>
      </c>
      <c r="P39" s="20">
        <f>'TR TUSD'!$P$39*'TR TUSD'!$P$60</f>
        <v>0</v>
      </c>
      <c r="Q39" s="20">
        <f>'TR TUSD'!$Q$39*'TR TUSD'!$Q$60</f>
        <v>40.926100920084259</v>
      </c>
      <c r="R39" s="20">
        <f>'TR TUSD'!$R$39*'TR TUSD'!$R$60</f>
        <v>15.331583328887247</v>
      </c>
      <c r="S39" s="20">
        <f>'TR TUSD'!$S$39*'TR TUSD'!$S$60</f>
        <v>0</v>
      </c>
      <c r="T39" s="20">
        <f ca="1">SUM($L$39:$S$39)</f>
        <v>58.416142563128602</v>
      </c>
      <c r="U39" s="20">
        <f>'TR TUSD'!$U$39*'TR TUSD'!$U$60</f>
        <v>0</v>
      </c>
      <c r="V39" s="20">
        <f>'TR TUSD'!$V$39*'TR TUSD'!$V$60</f>
        <v>0</v>
      </c>
      <c r="W39" s="20">
        <f>'TR TUSD'!$W$39*'TR TUSD'!$W$60</f>
        <v>0</v>
      </c>
      <c r="X39" s="20">
        <f>'TR TUSD'!$X$39*'TR TUSD'!$X$60</f>
        <v>0</v>
      </c>
      <c r="Y39" s="20">
        <f>'TR TUSD'!$Y$39*'TR TUSD'!$Y$60</f>
        <v>220.04024170909361</v>
      </c>
      <c r="Z39" s="20">
        <f>'TR TUSD'!$Z$39</f>
        <v>0</v>
      </c>
      <c r="AA39" s="20">
        <f>'TR TUSD'!$AA$39</f>
        <v>0</v>
      </c>
      <c r="AB39" s="20">
        <f>SUM($U$39:$AA$39)</f>
        <v>220.04024170909361</v>
      </c>
      <c r="AC39" s="20">
        <f>'TR TUSD'!$AC$39*'TR TUSD'!$AC$60</f>
        <v>833.18666101422809</v>
      </c>
      <c r="AD39" s="20">
        <f>SUM($AC$39:$AC$39)</f>
        <v>833.18666101422809</v>
      </c>
      <c r="AE39" s="20">
        <v>0</v>
      </c>
      <c r="AF39" s="20">
        <v>0</v>
      </c>
      <c r="AG39" s="20">
        <f>SUM($AE$39:$AF$39)</f>
        <v>0</v>
      </c>
      <c r="AH39" s="20">
        <f>'TR TUSD'!$AH$39*'TR TUSD'!$AH$60</f>
        <v>39.353180627220276</v>
      </c>
      <c r="AI39" s="20">
        <f>'TR TUSD'!$AI$39*'TR TUSD'!$AI$60</f>
        <v>0</v>
      </c>
      <c r="AJ39" s="20">
        <f ca="1">'TR TUSD'!$AJ$39*'TR TUSD'!$AJ$60</f>
        <v>0</v>
      </c>
      <c r="AK39" s="20">
        <f ca="1">'TR TUSD'!$AK$39*'TR TUSD'!$AK$60</f>
        <v>0</v>
      </c>
      <c r="AL39" s="20">
        <f ca="1">SUM($AH$39:$AK$39)</f>
        <v>39.353180627220276</v>
      </c>
      <c r="AM39" s="20">
        <f ca="1">SUMIF($L$4:$AL$4,"SUBTOTAL",$L$39:$AL$39)</f>
        <v>1150.9962259136705</v>
      </c>
      <c r="AP39" s="20">
        <f>IF((1 - CUSTOS!$M$30)&lt;&gt;0,1/(1 - CUSTOS!$M$30),1)</f>
        <v>1</v>
      </c>
    </row>
    <row r="40" spans="1:42" ht="11.25" customHeight="1" x14ac:dyDescent="0.25">
      <c r="A40" s="132"/>
      <c r="B40" s="132"/>
      <c r="C40" s="132"/>
      <c r="D40" s="132"/>
      <c r="E40" s="132"/>
      <c r="F40" s="132"/>
      <c r="G40" s="21" t="s">
        <v>71</v>
      </c>
      <c r="H40" s="21" t="s">
        <v>69</v>
      </c>
      <c r="I40" s="21">
        <f>'MERCADO TUSD'!$U$37</f>
        <v>0</v>
      </c>
      <c r="J40" s="17"/>
      <c r="L40" s="20">
        <f>'TR TUSD'!$L$40*'TR TUSD'!$L$60</f>
        <v>0</v>
      </c>
      <c r="M40" s="20">
        <f>'TR TUSD'!$M$40*'TR TUSD'!$M$60</f>
        <v>2.1584583141570977</v>
      </c>
      <c r="N40" s="20">
        <f ca="1">'TR TUSD'!$N$40*'TR TUSD'!$N$60</f>
        <v>0</v>
      </c>
      <c r="O40" s="20">
        <f>'TR TUSD'!$O$40*'TR TUSD'!$O$60</f>
        <v>0</v>
      </c>
      <c r="P40" s="20">
        <f>'TR TUSD'!$P$40*'TR TUSD'!$P$60</f>
        <v>0</v>
      </c>
      <c r="Q40" s="20">
        <f>'TR TUSD'!$Q$40*'TR TUSD'!$Q$60</f>
        <v>40.926100920084259</v>
      </c>
      <c r="R40" s="20">
        <f>'TR TUSD'!$R$40*'TR TUSD'!$R$60</f>
        <v>15.331583328887247</v>
      </c>
      <c r="S40" s="20">
        <f>'TR TUSD'!$S$40*'TR TUSD'!$S$60</f>
        <v>0</v>
      </c>
      <c r="T40" s="20">
        <f ca="1">SUM($L$40:$S$40)</f>
        <v>58.416142563128602</v>
      </c>
      <c r="U40" s="20">
        <f>'TR TUSD'!$U$40*'TR TUSD'!$U$60</f>
        <v>0</v>
      </c>
      <c r="V40" s="20">
        <f>'TR TUSD'!$V$40*'TR TUSD'!$V$60</f>
        <v>0</v>
      </c>
      <c r="W40" s="20">
        <f>'TR TUSD'!$W$40*'TR TUSD'!$W$60</f>
        <v>0</v>
      </c>
      <c r="X40" s="20">
        <f>'TR TUSD'!$X$40*'TR TUSD'!$X$60</f>
        <v>0</v>
      </c>
      <c r="Y40" s="20">
        <f>'TR TUSD'!$Y$40*'TR TUSD'!$Y$60</f>
        <v>73.34850762589717</v>
      </c>
      <c r="Z40" s="20">
        <f>'TR TUSD'!$Z$40</f>
        <v>0</v>
      </c>
      <c r="AA40" s="20">
        <f>'TR TUSD'!$AA$40</f>
        <v>0</v>
      </c>
      <c r="AB40" s="20">
        <f>SUM($U$40:$AA$40)</f>
        <v>73.34850762589717</v>
      </c>
      <c r="AC40" s="20">
        <f>'TR TUSD'!$AC$40*'TR TUSD'!$AC$60</f>
        <v>277.72918335189348</v>
      </c>
      <c r="AD40" s="20">
        <f>SUM($AC$40:$AC$40)</f>
        <v>277.72918335189348</v>
      </c>
      <c r="AE40" s="20">
        <v>0</v>
      </c>
      <c r="AF40" s="20">
        <v>0</v>
      </c>
      <c r="AG40" s="20">
        <f>SUM($AE$40:$AF$40)</f>
        <v>0</v>
      </c>
      <c r="AH40" s="20">
        <f>'TR TUSD'!$AH$40*'TR TUSD'!$AH$60</f>
        <v>39.353180627220276</v>
      </c>
      <c r="AI40" s="20">
        <f>'TR TUSD'!$AI$40*'TR TUSD'!$AI$60</f>
        <v>0</v>
      </c>
      <c r="AJ40" s="20">
        <f ca="1">'TR TUSD'!$AJ$40*'TR TUSD'!$AJ$60</f>
        <v>0</v>
      </c>
      <c r="AK40" s="20">
        <f ca="1">'TR TUSD'!$AK$40*'TR TUSD'!$AK$60</f>
        <v>0</v>
      </c>
      <c r="AL40" s="20">
        <f ca="1">SUM($AH$40:$AK$40)</f>
        <v>39.353180627220276</v>
      </c>
      <c r="AM40" s="20">
        <f ca="1">SUMIF($L$4:$AL$4,"SUBTOTAL",$L$40:$AL$40)</f>
        <v>448.84701416813954</v>
      </c>
      <c r="AP40" s="20">
        <f>IF((1 - CUSTOS!$M$30)&lt;&gt;0,1/(1 - CUSTOS!$M$30),1)</f>
        <v>1</v>
      </c>
    </row>
    <row r="41" spans="1:42" ht="11.25" customHeight="1" x14ac:dyDescent="0.25">
      <c r="A41" s="132"/>
      <c r="B41" s="22" t="s">
        <v>23</v>
      </c>
      <c r="C41" s="22" t="s">
        <v>42</v>
      </c>
      <c r="D41" s="22" t="s">
        <v>87</v>
      </c>
      <c r="E41" s="22" t="s">
        <v>25</v>
      </c>
      <c r="F41" s="22" t="s">
        <v>25</v>
      </c>
      <c r="G41" s="21" t="s">
        <v>73</v>
      </c>
      <c r="H41" s="21" t="s">
        <v>69</v>
      </c>
      <c r="I41" s="21">
        <f>'MERCADO TUSD'!$U$38</f>
        <v>0</v>
      </c>
      <c r="J41" s="17"/>
      <c r="L41" s="20">
        <f>'TR TUSD'!$L$41*'TR TUSD'!$L$60</f>
        <v>0</v>
      </c>
      <c r="M41" s="20">
        <f>'TR TUSD'!$M$41*'TR TUSD'!$M$60</f>
        <v>2.1584583141570977</v>
      </c>
      <c r="N41" s="20">
        <f ca="1">'TR TUSD'!$N$41*'TR TUSD'!$N$60</f>
        <v>0</v>
      </c>
      <c r="O41" s="20">
        <f>'TR TUSD'!$O$41*'TR TUSD'!$O$60</f>
        <v>0</v>
      </c>
      <c r="P41" s="20">
        <f>'TR TUSD'!$P$41*'TR TUSD'!$P$60</f>
        <v>0</v>
      </c>
      <c r="Q41" s="20">
        <f>'TR TUSD'!$Q$41*'TR TUSD'!$Q$60</f>
        <v>40.926100920084259</v>
      </c>
      <c r="R41" s="20">
        <f>'TR TUSD'!$R$41*'TR TUSD'!$R$60</f>
        <v>15.331583328887247</v>
      </c>
      <c r="S41" s="20">
        <f>'TR TUSD'!$S$41*'TR TUSD'!$S$60</f>
        <v>0</v>
      </c>
      <c r="T41" s="20">
        <f ca="1">SUM($L$41:$S$41)</f>
        <v>58.416142563128602</v>
      </c>
      <c r="U41" s="20">
        <f>'TR TUSD'!$U$41*'TR TUSD'!$U$60</f>
        <v>0</v>
      </c>
      <c r="V41" s="20">
        <f>'TR TUSD'!$V$41*'TR TUSD'!$V$60</f>
        <v>0</v>
      </c>
      <c r="W41" s="20">
        <f>'TR TUSD'!$W$41*'TR TUSD'!$W$60</f>
        <v>0</v>
      </c>
      <c r="X41" s="20">
        <f>'TR TUSD'!$X$41*'TR TUSD'!$X$60</f>
        <v>0</v>
      </c>
      <c r="Y41" s="20">
        <f>'TR TUSD'!$Y$41*'TR TUSD'!$Y$60</f>
        <v>137.53230998561619</v>
      </c>
      <c r="Z41" s="20">
        <f>'TR TUSD'!$Z$41</f>
        <v>0</v>
      </c>
      <c r="AA41" s="20">
        <f>'TR TUSD'!$AA$41</f>
        <v>0</v>
      </c>
      <c r="AB41" s="20">
        <f>SUM($U$41:$AA$41)</f>
        <v>137.53230998561619</v>
      </c>
      <c r="AC41" s="20">
        <f>'TR TUSD'!$AC$41*'TR TUSD'!$AC$60</f>
        <v>520.77317647822815</v>
      </c>
      <c r="AD41" s="20">
        <f>SUM($AC$41:$AC$41)</f>
        <v>520.77317647822815</v>
      </c>
      <c r="AE41" s="20">
        <v>0</v>
      </c>
      <c r="AF41" s="20">
        <v>0</v>
      </c>
      <c r="AG41" s="20">
        <f>SUM($AE$41:$AF$41)</f>
        <v>0</v>
      </c>
      <c r="AH41" s="20">
        <f>'TR TUSD'!$AH$41*'TR TUSD'!$AH$60</f>
        <v>39.353180627220276</v>
      </c>
      <c r="AI41" s="20">
        <f>'TR TUSD'!$AI$41*'TR TUSD'!$AI$60</f>
        <v>0</v>
      </c>
      <c r="AJ41" s="20">
        <f ca="1">'TR TUSD'!$AJ$41*'TR TUSD'!$AJ$60</f>
        <v>0</v>
      </c>
      <c r="AK41" s="20">
        <f ca="1">'TR TUSD'!$AK$41*'TR TUSD'!$AK$60</f>
        <v>0</v>
      </c>
      <c r="AL41" s="20">
        <f ca="1">SUM($AH$41:$AK$41)</f>
        <v>39.353180627220276</v>
      </c>
      <c r="AM41" s="20">
        <f ca="1">SUMIF($L$4:$AL$4,"SUBTOTAL",$L$41:$AL$41)</f>
        <v>756.07480965419325</v>
      </c>
      <c r="AP41" s="20">
        <f>IF((1 - CUSTOS!$M$30)&lt;&gt;0,1/(1 - CUSTOS!$M$30),1)</f>
        <v>1</v>
      </c>
    </row>
    <row r="42" spans="1:42" ht="11.25" customHeight="1" x14ac:dyDescent="0.25">
      <c r="A42" s="132"/>
      <c r="B42" s="132" t="s">
        <v>85</v>
      </c>
      <c r="C42" s="132" t="s">
        <v>42</v>
      </c>
      <c r="D42" s="22" t="s">
        <v>25</v>
      </c>
      <c r="E42" s="22" t="s">
        <v>25</v>
      </c>
      <c r="F42" s="22" t="s">
        <v>25</v>
      </c>
      <c r="G42" s="21" t="s">
        <v>73</v>
      </c>
      <c r="H42" s="21" t="s">
        <v>69</v>
      </c>
      <c r="I42" s="21">
        <f>'MERCADO TUSD'!$U$39</f>
        <v>0</v>
      </c>
      <c r="J42" s="17"/>
      <c r="L42" s="20">
        <f>'TR TUSD'!$L$42*'TR TUSD'!$L$60</f>
        <v>0</v>
      </c>
      <c r="M42" s="20">
        <f>'TR TUSD'!$M$42*'TR TUSD'!$M$60</f>
        <v>2.1584583141570977</v>
      </c>
      <c r="N42" s="20">
        <f ca="1">'TR TUSD'!$N$42*'TR TUSD'!$N$60</f>
        <v>0</v>
      </c>
      <c r="O42" s="20">
        <f>'TR TUSD'!$O$42*'TR TUSD'!$O$60</f>
        <v>0</v>
      </c>
      <c r="P42" s="20">
        <f>'TR TUSD'!$P$42*'TR TUSD'!$P$60</f>
        <v>0</v>
      </c>
      <c r="Q42" s="20">
        <f>'TR TUSD'!$Q$42*'TR TUSD'!$Q$60</f>
        <v>40.926100920084259</v>
      </c>
      <c r="R42" s="20">
        <f>'TR TUSD'!$R$42*'TR TUSD'!$R$60</f>
        <v>15.331583328887247</v>
      </c>
      <c r="S42" s="20">
        <f>'TR TUSD'!$S$42*'TR TUSD'!$S$60</f>
        <v>0</v>
      </c>
      <c r="T42" s="20">
        <f ca="1">SUM($L$42:$S$42)</f>
        <v>58.416142563128602</v>
      </c>
      <c r="U42" s="20">
        <f>'TR TUSD'!$U$42*'TR TUSD'!$U$60</f>
        <v>0</v>
      </c>
      <c r="V42" s="20">
        <f>'TR TUSD'!$V$42*'TR TUSD'!$V$60</f>
        <v>0</v>
      </c>
      <c r="W42" s="20">
        <f>'TR TUSD'!$W$42*'TR TUSD'!$W$60</f>
        <v>0</v>
      </c>
      <c r="X42" s="20">
        <f>'TR TUSD'!$X$42*'TR TUSD'!$X$60</f>
        <v>0</v>
      </c>
      <c r="Y42" s="20">
        <f>'TR TUSD'!$Y$42*'TR TUSD'!$Y$60</f>
        <v>137.53230998561619</v>
      </c>
      <c r="Z42" s="20">
        <f>'TR TUSD'!$Z$42</f>
        <v>0</v>
      </c>
      <c r="AA42" s="20">
        <f>'TR TUSD'!$AA$42</f>
        <v>0</v>
      </c>
      <c r="AB42" s="20">
        <f>SUM($U$42:$AA$42)</f>
        <v>137.53230998561619</v>
      </c>
      <c r="AC42" s="20">
        <f>'TR TUSD'!$AC$42*'TR TUSD'!$AC$60</f>
        <v>520.77317647822815</v>
      </c>
      <c r="AD42" s="20">
        <f>SUM($AC$42:$AC$42)</f>
        <v>520.77317647822815</v>
      </c>
      <c r="AE42" s="20">
        <v>0</v>
      </c>
      <c r="AF42" s="20">
        <v>0</v>
      </c>
      <c r="AG42" s="20">
        <f>SUM($AE$42:$AF$42)</f>
        <v>0</v>
      </c>
      <c r="AH42" s="20">
        <f>'TR TUSD'!$AH$42*'TR TUSD'!$AH$60</f>
        <v>39.353180627220276</v>
      </c>
      <c r="AI42" s="20">
        <f>'TR TUSD'!$AI$42*'TR TUSD'!$AI$60</f>
        <v>0</v>
      </c>
      <c r="AJ42" s="20">
        <f ca="1">'TR TUSD'!$AJ$42*'TR TUSD'!$AJ$60</f>
        <v>0</v>
      </c>
      <c r="AK42" s="20">
        <f ca="1">'TR TUSD'!$AK$42*'TR TUSD'!$AK$60</f>
        <v>0</v>
      </c>
      <c r="AL42" s="20">
        <f ca="1">SUM($AH$42:$AK$42)</f>
        <v>39.353180627220276</v>
      </c>
      <c r="AM42" s="20">
        <f ca="1">SUMIF($L$4:$AL$4,"SUBTOTAL",$L$42:$AL$42)</f>
        <v>756.07480965419325</v>
      </c>
      <c r="AP42" s="20">
        <f>IF((1 - CUSTOS!$M$28)&lt;&gt;0,1/(1 - CUSTOS!$M$28),1)</f>
        <v>1</v>
      </c>
    </row>
    <row r="43" spans="1:42" ht="11.25" customHeight="1" x14ac:dyDescent="0.25">
      <c r="A43" s="132"/>
      <c r="B43" s="132"/>
      <c r="C43" s="132"/>
      <c r="D43" s="22" t="s">
        <v>86</v>
      </c>
      <c r="E43" s="22" t="s">
        <v>25</v>
      </c>
      <c r="F43" s="22" t="s">
        <v>25</v>
      </c>
      <c r="G43" s="21" t="s">
        <v>73</v>
      </c>
      <c r="H43" s="21" t="s">
        <v>69</v>
      </c>
      <c r="I43" s="21">
        <f>'MERCADO TUSD'!$U$40</f>
        <v>0</v>
      </c>
      <c r="J43" s="17"/>
      <c r="L43" s="20">
        <f>'TR TUSD'!$L$43*'TR TUSD'!$L$60</f>
        <v>0</v>
      </c>
      <c r="M43" s="20">
        <f>'TR TUSD'!$M$43*'TR TUSD'!$M$60</f>
        <v>2.1584583141570977</v>
      </c>
      <c r="N43" s="20">
        <f ca="1">'TR TUSD'!$N$43*'TR TUSD'!$N$60</f>
        <v>0</v>
      </c>
      <c r="O43" s="20">
        <f>'TR TUSD'!$O$43*'TR TUSD'!$O$60</f>
        <v>0</v>
      </c>
      <c r="P43" s="20">
        <f>'TR TUSD'!$P$43*'TR TUSD'!$P$60</f>
        <v>0</v>
      </c>
      <c r="Q43" s="20">
        <f>'TR TUSD'!$Q$43*'TR TUSD'!$Q$60</f>
        <v>40.926100920084259</v>
      </c>
      <c r="R43" s="20">
        <f>'TR TUSD'!$R$43*'TR TUSD'!$R$60</f>
        <v>15.331583328887247</v>
      </c>
      <c r="S43" s="20">
        <f>'TR TUSD'!$S$43*'TR TUSD'!$S$60</f>
        <v>0</v>
      </c>
      <c r="T43" s="20">
        <f ca="1">SUM($L$43:$S$43)</f>
        <v>58.416142563128602</v>
      </c>
      <c r="U43" s="20">
        <f>'TR TUSD'!$U$43*'TR TUSD'!$U$60</f>
        <v>0</v>
      </c>
      <c r="V43" s="20">
        <f>'TR TUSD'!$V$43*'TR TUSD'!$V$60</f>
        <v>0</v>
      </c>
      <c r="W43" s="20">
        <f>'TR TUSD'!$W$43*'TR TUSD'!$W$60</f>
        <v>0</v>
      </c>
      <c r="X43" s="20">
        <f>'TR TUSD'!$X$43*'TR TUSD'!$X$60</f>
        <v>0</v>
      </c>
      <c r="Y43" s="20">
        <f>'TR TUSD'!$Y$43*'TR TUSD'!$Y$60</f>
        <v>137.53230998561619</v>
      </c>
      <c r="Z43" s="20">
        <f>'TR TUSD'!$Z$43</f>
        <v>0</v>
      </c>
      <c r="AA43" s="20">
        <f>'TR TUSD'!$AA$43</f>
        <v>0</v>
      </c>
      <c r="AB43" s="20">
        <f>SUM($U$43:$AA$43)</f>
        <v>137.53230998561619</v>
      </c>
      <c r="AC43" s="20">
        <f>'TR TUSD'!$AC$43*'TR TUSD'!$AC$60</f>
        <v>520.77317647822815</v>
      </c>
      <c r="AD43" s="20">
        <f>SUM($AC$43:$AC$43)</f>
        <v>520.77317647822815</v>
      </c>
      <c r="AE43" s="20">
        <v>0</v>
      </c>
      <c r="AF43" s="20">
        <v>0</v>
      </c>
      <c r="AG43" s="20">
        <f>SUM($AE$43:$AF$43)</f>
        <v>0</v>
      </c>
      <c r="AH43" s="20">
        <f>'TR TUSD'!$AH$43*'TR TUSD'!$AH$60</f>
        <v>39.353180627220276</v>
      </c>
      <c r="AI43" s="20">
        <f>'TR TUSD'!$AI$43*'TR TUSD'!$AI$60</f>
        <v>0</v>
      </c>
      <c r="AJ43" s="20">
        <f ca="1">'TR TUSD'!$AJ$43*'TR TUSD'!$AJ$60</f>
        <v>0</v>
      </c>
      <c r="AK43" s="20">
        <f ca="1">'TR TUSD'!$AK$43*'TR TUSD'!$AK$60</f>
        <v>0</v>
      </c>
      <c r="AL43" s="20">
        <f ca="1">SUM($AH$43:$AK$43)</f>
        <v>39.353180627220276</v>
      </c>
      <c r="AM43" s="20">
        <f ca="1">SUMIF($L$4:$AL$4,"SUBTOTAL",$L$43:$AL$43)</f>
        <v>756.07480965419325</v>
      </c>
      <c r="AP43" s="20">
        <f>IF((1 - CUSTOS!$M$29)&lt;&gt;0,1/(1 - CUSTOS!$M$29),1)</f>
        <v>1</v>
      </c>
    </row>
    <row r="44" spans="1:42" ht="11.25" customHeight="1" x14ac:dyDescent="0.25">
      <c r="A44" s="132"/>
      <c r="B44" s="132"/>
      <c r="C44" s="132"/>
      <c r="D44" s="22" t="s">
        <v>87</v>
      </c>
      <c r="E44" s="22" t="s">
        <v>25</v>
      </c>
      <c r="F44" s="22" t="s">
        <v>25</v>
      </c>
      <c r="G44" s="21" t="s">
        <v>73</v>
      </c>
      <c r="H44" s="21" t="s">
        <v>69</v>
      </c>
      <c r="I44" s="21">
        <f>'MERCADO TUSD'!$U$41</f>
        <v>0</v>
      </c>
      <c r="J44" s="17"/>
      <c r="L44" s="20">
        <f>'TR TUSD'!$L$44*'TR TUSD'!$L$60</f>
        <v>0</v>
      </c>
      <c r="M44" s="20">
        <f>'TR TUSD'!$M$44*'TR TUSD'!$M$60</f>
        <v>2.1584583141570977</v>
      </c>
      <c r="N44" s="20">
        <f ca="1">'TR TUSD'!$N$44*'TR TUSD'!$N$60</f>
        <v>0</v>
      </c>
      <c r="O44" s="20">
        <f>'TR TUSD'!$O$44*'TR TUSD'!$O$60</f>
        <v>0</v>
      </c>
      <c r="P44" s="20">
        <f>'TR TUSD'!$P$44*'TR TUSD'!$P$60</f>
        <v>0</v>
      </c>
      <c r="Q44" s="20">
        <f>'TR TUSD'!$Q$44*'TR TUSD'!$Q$60</f>
        <v>40.926100920084259</v>
      </c>
      <c r="R44" s="20">
        <f>'TR TUSD'!$R$44*'TR TUSD'!$R$60</f>
        <v>15.331583328887247</v>
      </c>
      <c r="S44" s="20">
        <f>'TR TUSD'!$S$44*'TR TUSD'!$S$60</f>
        <v>0</v>
      </c>
      <c r="T44" s="20">
        <f ca="1">SUM($L$44:$S$44)</f>
        <v>58.416142563128602</v>
      </c>
      <c r="U44" s="20">
        <f>'TR TUSD'!$U$44*'TR TUSD'!$U$60</f>
        <v>0</v>
      </c>
      <c r="V44" s="20">
        <f>'TR TUSD'!$V$44*'TR TUSD'!$V$60</f>
        <v>0</v>
      </c>
      <c r="W44" s="20">
        <f>'TR TUSD'!$W$44*'TR TUSD'!$W$60</f>
        <v>0</v>
      </c>
      <c r="X44" s="20">
        <f>'TR TUSD'!$X$44*'TR TUSD'!$X$60</f>
        <v>0</v>
      </c>
      <c r="Y44" s="20">
        <f>'TR TUSD'!$Y$44*'TR TUSD'!$Y$60</f>
        <v>137.53230998561619</v>
      </c>
      <c r="Z44" s="20">
        <f>'TR TUSD'!$Z$44</f>
        <v>0</v>
      </c>
      <c r="AA44" s="20">
        <f>'TR TUSD'!$AA$44</f>
        <v>0</v>
      </c>
      <c r="AB44" s="20">
        <f>SUM($U$44:$AA$44)</f>
        <v>137.53230998561619</v>
      </c>
      <c r="AC44" s="20">
        <f>'TR TUSD'!$AC$44*'TR TUSD'!$AC$60</f>
        <v>520.77317647822815</v>
      </c>
      <c r="AD44" s="20">
        <f>SUM($AC$44:$AC$44)</f>
        <v>520.77317647822815</v>
      </c>
      <c r="AE44" s="20">
        <v>0</v>
      </c>
      <c r="AF44" s="20">
        <v>0</v>
      </c>
      <c r="AG44" s="20">
        <f>SUM($AE$44:$AF$44)</f>
        <v>0</v>
      </c>
      <c r="AH44" s="20">
        <f>'TR TUSD'!$AH$44*'TR TUSD'!$AH$60</f>
        <v>39.353180627220276</v>
      </c>
      <c r="AI44" s="20">
        <f>'TR TUSD'!$AI$44*'TR TUSD'!$AI$60</f>
        <v>0</v>
      </c>
      <c r="AJ44" s="20">
        <f ca="1">'TR TUSD'!$AJ$44*'TR TUSD'!$AJ$60</f>
        <v>0</v>
      </c>
      <c r="AK44" s="20">
        <f ca="1">'TR TUSD'!$AK$44*'TR TUSD'!$AK$60</f>
        <v>0</v>
      </c>
      <c r="AL44" s="20">
        <f ca="1">SUM($AH$44:$AK$44)</f>
        <v>39.353180627220276</v>
      </c>
      <c r="AM44" s="20">
        <f ca="1">SUMIF($L$4:$AL$4,"SUBTOTAL",$L$44:$AL$44)</f>
        <v>756.07480965419325</v>
      </c>
      <c r="AP44" s="20">
        <f>IF((1 - CUSTOS!$M$30)&lt;&gt;0,1/(1 - CUSTOS!$M$30),1)</f>
        <v>1</v>
      </c>
    </row>
    <row r="45" spans="1:42" ht="11.25" customHeight="1" x14ac:dyDescent="0.25">
      <c r="A45" s="132" t="s">
        <v>32</v>
      </c>
      <c r="B45" s="132" t="s">
        <v>39</v>
      </c>
      <c r="C45" s="132" t="s">
        <v>25</v>
      </c>
      <c r="D45" s="132" t="s">
        <v>25</v>
      </c>
      <c r="E45" s="132" t="s">
        <v>25</v>
      </c>
      <c r="F45" s="132" t="s">
        <v>25</v>
      </c>
      <c r="G45" s="21" t="s">
        <v>70</v>
      </c>
      <c r="H45" s="21" t="s">
        <v>69</v>
      </c>
      <c r="I45" s="21">
        <f>'MERCADO TUSD'!$U$42</f>
        <v>0.13600000000000001</v>
      </c>
      <c r="J45" s="17"/>
      <c r="L45" s="20">
        <f>'TR TUSD'!$L$45*'TR TUSD'!$L$60</f>
        <v>0</v>
      </c>
      <c r="M45" s="20">
        <f>'TR TUSD'!$M$45*'TR TUSD'!$M$60</f>
        <v>2.1584583141570977</v>
      </c>
      <c r="N45" s="20">
        <f ca="1">'TR TUSD'!$N$45*'TR TUSD'!$N$60</f>
        <v>0</v>
      </c>
      <c r="O45" s="20">
        <f>'TR TUSD'!$O$45*'TR TUSD'!$O$60</f>
        <v>0</v>
      </c>
      <c r="P45" s="20">
        <f>'TR TUSD'!$P$45*'TR TUSD'!$P$60</f>
        <v>0</v>
      </c>
      <c r="Q45" s="20">
        <f>'TR TUSD'!$Q$45*'TR TUSD'!$Q$60</f>
        <v>40.926100920084259</v>
      </c>
      <c r="R45" s="20">
        <f>'TR TUSD'!$R$45*'TR TUSD'!$R$60</f>
        <v>15.331583328887247</v>
      </c>
      <c r="S45" s="20">
        <f>'TR TUSD'!$S$45*'TR TUSD'!$S$60</f>
        <v>0</v>
      </c>
      <c r="T45" s="20">
        <f ca="1">SUM($L$45:$S$45)</f>
        <v>58.416142563128602</v>
      </c>
      <c r="U45" s="20">
        <f>'TR TUSD'!$U$45*'TR TUSD'!$U$60</f>
        <v>0</v>
      </c>
      <c r="V45" s="20">
        <f>'TR TUSD'!$V$45*'TR TUSD'!$V$60</f>
        <v>0</v>
      </c>
      <c r="W45" s="20">
        <f>'TR TUSD'!$W$45*'TR TUSD'!$W$60</f>
        <v>0</v>
      </c>
      <c r="X45" s="20">
        <f>'TR TUSD'!$X$45*'TR TUSD'!$X$60</f>
        <v>0</v>
      </c>
      <c r="Y45" s="20">
        <f>'TR TUSD'!$Y$45*'TR TUSD'!$Y$60</f>
        <v>446.98015415238041</v>
      </c>
      <c r="Z45" s="20">
        <f>'TR TUSD'!$Z$45</f>
        <v>0</v>
      </c>
      <c r="AA45" s="20">
        <f>'TR TUSD'!$AA$45</f>
        <v>0</v>
      </c>
      <c r="AB45" s="20">
        <f>SUM($U$45:$AA$45)</f>
        <v>446.98015415238041</v>
      </c>
      <c r="AC45" s="20">
        <f>'TR TUSD'!$AC$45*'TR TUSD'!$AC$60</f>
        <v>1692.5135538382917</v>
      </c>
      <c r="AD45" s="20">
        <f>SUM($AC$45:$AC$45)</f>
        <v>1692.5135538382917</v>
      </c>
      <c r="AE45" s="20">
        <v>0</v>
      </c>
      <c r="AF45" s="20">
        <v>0</v>
      </c>
      <c r="AG45" s="20">
        <f>SUM($AE$45:$AF$45)</f>
        <v>0</v>
      </c>
      <c r="AH45" s="20">
        <f>'TR TUSD'!$AH$45*'TR TUSD'!$AH$60</f>
        <v>39.353180627220276</v>
      </c>
      <c r="AI45" s="20">
        <f>'TR TUSD'!$AI$45*'TR TUSD'!$AI$60</f>
        <v>0</v>
      </c>
      <c r="AJ45" s="20">
        <f ca="1">'TR TUSD'!$AJ$45*'TR TUSD'!$AJ$60</f>
        <v>0</v>
      </c>
      <c r="AK45" s="20">
        <f ca="1">'TR TUSD'!$AK$45*'TR TUSD'!$AK$60</f>
        <v>0</v>
      </c>
      <c r="AL45" s="20">
        <f ca="1">SUM($AH$45:$AK$45)</f>
        <v>39.353180627220276</v>
      </c>
      <c r="AM45" s="20">
        <f ca="1">SUMIF($L$4:$AL$4,"SUBTOTAL",$L$45:$AL$45)</f>
        <v>2237.2630311810212</v>
      </c>
      <c r="AP45" s="20">
        <f>IF((1 - CUSTOS!$M$31)&lt;&gt;0,1/(1 - CUSTOS!$M$31),1)</f>
        <v>1</v>
      </c>
    </row>
    <row r="46" spans="1:42" ht="11.25" customHeight="1" x14ac:dyDescent="0.25">
      <c r="A46" s="132"/>
      <c r="B46" s="132"/>
      <c r="C46" s="132"/>
      <c r="D46" s="132"/>
      <c r="E46" s="132"/>
      <c r="F46" s="132"/>
      <c r="G46" s="21" t="s">
        <v>83</v>
      </c>
      <c r="H46" s="21" t="s">
        <v>69</v>
      </c>
      <c r="I46" s="21">
        <f>'MERCADO TUSD'!$U$43</f>
        <v>0.16400000000000003</v>
      </c>
      <c r="J46" s="17"/>
      <c r="L46" s="20">
        <f>'TR TUSD'!$L$46*'TR TUSD'!$L$60</f>
        <v>0</v>
      </c>
      <c r="M46" s="20">
        <f>'TR TUSD'!$M$46*'TR TUSD'!$M$60</f>
        <v>2.1584583141570977</v>
      </c>
      <c r="N46" s="20">
        <f ca="1">'TR TUSD'!$N$46*'TR TUSD'!$N$60</f>
        <v>0</v>
      </c>
      <c r="O46" s="20">
        <f>'TR TUSD'!$O$46*'TR TUSD'!$O$60</f>
        <v>0</v>
      </c>
      <c r="P46" s="20">
        <f>'TR TUSD'!$P$46*'TR TUSD'!$P$60</f>
        <v>0</v>
      </c>
      <c r="Q46" s="20">
        <f>'TR TUSD'!$Q$46*'TR TUSD'!$Q$60</f>
        <v>40.926100920084259</v>
      </c>
      <c r="R46" s="20">
        <f>'TR TUSD'!$R$46*'TR TUSD'!$R$60</f>
        <v>15.331583328887247</v>
      </c>
      <c r="S46" s="20">
        <f>'TR TUSD'!$S$46*'TR TUSD'!$S$60</f>
        <v>0</v>
      </c>
      <c r="T46" s="20">
        <f ca="1">SUM($L$46:$S$46)</f>
        <v>58.416142563128602</v>
      </c>
      <c r="U46" s="20">
        <f>'TR TUSD'!$U$46*'TR TUSD'!$U$60</f>
        <v>0</v>
      </c>
      <c r="V46" s="20">
        <f>'TR TUSD'!$V$46*'TR TUSD'!$V$60</f>
        <v>0</v>
      </c>
      <c r="W46" s="20">
        <f>'TR TUSD'!$W$46*'TR TUSD'!$W$60</f>
        <v>0</v>
      </c>
      <c r="X46" s="20">
        <f>'TR TUSD'!$X$46*'TR TUSD'!$X$60</f>
        <v>0</v>
      </c>
      <c r="Y46" s="20">
        <f>'TR TUSD'!$Y$46*'TR TUSD'!$Y$60</f>
        <v>268.19018148700695</v>
      </c>
      <c r="Z46" s="20">
        <f>'TR TUSD'!$Z$46</f>
        <v>0</v>
      </c>
      <c r="AA46" s="20">
        <f>'TR TUSD'!$AA$46</f>
        <v>0</v>
      </c>
      <c r="AB46" s="20">
        <f>SUM($U$46:$AA$46)</f>
        <v>268.19018148700695</v>
      </c>
      <c r="AC46" s="20">
        <f>'TR TUSD'!$AC$46*'TR TUSD'!$AC$60</f>
        <v>1015.5079798958689</v>
      </c>
      <c r="AD46" s="20">
        <f>SUM($AC$46:$AC$46)</f>
        <v>1015.5079798958689</v>
      </c>
      <c r="AE46" s="20">
        <v>0</v>
      </c>
      <c r="AF46" s="20">
        <v>0</v>
      </c>
      <c r="AG46" s="20">
        <f>SUM($AE$46:$AF$46)</f>
        <v>0</v>
      </c>
      <c r="AH46" s="20">
        <f>'TR TUSD'!$AH$46*'TR TUSD'!$AH$60</f>
        <v>39.353180627220276</v>
      </c>
      <c r="AI46" s="20">
        <f>'TR TUSD'!$AI$46*'TR TUSD'!$AI$60</f>
        <v>0</v>
      </c>
      <c r="AJ46" s="20">
        <f ca="1">'TR TUSD'!$AJ$46*'TR TUSD'!$AJ$60</f>
        <v>0</v>
      </c>
      <c r="AK46" s="20">
        <f ca="1">'TR TUSD'!$AK$46*'TR TUSD'!$AK$60</f>
        <v>0</v>
      </c>
      <c r="AL46" s="20">
        <f ca="1">SUM($AH$46:$AK$46)</f>
        <v>39.353180627220276</v>
      </c>
      <c r="AM46" s="20">
        <f ca="1">SUMIF($L$4:$AL$4,"SUBTOTAL",$L$46:$AL$46)</f>
        <v>1381.4674845732247</v>
      </c>
      <c r="AP46" s="20">
        <f>IF((1 - CUSTOS!$M$31)&lt;&gt;0,1/(1 - CUSTOS!$M$31),1)</f>
        <v>1</v>
      </c>
    </row>
    <row r="47" spans="1:42" ht="11.25" customHeight="1" x14ac:dyDescent="0.25">
      <c r="A47" s="132"/>
      <c r="B47" s="132"/>
      <c r="C47" s="132"/>
      <c r="D47" s="132"/>
      <c r="E47" s="132"/>
      <c r="F47" s="132"/>
      <c r="G47" s="21" t="s">
        <v>71</v>
      </c>
      <c r="H47" s="21" t="s">
        <v>69</v>
      </c>
      <c r="I47" s="21">
        <f>'MERCADO TUSD'!$U$44</f>
        <v>5.0719999999999992</v>
      </c>
      <c r="J47" s="17"/>
      <c r="L47" s="20">
        <f>'TR TUSD'!$L$47*'TR TUSD'!$L$60</f>
        <v>0</v>
      </c>
      <c r="M47" s="20">
        <f>'TR TUSD'!$M$47*'TR TUSD'!$M$60</f>
        <v>2.1584583141570977</v>
      </c>
      <c r="N47" s="20">
        <f ca="1">'TR TUSD'!$N$47*'TR TUSD'!$N$60</f>
        <v>0</v>
      </c>
      <c r="O47" s="20">
        <f>'TR TUSD'!$O$47*'TR TUSD'!$O$60</f>
        <v>0</v>
      </c>
      <c r="P47" s="20">
        <f>'TR TUSD'!$P$47*'TR TUSD'!$P$60</f>
        <v>0</v>
      </c>
      <c r="Q47" s="20">
        <f>'TR TUSD'!$Q$47*'TR TUSD'!$Q$60</f>
        <v>40.926100920084259</v>
      </c>
      <c r="R47" s="20">
        <f>'TR TUSD'!$R$47*'TR TUSD'!$R$60</f>
        <v>15.331583328887247</v>
      </c>
      <c r="S47" s="20">
        <f>'TR TUSD'!$S$47*'TR TUSD'!$S$60</f>
        <v>0</v>
      </c>
      <c r="T47" s="20">
        <f ca="1">SUM($L$47:$S$47)</f>
        <v>58.416142563128602</v>
      </c>
      <c r="U47" s="20">
        <f>'TR TUSD'!$U$47*'TR TUSD'!$U$60</f>
        <v>0</v>
      </c>
      <c r="V47" s="20">
        <f>'TR TUSD'!$V$47*'TR TUSD'!$V$60</f>
        <v>0</v>
      </c>
      <c r="W47" s="20">
        <f>'TR TUSD'!$W$47*'TR TUSD'!$W$60</f>
        <v>0</v>
      </c>
      <c r="X47" s="20">
        <f>'TR TUSD'!$X$47*'TR TUSD'!$X$60</f>
        <v>0</v>
      </c>
      <c r="Y47" s="20">
        <f>'TR TUSD'!$Y$47*'TR TUSD'!$Y$60</f>
        <v>89.397392198381311</v>
      </c>
      <c r="Z47" s="20">
        <f>'TR TUSD'!$Z$47</f>
        <v>0</v>
      </c>
      <c r="AA47" s="20">
        <f>'TR TUSD'!$AA$47</f>
        <v>0</v>
      </c>
      <c r="AB47" s="20">
        <f>SUM($U$47:$AA$47)</f>
        <v>89.397392198381311</v>
      </c>
      <c r="AC47" s="20">
        <f>'TR TUSD'!$AC$47*'TR TUSD'!$AC$60</f>
        <v>338.50291397713318</v>
      </c>
      <c r="AD47" s="20">
        <f>SUM($AC$47:$AC$47)</f>
        <v>338.50291397713318</v>
      </c>
      <c r="AE47" s="20">
        <v>0</v>
      </c>
      <c r="AF47" s="20">
        <v>0</v>
      </c>
      <c r="AG47" s="20">
        <f>SUM($AE$47:$AF$47)</f>
        <v>0</v>
      </c>
      <c r="AH47" s="20">
        <f>'TR TUSD'!$AH$47*'TR TUSD'!$AH$60</f>
        <v>39.353180627220276</v>
      </c>
      <c r="AI47" s="20">
        <f>'TR TUSD'!$AI$47*'TR TUSD'!$AI$60</f>
        <v>0</v>
      </c>
      <c r="AJ47" s="20">
        <f ca="1">'TR TUSD'!$AJ$47*'TR TUSD'!$AJ$60</f>
        <v>0</v>
      </c>
      <c r="AK47" s="20">
        <f ca="1">'TR TUSD'!$AK$47*'TR TUSD'!$AK$60</f>
        <v>0</v>
      </c>
      <c r="AL47" s="20">
        <f ca="1">SUM($AH$47:$AK$47)</f>
        <v>39.353180627220276</v>
      </c>
      <c r="AM47" s="20">
        <f ca="1">SUMIF($L$4:$AL$4,"SUBTOTAL",$L$47:$AL$47)</f>
        <v>525.66962936586333</v>
      </c>
      <c r="AP47" s="20">
        <f>IF((1 - CUSTOS!$M$31)&lt;&gt;0,1/(1 - CUSTOS!$M$31),1)</f>
        <v>1</v>
      </c>
    </row>
    <row r="48" spans="1:42" ht="11.25" customHeight="1" x14ac:dyDescent="0.25">
      <c r="A48" s="132"/>
      <c r="B48" s="22" t="s">
        <v>23</v>
      </c>
      <c r="C48" s="22" t="s">
        <v>25</v>
      </c>
      <c r="D48" s="22" t="s">
        <v>25</v>
      </c>
      <c r="E48" s="22" t="s">
        <v>25</v>
      </c>
      <c r="F48" s="22" t="s">
        <v>25</v>
      </c>
      <c r="G48" s="21" t="s">
        <v>73</v>
      </c>
      <c r="H48" s="21" t="s">
        <v>69</v>
      </c>
      <c r="I48" s="21">
        <f>'MERCADO TUSD'!$U$45</f>
        <v>1791.422</v>
      </c>
      <c r="J48" s="17"/>
      <c r="L48" s="20">
        <f>'TR TUSD'!$L$48*'TR TUSD'!$L$60</f>
        <v>0</v>
      </c>
      <c r="M48" s="20">
        <f>'TR TUSD'!$M$48*'TR TUSD'!$M$60</f>
        <v>2.1584583141570977</v>
      </c>
      <c r="N48" s="20">
        <f ca="1">'TR TUSD'!$N$48*'TR TUSD'!$N$60</f>
        <v>0</v>
      </c>
      <c r="O48" s="20">
        <f>'TR TUSD'!$O$48*'TR TUSD'!$O$60</f>
        <v>0</v>
      </c>
      <c r="P48" s="20">
        <f>'TR TUSD'!$P$48*'TR TUSD'!$P$60</f>
        <v>0</v>
      </c>
      <c r="Q48" s="20">
        <f>'TR TUSD'!$Q$48*'TR TUSD'!$Q$60</f>
        <v>40.926100920084259</v>
      </c>
      <c r="R48" s="20">
        <f>'TR TUSD'!$R$48*'TR TUSD'!$R$60</f>
        <v>15.331583328887247</v>
      </c>
      <c r="S48" s="20">
        <f>'TR TUSD'!$S$48*'TR TUSD'!$S$60</f>
        <v>0</v>
      </c>
      <c r="T48" s="20">
        <f ca="1">SUM($L$48:$S$48)</f>
        <v>58.416142563128602</v>
      </c>
      <c r="U48" s="20">
        <f>'TR TUSD'!$U$48*'TR TUSD'!$U$60</f>
        <v>0</v>
      </c>
      <c r="V48" s="20">
        <f>'TR TUSD'!$V$48*'TR TUSD'!$V$60</f>
        <v>0</v>
      </c>
      <c r="W48" s="20">
        <f>'TR TUSD'!$W$48*'TR TUSD'!$W$60</f>
        <v>0</v>
      </c>
      <c r="X48" s="20">
        <f>'TR TUSD'!$X$48*'TR TUSD'!$X$60</f>
        <v>0</v>
      </c>
      <c r="Y48" s="20">
        <f>'TR TUSD'!$Y$48*'TR TUSD'!$Y$60</f>
        <v>137.53230998561619</v>
      </c>
      <c r="Z48" s="20">
        <f>'TR TUSD'!$Z$48</f>
        <v>0</v>
      </c>
      <c r="AA48" s="20">
        <f>'TR TUSD'!$AA$48</f>
        <v>0</v>
      </c>
      <c r="AB48" s="20">
        <f>SUM($U$48:$AA$48)</f>
        <v>137.53230998561619</v>
      </c>
      <c r="AC48" s="20">
        <f>'TR TUSD'!$AC$48*'TR TUSD'!$AC$60</f>
        <v>520.77317647822815</v>
      </c>
      <c r="AD48" s="20">
        <f>SUM($AC$48:$AC$48)</f>
        <v>520.77317647822815</v>
      </c>
      <c r="AE48" s="20">
        <v>0</v>
      </c>
      <c r="AF48" s="20">
        <v>0</v>
      </c>
      <c r="AG48" s="20">
        <f>SUM($AE$48:$AF$48)</f>
        <v>0</v>
      </c>
      <c r="AH48" s="20">
        <f>'TR TUSD'!$AH$48*'TR TUSD'!$AH$60</f>
        <v>39.353180627220276</v>
      </c>
      <c r="AI48" s="20">
        <f>'TR TUSD'!$AI$48*'TR TUSD'!$AI$60</f>
        <v>0</v>
      </c>
      <c r="AJ48" s="20">
        <f ca="1">'TR TUSD'!$AJ$48*'TR TUSD'!$AJ$60</f>
        <v>0</v>
      </c>
      <c r="AK48" s="20">
        <f ca="1">'TR TUSD'!$AK$48*'TR TUSD'!$AK$60</f>
        <v>0</v>
      </c>
      <c r="AL48" s="20">
        <f ca="1">SUM($AH$48:$AK$48)</f>
        <v>39.353180627220276</v>
      </c>
      <c r="AM48" s="20">
        <f ca="1">SUMIF($L$4:$AL$4,"SUBTOTAL",$L$48:$AL$48)</f>
        <v>756.07480965419325</v>
      </c>
      <c r="AP48" s="20">
        <f>IF((1 - CUSTOS!$M$31)&lt;&gt;0,1/(1 - CUSTOS!$M$31),1)</f>
        <v>1</v>
      </c>
    </row>
    <row r="49" spans="1:42" ht="11.25" customHeight="1" x14ac:dyDescent="0.25">
      <c r="A49" s="132"/>
      <c r="B49" s="22" t="s">
        <v>85</v>
      </c>
      <c r="C49" s="22" t="s">
        <v>25</v>
      </c>
      <c r="D49" s="22" t="s">
        <v>25</v>
      </c>
      <c r="E49" s="22" t="s">
        <v>25</v>
      </c>
      <c r="F49" s="22" t="s">
        <v>25</v>
      </c>
      <c r="G49" s="21" t="s">
        <v>73</v>
      </c>
      <c r="H49" s="21" t="s">
        <v>69</v>
      </c>
      <c r="I49" s="21">
        <f>'MERCADO TUSD'!$U$46</f>
        <v>0</v>
      </c>
      <c r="J49" s="17"/>
      <c r="L49" s="20">
        <f>'TR TUSD'!$L$49*'TR TUSD'!$L$60</f>
        <v>0</v>
      </c>
      <c r="M49" s="20">
        <f>'TR TUSD'!$M$49*'TR TUSD'!$M$60</f>
        <v>2.1584583141570977</v>
      </c>
      <c r="N49" s="20">
        <f ca="1">'TR TUSD'!$N$49*'TR TUSD'!$N$60</f>
        <v>0</v>
      </c>
      <c r="O49" s="20">
        <f>'TR TUSD'!$O$49*'TR TUSD'!$O$60</f>
        <v>0</v>
      </c>
      <c r="P49" s="20">
        <f>'TR TUSD'!$P$49*'TR TUSD'!$P$60</f>
        <v>0</v>
      </c>
      <c r="Q49" s="20">
        <f>'TR TUSD'!$Q$49*'TR TUSD'!$Q$60</f>
        <v>40.926100920084259</v>
      </c>
      <c r="R49" s="20">
        <f>'TR TUSD'!$R$49*'TR TUSD'!$R$60</f>
        <v>15.331583328887247</v>
      </c>
      <c r="S49" s="20">
        <f>'TR TUSD'!$S$49*'TR TUSD'!$S$60</f>
        <v>0</v>
      </c>
      <c r="T49" s="20">
        <f ca="1">SUM($L$49:$S$49)</f>
        <v>58.416142563128602</v>
      </c>
      <c r="U49" s="20">
        <f>'TR TUSD'!$U$49*'TR TUSD'!$U$60</f>
        <v>0</v>
      </c>
      <c r="V49" s="20">
        <f>'TR TUSD'!$V$49*'TR TUSD'!$V$60</f>
        <v>0</v>
      </c>
      <c r="W49" s="20">
        <f>'TR TUSD'!$W$49*'TR TUSD'!$W$60</f>
        <v>0</v>
      </c>
      <c r="X49" s="20">
        <f>'TR TUSD'!$X$49*'TR TUSD'!$X$60</f>
        <v>0</v>
      </c>
      <c r="Y49" s="20">
        <f>'TR TUSD'!$Y$49*'TR TUSD'!$Y$60</f>
        <v>137.53230998561619</v>
      </c>
      <c r="Z49" s="20">
        <f>'TR TUSD'!$Z$49</f>
        <v>0</v>
      </c>
      <c r="AA49" s="20">
        <f>'TR TUSD'!$AA$49</f>
        <v>0</v>
      </c>
      <c r="AB49" s="20">
        <f>SUM($U$49:$AA$49)</f>
        <v>137.53230998561619</v>
      </c>
      <c r="AC49" s="20">
        <f>'TR TUSD'!$AC$49*'TR TUSD'!$AC$60</f>
        <v>520.77317647822815</v>
      </c>
      <c r="AD49" s="20">
        <f>SUM($AC$49:$AC$49)</f>
        <v>520.77317647822815</v>
      </c>
      <c r="AE49" s="20">
        <v>0</v>
      </c>
      <c r="AF49" s="20">
        <v>0</v>
      </c>
      <c r="AG49" s="20">
        <f>SUM($AE$49:$AF$49)</f>
        <v>0</v>
      </c>
      <c r="AH49" s="20">
        <f>'TR TUSD'!$AH$49*'TR TUSD'!$AH$60</f>
        <v>39.353180627220276</v>
      </c>
      <c r="AI49" s="20">
        <f>'TR TUSD'!$AI$49*'TR TUSD'!$AI$60</f>
        <v>0</v>
      </c>
      <c r="AJ49" s="20">
        <f ca="1">'TR TUSD'!$AJ$49*'TR TUSD'!$AJ$60</f>
        <v>0</v>
      </c>
      <c r="AK49" s="20">
        <f ca="1">'TR TUSD'!$AK$49*'TR TUSD'!$AK$60</f>
        <v>0</v>
      </c>
      <c r="AL49" s="20">
        <f ca="1">SUM($AH$49:$AK$49)</f>
        <v>39.353180627220276</v>
      </c>
      <c r="AM49" s="20">
        <f ca="1">SUMIF($L$4:$AL$4,"SUBTOTAL",$L$49:$AL$49)</f>
        <v>756.07480965419325</v>
      </c>
      <c r="AP49" s="20">
        <f>IF((1 - CUSTOS!$M$31)&lt;&gt;0,1/(1 - CUSTOS!$M$31),1)</f>
        <v>1</v>
      </c>
    </row>
    <row r="50" spans="1:42" ht="11.25" customHeight="1" x14ac:dyDescent="0.25">
      <c r="A50" s="132" t="s">
        <v>44</v>
      </c>
      <c r="B50" s="132" t="s">
        <v>23</v>
      </c>
      <c r="C50" s="132" t="s">
        <v>45</v>
      </c>
      <c r="D50" s="22" t="s">
        <v>46</v>
      </c>
      <c r="E50" s="22" t="s">
        <v>25</v>
      </c>
      <c r="F50" s="22" t="s">
        <v>25</v>
      </c>
      <c r="G50" s="21" t="s">
        <v>73</v>
      </c>
      <c r="H50" s="21" t="s">
        <v>69</v>
      </c>
      <c r="I50" s="21">
        <f>'MERCADO TUSD'!$U$47</f>
        <v>1518.0680000000002</v>
      </c>
      <c r="J50" s="17"/>
      <c r="L50" s="20">
        <f>'TR TUSD'!$L$50*'TR TUSD'!$L$60</f>
        <v>0</v>
      </c>
      <c r="M50" s="20">
        <f>'TR TUSD'!$M$50*'TR TUSD'!$M$60</f>
        <v>1.1871520727864038</v>
      </c>
      <c r="N50" s="20">
        <f ca="1">'TR TUSD'!$N$50*'TR TUSD'!$N$60</f>
        <v>0</v>
      </c>
      <c r="O50" s="20">
        <f>'TR TUSD'!$O$50*'TR TUSD'!$O$60</f>
        <v>0</v>
      </c>
      <c r="P50" s="20">
        <f>'TR TUSD'!$P$50*'TR TUSD'!$P$60</f>
        <v>0</v>
      </c>
      <c r="Q50" s="20">
        <f>'TR TUSD'!$Q$50*'TR TUSD'!$Q$60</f>
        <v>22.509355506046344</v>
      </c>
      <c r="R50" s="20">
        <f>'TR TUSD'!$R$50*'TR TUSD'!$R$60</f>
        <v>8.4323708308879866</v>
      </c>
      <c r="S50" s="20">
        <f>'TR TUSD'!$S$50*'TR TUSD'!$S$60</f>
        <v>0</v>
      </c>
      <c r="T50" s="20">
        <f ca="1">SUM($L$50:$S$50)</f>
        <v>32.128878409720734</v>
      </c>
      <c r="U50" s="20">
        <f>'TR TUSD'!$U$50*'TR TUSD'!$U$60</f>
        <v>0</v>
      </c>
      <c r="V50" s="20">
        <f>'TR TUSD'!$V$50*'TR TUSD'!$V$60</f>
        <v>0</v>
      </c>
      <c r="W50" s="20">
        <f>'TR TUSD'!$W$50*'TR TUSD'!$W$60</f>
        <v>0</v>
      </c>
      <c r="X50" s="20">
        <f>'TR TUSD'!$X$50*'TR TUSD'!$X$60</f>
        <v>0</v>
      </c>
      <c r="Y50" s="20">
        <f>'TR TUSD'!$Y$50*'TR TUSD'!$Y$60</f>
        <v>75.642770492088928</v>
      </c>
      <c r="Z50" s="20">
        <f>'TR TUSD'!$Z$50</f>
        <v>0</v>
      </c>
      <c r="AA50" s="20">
        <f>'TR TUSD'!$AA$50</f>
        <v>0</v>
      </c>
      <c r="AB50" s="20">
        <f>SUM($U$50:$AA$50)</f>
        <v>75.642770492088928</v>
      </c>
      <c r="AC50" s="20">
        <f>'TR TUSD'!$AC$50*'TR TUSD'!$AC$60</f>
        <v>286.42524706302555</v>
      </c>
      <c r="AD50" s="20">
        <f>SUM($AC$50:$AC$50)</f>
        <v>286.42524706302555</v>
      </c>
      <c r="AE50" s="20">
        <v>0</v>
      </c>
      <c r="AF50" s="20">
        <v>0</v>
      </c>
      <c r="AG50" s="20">
        <f>SUM($AE$50:$AF$50)</f>
        <v>0</v>
      </c>
      <c r="AH50" s="20">
        <f>'TR TUSD'!$AH$50*'TR TUSD'!$AH$60</f>
        <v>21.644249344971154</v>
      </c>
      <c r="AI50" s="20">
        <f>'TR TUSD'!$AI$50*'TR TUSD'!$AI$60</f>
        <v>0</v>
      </c>
      <c r="AJ50" s="20">
        <f ca="1">'TR TUSD'!$AJ$50*'TR TUSD'!$AJ$60</f>
        <v>0</v>
      </c>
      <c r="AK50" s="20">
        <f ca="1">'TR TUSD'!$AK$50*'TR TUSD'!$AK$60</f>
        <v>0</v>
      </c>
      <c r="AL50" s="20">
        <f ca="1">SUM($AH$50:$AK$50)</f>
        <v>21.644249344971154</v>
      </c>
      <c r="AM50" s="20">
        <f ca="1">SUMIF($L$4:$AL$4,"SUBTOTAL",$L$50:$AL$50)</f>
        <v>415.84114530980639</v>
      </c>
      <c r="AP50" s="20">
        <f>IF((1 - CUSTOS!$M$32)&lt;&gt;0,1/(1 - CUSTOS!$M$32),1)</f>
        <v>1.8181818181818181</v>
      </c>
    </row>
    <row r="51" spans="1:42" ht="11.25" customHeight="1" x14ac:dyDescent="0.25">
      <c r="A51" s="132"/>
      <c r="B51" s="132"/>
      <c r="C51" s="132"/>
      <c r="D51" s="21" t="s">
        <v>88</v>
      </c>
      <c r="E51" s="21" t="s">
        <v>25</v>
      </c>
      <c r="F51" s="21" t="s">
        <v>25</v>
      </c>
      <c r="G51" s="21" t="s">
        <v>73</v>
      </c>
      <c r="H51" s="21" t="s">
        <v>69</v>
      </c>
      <c r="I51" s="21">
        <f>'MERCADO TUSD'!$U$48</f>
        <v>0</v>
      </c>
      <c r="J51" s="17"/>
      <c r="L51" s="20">
        <f>'TR TUSD'!$L$51*'TR TUSD'!$L$60</f>
        <v>0</v>
      </c>
      <c r="M51" s="20">
        <f>'TR TUSD'!$M$51*'TR TUSD'!$M$60</f>
        <v>1.2950749884942587</v>
      </c>
      <c r="N51" s="20">
        <f ca="1">'TR TUSD'!$N$51*'TR TUSD'!$N$60</f>
        <v>0</v>
      </c>
      <c r="O51" s="20">
        <f>'TR TUSD'!$O$51*'TR TUSD'!$O$60</f>
        <v>0</v>
      </c>
      <c r="P51" s="20">
        <f>'TR TUSD'!$P$51*'TR TUSD'!$P$60</f>
        <v>0</v>
      </c>
      <c r="Q51" s="20">
        <f>'TR TUSD'!$Q$51*'TR TUSD'!$Q$60</f>
        <v>24.555660552050554</v>
      </c>
      <c r="R51" s="20">
        <f>'TR TUSD'!$R$51*'TR TUSD'!$R$60</f>
        <v>9.1989499973323472</v>
      </c>
      <c r="S51" s="20">
        <f>'TR TUSD'!$S$51*'TR TUSD'!$S$60</f>
        <v>0</v>
      </c>
      <c r="T51" s="20">
        <f ca="1">SUM($L$51:$S$51)</f>
        <v>35.04968553787716</v>
      </c>
      <c r="U51" s="20">
        <f>'TR TUSD'!$U$51*'TR TUSD'!$U$60</f>
        <v>0</v>
      </c>
      <c r="V51" s="20">
        <f>'TR TUSD'!$V$51*'TR TUSD'!$V$60</f>
        <v>0</v>
      </c>
      <c r="W51" s="20">
        <f>'TR TUSD'!$W$51*'TR TUSD'!$W$60</f>
        <v>0</v>
      </c>
      <c r="X51" s="20">
        <f>'TR TUSD'!$X$51*'TR TUSD'!$X$60</f>
        <v>0</v>
      </c>
      <c r="Y51" s="20">
        <f>'TR TUSD'!$Y$51*'TR TUSD'!$Y$60</f>
        <v>82.519385991369717</v>
      </c>
      <c r="Z51" s="20">
        <f>'TR TUSD'!$Z$51</f>
        <v>0</v>
      </c>
      <c r="AA51" s="20">
        <f>'TR TUSD'!$AA$51</f>
        <v>0</v>
      </c>
      <c r="AB51" s="20">
        <f>SUM($U$51:$AA$51)</f>
        <v>82.519385991369717</v>
      </c>
      <c r="AC51" s="20">
        <f>'TR TUSD'!$AC$51*'TR TUSD'!$AC$60</f>
        <v>312.46390588693691</v>
      </c>
      <c r="AD51" s="20">
        <f>SUM($AC$51:$AC$51)</f>
        <v>312.46390588693691</v>
      </c>
      <c r="AE51" s="20">
        <v>0</v>
      </c>
      <c r="AF51" s="20">
        <v>0</v>
      </c>
      <c r="AG51" s="20">
        <f>SUM($AE$51:$AF$51)</f>
        <v>0</v>
      </c>
      <c r="AH51" s="20">
        <f>'TR TUSD'!$AH$51*'TR TUSD'!$AH$60</f>
        <v>23.611908376332163</v>
      </c>
      <c r="AI51" s="20">
        <f>'TR TUSD'!$AI$51*'TR TUSD'!$AI$60</f>
        <v>0</v>
      </c>
      <c r="AJ51" s="20">
        <f ca="1">'TR TUSD'!$AJ$51*'TR TUSD'!$AJ$60</f>
        <v>0</v>
      </c>
      <c r="AK51" s="20">
        <f ca="1">'TR TUSD'!$AK$51*'TR TUSD'!$AK$60</f>
        <v>0</v>
      </c>
      <c r="AL51" s="20">
        <f ca="1">SUM($AH$51:$AK$51)</f>
        <v>23.611908376332163</v>
      </c>
      <c r="AM51" s="20">
        <f ca="1">SUMIF($L$4:$AL$4,"SUBTOTAL",$L$51:$AL$51)</f>
        <v>453.64488579251599</v>
      </c>
      <c r="AP51" s="20">
        <f>IF((1 - CUSTOS!$M$33)&lt;&gt;0,1/(1 - CUSTOS!$M$33),1)</f>
        <v>1.6666666666666667</v>
      </c>
    </row>
    <row r="53" spans="1:42" ht="11.25" customHeight="1" x14ac:dyDescent="0.25">
      <c r="K53" s="24" t="s">
        <v>617</v>
      </c>
      <c r="L53" s="20">
        <f>SUMPRODUCT($I$5:$I51,$L$5:$L51)</f>
        <v>0</v>
      </c>
      <c r="M53" s="20">
        <f>SUMPRODUCT($I$5:$I51,$M$5:$M51)</f>
        <v>22294.13181000626</v>
      </c>
      <c r="N53" s="20">
        <f ca="1">SUMPRODUCT($I$5:$I51,$N$5:$N51)</f>
        <v>0</v>
      </c>
      <c r="O53" s="20">
        <f>SUMPRODUCT($I$5:$I51,$O$5:$O51)</f>
        <v>0</v>
      </c>
      <c r="P53" s="20">
        <f>SUMPRODUCT($I$5:$I51,$P$5:$P51)</f>
        <v>0</v>
      </c>
      <c r="Q53" s="20">
        <f>SUMPRODUCT($I$5:$I51,$Q$5:$Q51)</f>
        <v>326721.76126000023</v>
      </c>
      <c r="R53" s="20">
        <f>SUMPRODUCT($I$5:$I51,$R$5:$R51)</f>
        <v>123162.64722000009</v>
      </c>
      <c r="S53" s="20">
        <f>SUMPRODUCT($I$5:$I51,$S$5:$S51)</f>
        <v>0</v>
      </c>
      <c r="T53" s="20">
        <f ca="1">SUMPRODUCT($I$5:$I51,$T$5:$T51)</f>
        <v>472178.54029000649</v>
      </c>
      <c r="U53" s="20">
        <f>SUMPRODUCT($I$5:$I51,$U$5:$U51)</f>
        <v>0</v>
      </c>
      <c r="V53" s="20">
        <f>SUMPRODUCT($I$5:$I51,$V$5:$V51)</f>
        <v>0</v>
      </c>
      <c r="W53" s="20">
        <f>SUMPRODUCT($I$5:$I51,$W$5:$W51)</f>
        <v>0</v>
      </c>
      <c r="X53" s="20">
        <f>SUMPRODUCT($I$5:$I51,$X$5:$X51)</f>
        <v>0</v>
      </c>
      <c r="Y53" s="20">
        <f>SUMPRODUCT($I$5:$I51,$Y$5:$Y51)</f>
        <v>1447629.078219</v>
      </c>
      <c r="Z53" s="20">
        <f>SUMPRODUCT($I$5:$I51,$Z$5:$Z51)</f>
        <v>0</v>
      </c>
      <c r="AA53" s="20">
        <f>SUMPRODUCT($I$5:$I51,$AA$5:$AA51)</f>
        <v>0</v>
      </c>
      <c r="AB53" s="20">
        <f>SUMPRODUCT($I$5:$I51,$AB$5:$AB51)</f>
        <v>1447629.078219</v>
      </c>
      <c r="AC53" s="20">
        <f>SUMPRODUCT($I$5:$I51,$AC$5:$AC51)</f>
        <v>5374442.8200000003</v>
      </c>
      <c r="AD53" s="20">
        <f>SUMPRODUCT($I$5:$I51,$AD$5:$AD51)</f>
        <v>5374442.8200000003</v>
      </c>
      <c r="AE53" s="20">
        <f>SUMPRODUCT($I$5:$I51,$AE$5:$AE51)</f>
        <v>0</v>
      </c>
      <c r="AF53" s="20">
        <f>SUMPRODUCT($I$5:$I51,$AF$5:$AF51)</f>
        <v>0</v>
      </c>
      <c r="AG53" s="20">
        <f>SUMPRODUCT($I$5:$I51,$AG$5:$AG51)</f>
        <v>0</v>
      </c>
      <c r="AH53" s="20">
        <f>SUMPRODUCT($I$5:$I51,$AH$5:$AH51)</f>
        <v>408027.49405773485</v>
      </c>
      <c r="AI53" s="20">
        <f>SUMPRODUCT($I$5:$I51,$AI$5:$AI51)</f>
        <v>0</v>
      </c>
      <c r="AJ53" s="20">
        <f ca="1">SUMPRODUCT($I$5:$I51,$AJ$5:$AJ51)</f>
        <v>0</v>
      </c>
      <c r="AK53" s="20">
        <f ca="1">SUMPRODUCT($I$5:$I51,$AK$5:$AK51)</f>
        <v>0</v>
      </c>
      <c r="AL53" s="20">
        <f ca="1">SUMPRODUCT($I$5:$I51,$AL$5:$AL51)</f>
        <v>408027.49405773485</v>
      </c>
      <c r="AM53" s="20">
        <f ca="1">SUMPRODUCT($I$5:$I51,$AM$5:$AM51)</f>
        <v>7702277.9325667415</v>
      </c>
    </row>
    <row r="54" spans="1:42" ht="11.25" customHeight="1" x14ac:dyDescent="0.25">
      <c r="K54" s="24" t="s">
        <v>549</v>
      </c>
      <c r="L54" s="20">
        <f>'TR TUSD'!$L$56</f>
        <v>0</v>
      </c>
      <c r="M54" s="20">
        <f>'TR TUSD'!$M$56</f>
        <v>22294.131810006256</v>
      </c>
      <c r="N54" s="20">
        <f>'TR TUSD'!$N$56</f>
        <v>0</v>
      </c>
      <c r="O54" s="20">
        <f>'TR TUSD'!$O$56</f>
        <v>0</v>
      </c>
      <c r="P54" s="20">
        <f>'TR TUSD'!$P$56</f>
        <v>0</v>
      </c>
      <c r="Q54" s="20">
        <f>'TR TUSD'!$Q$56</f>
        <v>326721.76126000017</v>
      </c>
      <c r="R54" s="20">
        <f>'TR TUSD'!$R$56</f>
        <v>123162.64722000006</v>
      </c>
      <c r="S54" s="20">
        <f>'TR TUSD'!$S$56</f>
        <v>0</v>
      </c>
      <c r="T54" s="20">
        <f>'TR TUSD'!$T$56</f>
        <v>472178.54029000649</v>
      </c>
      <c r="U54" s="20">
        <f>'TR TUSD'!$U$56</f>
        <v>0</v>
      </c>
      <c r="V54" s="20">
        <f>'TR TUSD'!$V$56</f>
        <v>0</v>
      </c>
      <c r="W54" s="20">
        <f>'TR TUSD'!$W$56</f>
        <v>0</v>
      </c>
      <c r="X54" s="20">
        <f>'TR TUSD'!$X$56</f>
        <v>0</v>
      </c>
      <c r="Y54" s="20">
        <f>'TR TUSD'!$Y$56</f>
        <v>1447629.078219</v>
      </c>
      <c r="Z54" s="20">
        <f>'TR TUSD'!$Z$56</f>
        <v>0</v>
      </c>
      <c r="AA54" s="20">
        <f>'TR TUSD'!$AA$56</f>
        <v>0</v>
      </c>
      <c r="AB54" s="20">
        <f>'TR TUSD'!$AB$56</f>
        <v>1447629.078219</v>
      </c>
      <c r="AC54" s="20">
        <f>'TR TUSD'!$AC$56</f>
        <v>5374442.8200000003</v>
      </c>
      <c r="AD54" s="20">
        <f>'TR TUSD'!$AD$56</f>
        <v>5374442.8200000003</v>
      </c>
      <c r="AE54" s="20">
        <f>'TR TUSD'!$AE$56</f>
        <v>0</v>
      </c>
      <c r="AF54" s="20">
        <f>'TR TUSD'!$AF$56</f>
        <v>0</v>
      </c>
      <c r="AG54" s="20">
        <f>'TR TUSD'!$AG$56</f>
        <v>0</v>
      </c>
      <c r="AH54" s="20">
        <f>'TR TUSD'!$AH$56</f>
        <v>408027.49405773473</v>
      </c>
      <c r="AI54" s="20">
        <f>'TR TUSD'!$AI$56</f>
        <v>0</v>
      </c>
      <c r="AJ54" s="20">
        <f>'TR TUSD'!$AJ$56</f>
        <v>0</v>
      </c>
      <c r="AK54" s="20">
        <f>'TR TUSD'!$AK$56</f>
        <v>0</v>
      </c>
      <c r="AL54" s="20">
        <f>'TR TUSD'!$AL$56</f>
        <v>408027.49405773473</v>
      </c>
      <c r="AM54" s="20">
        <f>CUSTOS!$D$29</f>
        <v>7702277.9325667415</v>
      </c>
    </row>
    <row r="55" spans="1:42" ht="11.25" customHeight="1" x14ac:dyDescent="0.25">
      <c r="K55" s="24" t="s">
        <v>550</v>
      </c>
      <c r="L55" s="20">
        <f>CUSTOS!$E$2</f>
        <v>0</v>
      </c>
      <c r="M55" s="20">
        <f>CUSTOS!$E$3</f>
        <v>-878.65841579449477</v>
      </c>
      <c r="N55" s="20">
        <f>CUSTOS!$E$4</f>
        <v>0</v>
      </c>
      <c r="O55" s="20">
        <f>CUSTOS!$E$5</f>
        <v>0</v>
      </c>
      <c r="P55" s="20">
        <f>CUSTOS!$E$6</f>
        <v>0</v>
      </c>
      <c r="Q55" s="20">
        <f>CUSTOS!$E$7</f>
        <v>-2691.1137489444864</v>
      </c>
      <c r="R55" s="20">
        <f>CUSTOS!$E$8</f>
        <v>-1175.0322466898426</v>
      </c>
      <c r="S55" s="20">
        <f>CUSTOS!$E$9</f>
        <v>0</v>
      </c>
      <c r="T55" s="20">
        <f>CUSTOS!$E$10</f>
        <v>-4744.8044114288241</v>
      </c>
      <c r="U55" s="20">
        <f>CUSTOS!$E$11</f>
        <v>0</v>
      </c>
      <c r="V55" s="20">
        <f>CUSTOS!$E$12</f>
        <v>0</v>
      </c>
      <c r="W55" s="20">
        <f>CUSTOS!$E$13</f>
        <v>0</v>
      </c>
      <c r="X55" s="20">
        <f>CUSTOS!$E$14</f>
        <v>0</v>
      </c>
      <c r="Y55" s="20">
        <f>CUSTOS!$E$15</f>
        <v>53063.032490582591</v>
      </c>
      <c r="Z55" s="20">
        <f>CUSTOS!$E$16</f>
        <v>0</v>
      </c>
      <c r="AA55" s="20">
        <f>CUSTOS!$E$17</f>
        <v>0</v>
      </c>
      <c r="AB55" s="20">
        <f>CUSTOS!$E$18</f>
        <v>53063.032490582591</v>
      </c>
      <c r="AC55" s="20">
        <f>CUSTOS!$E$19</f>
        <v>-1029915.1601314496</v>
      </c>
      <c r="AD55" s="20">
        <f>CUSTOS!$E$20</f>
        <v>-1029915.1601314496</v>
      </c>
      <c r="AE55" s="20">
        <f>CUSTOS!$E$21</f>
        <v>-9235.4301805769501</v>
      </c>
      <c r="AF55" s="20">
        <f>CUSTOS!$E$22</f>
        <v>0</v>
      </c>
      <c r="AG55" s="20">
        <f>CUSTOS!$E$23</f>
        <v>-9235.4301805769501</v>
      </c>
      <c r="AH55" s="20">
        <f>CUSTOS!$E$24</f>
        <v>-19646.636785082319</v>
      </c>
      <c r="AI55" s="20">
        <f>CUSTOS!$E$25</f>
        <v>0</v>
      </c>
      <c r="AJ55" s="20">
        <f>CUSTOS!$E$26</f>
        <v>0</v>
      </c>
      <c r="AK55" s="20">
        <f>CUSTOS!$E$27</f>
        <v>0</v>
      </c>
      <c r="AL55" s="20">
        <f>CUSTOS!$E$28</f>
        <v>-19646.636785082319</v>
      </c>
      <c r="AM55" s="20">
        <f>CUSTOS!$E$29</f>
        <v>-1010478.999017955</v>
      </c>
    </row>
    <row r="56" spans="1:42" ht="11.25" customHeight="1" x14ac:dyDescent="0.25">
      <c r="K56" s="24" t="s">
        <v>551</v>
      </c>
      <c r="L56" s="20">
        <f>CUSTOS!$F$2</f>
        <v>0</v>
      </c>
      <c r="M56" s="20">
        <f>CUSTOS!$F$3</f>
        <v>0</v>
      </c>
      <c r="N56" s="20">
        <f>CUSTOS!$F$4</f>
        <v>0</v>
      </c>
      <c r="O56" s="20">
        <f>CUSTOS!$F$5</f>
        <v>0</v>
      </c>
      <c r="P56" s="20">
        <f>CUSTOS!$F$6</f>
        <v>0</v>
      </c>
      <c r="Q56" s="20">
        <f>CUSTOS!$F$7</f>
        <v>0</v>
      </c>
      <c r="R56" s="20">
        <f>CUSTOS!$F$8</f>
        <v>0</v>
      </c>
      <c r="S56" s="20">
        <f>CUSTOS!$F$9</f>
        <v>0</v>
      </c>
      <c r="T56" s="20">
        <f>CUSTOS!$F$10</f>
        <v>0</v>
      </c>
      <c r="U56" s="20">
        <f>CUSTOS!$F$11</f>
        <v>0</v>
      </c>
      <c r="V56" s="20">
        <f>CUSTOS!$F$12</f>
        <v>0</v>
      </c>
      <c r="W56" s="20">
        <f>CUSTOS!$F$13</f>
        <v>0</v>
      </c>
      <c r="X56" s="20">
        <f>CUSTOS!$F$14</f>
        <v>0</v>
      </c>
      <c r="Y56" s="20">
        <f>CUSTOS!$F$15</f>
        <v>0</v>
      </c>
      <c r="Z56" s="20">
        <f>CUSTOS!$F$16</f>
        <v>0</v>
      </c>
      <c r="AA56" s="20">
        <f>CUSTOS!$F$17</f>
        <v>0</v>
      </c>
      <c r="AB56" s="20">
        <f>CUSTOS!$F$18</f>
        <v>0</v>
      </c>
      <c r="AC56" s="20">
        <f>CUSTOS!$F$19</f>
        <v>0</v>
      </c>
      <c r="AD56" s="20">
        <f>CUSTOS!$F$20</f>
        <v>0</v>
      </c>
      <c r="AE56" s="20">
        <f>CUSTOS!$F$21</f>
        <v>0</v>
      </c>
      <c r="AF56" s="20">
        <f>CUSTOS!$F$22</f>
        <v>0</v>
      </c>
      <c r="AG56" s="20">
        <f>CUSTOS!$F$23</f>
        <v>0</v>
      </c>
      <c r="AH56" s="20">
        <f>CUSTOS!$F$24</f>
        <v>0</v>
      </c>
      <c r="AI56" s="20">
        <f>CUSTOS!$F$25</f>
        <v>0</v>
      </c>
      <c r="AJ56" s="20">
        <f>CUSTOS!$F$26</f>
        <v>0</v>
      </c>
      <c r="AK56" s="20">
        <f>CUSTOS!$F$27</f>
        <v>0</v>
      </c>
      <c r="AL56" s="20">
        <f>CUSTOS!$F$28</f>
        <v>0</v>
      </c>
      <c r="AM56" s="20">
        <f>CUSTOS!$F$29</f>
        <v>0</v>
      </c>
    </row>
    <row r="57" spans="1:42" ht="11.25" customHeight="1" x14ac:dyDescent="0.25">
      <c r="K57" s="24" t="s">
        <v>614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f>SUM($L$57:$S$57)</f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f>SUM($U$57:$AA$57)</f>
        <v>0</v>
      </c>
      <c r="AC57" s="20">
        <v>0</v>
      </c>
      <c r="AD57" s="20">
        <f>SUM($AC$57:$AC$57)</f>
        <v>0</v>
      </c>
      <c r="AE57" s="20">
        <v>0</v>
      </c>
      <c r="AF57" s="20">
        <v>0</v>
      </c>
      <c r="AG57" s="20">
        <f>SUM($AE$57:$AF$57)</f>
        <v>0</v>
      </c>
      <c r="AH57" s="20">
        <v>0</v>
      </c>
      <c r="AI57" s="20">
        <v>0</v>
      </c>
      <c r="AJ57" s="20">
        <v>0</v>
      </c>
      <c r="AK57" s="20">
        <v>0</v>
      </c>
      <c r="AL57" s="20">
        <f>SUM($AH$57:$AK$57)</f>
        <v>0</v>
      </c>
      <c r="AM57" s="20">
        <f>SUMIF($L$4:$AL$4,"SUBTOTAL",$L$57:$AL$57)</f>
        <v>0</v>
      </c>
    </row>
    <row r="58" spans="1:42" ht="11.25" customHeight="1" x14ac:dyDescent="0.25">
      <c r="K58" s="24" t="s">
        <v>618</v>
      </c>
      <c r="L58" s="20">
        <f t="shared" ref="L58:R58" si="0">IF((L53-(0))&lt;&gt;0,(L55)/(L53-(0)),0)</f>
        <v>0</v>
      </c>
      <c r="M58" s="20">
        <f t="shared" si="0"/>
        <v>-3.9412093876655341E-2</v>
      </c>
      <c r="N58" s="20">
        <f t="shared" ca="1" si="0"/>
        <v>0</v>
      </c>
      <c r="O58" s="20">
        <f t="shared" si="0"/>
        <v>0</v>
      </c>
      <c r="P58" s="20">
        <f t="shared" si="0"/>
        <v>0</v>
      </c>
      <c r="Q58" s="20">
        <f t="shared" si="0"/>
        <v>-8.2367141342720007E-3</v>
      </c>
      <c r="R58" s="20">
        <f t="shared" si="0"/>
        <v>-9.5404919690540071E-3</v>
      </c>
      <c r="S58" s="20">
        <f>IF((R53-(0)&lt;&gt;0),(S55)/(R53-(0)),0)</f>
        <v>0</v>
      </c>
      <c r="T58" s="20"/>
      <c r="U58" s="20">
        <f t="shared" ref="U58:AA58" si="1">IF((U53-(0))&lt;&gt;0,(U55)/(U53-(0)),0)</f>
        <v>0</v>
      </c>
      <c r="V58" s="20">
        <f t="shared" si="1"/>
        <v>0</v>
      </c>
      <c r="W58" s="20">
        <f t="shared" si="1"/>
        <v>0</v>
      </c>
      <c r="X58" s="20">
        <f t="shared" si="1"/>
        <v>0</v>
      </c>
      <c r="Y58" s="20">
        <f t="shared" si="1"/>
        <v>3.6655130301655292E-2</v>
      </c>
      <c r="Z58" s="20">
        <f t="shared" si="1"/>
        <v>0</v>
      </c>
      <c r="AA58" s="20">
        <f t="shared" si="1"/>
        <v>0</v>
      </c>
      <c r="AB58" s="20"/>
      <c r="AC58" s="20">
        <f>IF((AC53-(0))&lt;&gt;0,(AC55)/(AC53-(0)),0)</f>
        <v>-0.19163198765438713</v>
      </c>
      <c r="AD58" s="20"/>
      <c r="AE58" s="20">
        <f ca="1">IF(($AM53-(0))&lt;&gt;0,(AE55)/($AM53-(0)),0)</f>
        <v>-1.1990517949927177E-3</v>
      </c>
      <c r="AF58" s="20">
        <f ca="1">IF(($AM53-(0))&lt;&gt;0,(AF55)/($AM53-(0)),0)</f>
        <v>0</v>
      </c>
      <c r="AG58" s="20"/>
      <c r="AH58" s="20">
        <f>IF((AH53-(0))&lt;&gt;0,(AH55)/(AH53-(0)),0)</f>
        <v>-4.8150276810273895E-2</v>
      </c>
      <c r="AI58" s="20">
        <f>IF((AI53-(0))&lt;&gt;0,(AI55)/(AI53-(0)),0)</f>
        <v>0</v>
      </c>
      <c r="AJ58" s="20">
        <f ca="1">IF((AJ53-(0))&lt;&gt;0,(AJ55)/(AJ53-(0)),0)</f>
        <v>0</v>
      </c>
      <c r="AK58" s="20">
        <f ca="1">IF((AK53-(0))&lt;&gt;0,(AK55)/(AK53-(0)),0)</f>
        <v>0</v>
      </c>
      <c r="AL58" s="20"/>
      <c r="AM58" s="20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839" priority="55" operator="notEqual">
      <formula>$L$54-$L$57</formula>
    </cfRule>
    <cfRule type="cellIs" dxfId="838" priority="56" operator="equal">
      <formula>$L$54-$L$57</formula>
    </cfRule>
  </conditionalFormatting>
  <conditionalFormatting sqref="M53">
    <cfRule type="cellIs" dxfId="837" priority="53" operator="notEqual">
      <formula>$M$54-$M$57</formula>
    </cfRule>
    <cfRule type="cellIs" dxfId="836" priority="54" operator="equal">
      <formula>$M$54-$M$57</formula>
    </cfRule>
  </conditionalFormatting>
  <conditionalFormatting sqref="N53">
    <cfRule type="cellIs" dxfId="835" priority="51" operator="notEqual">
      <formula>$N$54-$N$57</formula>
    </cfRule>
    <cfRule type="cellIs" dxfId="834" priority="52" operator="equal">
      <formula>$N$54-$N$57</formula>
    </cfRule>
  </conditionalFormatting>
  <conditionalFormatting sqref="O53">
    <cfRule type="cellIs" dxfId="833" priority="49" operator="notEqual">
      <formula>$O$54-$O$57</formula>
    </cfRule>
    <cfRule type="cellIs" dxfId="832" priority="50" operator="equal">
      <formula>$O$54-$O$57</formula>
    </cfRule>
  </conditionalFormatting>
  <conditionalFormatting sqref="P53">
    <cfRule type="cellIs" dxfId="831" priority="47" operator="notEqual">
      <formula>$P$54-$P$57</formula>
    </cfRule>
    <cfRule type="cellIs" dxfId="830" priority="48" operator="equal">
      <formula>$P$54-$P$57</formula>
    </cfRule>
  </conditionalFormatting>
  <conditionalFormatting sqref="Q53">
    <cfRule type="cellIs" dxfId="829" priority="45" operator="notEqual">
      <formula>$Q$54-$Q$57</formula>
    </cfRule>
    <cfRule type="cellIs" dxfId="828" priority="46" operator="equal">
      <formula>$Q$54-$Q$57</formula>
    </cfRule>
  </conditionalFormatting>
  <conditionalFormatting sqref="R53">
    <cfRule type="cellIs" dxfId="827" priority="43" operator="notEqual">
      <formula>$R$54-$R$57</formula>
    </cfRule>
    <cfRule type="cellIs" dxfId="826" priority="44" operator="equal">
      <formula>$R$54-$R$57</formula>
    </cfRule>
  </conditionalFormatting>
  <conditionalFormatting sqref="S53">
    <cfRule type="cellIs" dxfId="825" priority="41" operator="notEqual">
      <formula>$S$54-$S$57</formula>
    </cfRule>
    <cfRule type="cellIs" dxfId="824" priority="42" operator="equal">
      <formula>$S$54-$S$57</formula>
    </cfRule>
  </conditionalFormatting>
  <conditionalFormatting sqref="T53">
    <cfRule type="cellIs" dxfId="823" priority="39" operator="notEqual">
      <formula>$T$54-$T$57</formula>
    </cfRule>
    <cfRule type="cellIs" dxfId="822" priority="40" operator="equal">
      <formula>$T$54-$T$57</formula>
    </cfRule>
  </conditionalFormatting>
  <conditionalFormatting sqref="U53">
    <cfRule type="cellIs" dxfId="821" priority="37" operator="notEqual">
      <formula>$U$54-$U$57</formula>
    </cfRule>
    <cfRule type="cellIs" dxfId="820" priority="38" operator="equal">
      <formula>$U$54-$U$57</formula>
    </cfRule>
  </conditionalFormatting>
  <conditionalFormatting sqref="V53">
    <cfRule type="cellIs" dxfId="819" priority="35" operator="notEqual">
      <formula>$V$54-$V$57</formula>
    </cfRule>
    <cfRule type="cellIs" dxfId="818" priority="36" operator="equal">
      <formula>$V$54-$V$57</formula>
    </cfRule>
  </conditionalFormatting>
  <conditionalFormatting sqref="W53">
    <cfRule type="cellIs" dxfId="817" priority="33" operator="notEqual">
      <formula>$W$54-$W$57</formula>
    </cfRule>
    <cfRule type="cellIs" dxfId="816" priority="34" operator="equal">
      <formula>$W$54-$W$57</formula>
    </cfRule>
  </conditionalFormatting>
  <conditionalFormatting sqref="X53">
    <cfRule type="cellIs" dxfId="815" priority="31" operator="notEqual">
      <formula>$X$54-$X$57</formula>
    </cfRule>
    <cfRule type="cellIs" dxfId="814" priority="32" operator="equal">
      <formula>$X$54-$X$57</formula>
    </cfRule>
  </conditionalFormatting>
  <conditionalFormatting sqref="Y53">
    <cfRule type="cellIs" dxfId="813" priority="29" operator="notEqual">
      <formula>$Y$54-$Y$57</formula>
    </cfRule>
    <cfRule type="cellIs" dxfId="812" priority="30" operator="equal">
      <formula>$Y$54-$Y$57</formula>
    </cfRule>
  </conditionalFormatting>
  <conditionalFormatting sqref="Z53">
    <cfRule type="cellIs" dxfId="811" priority="27" operator="notEqual">
      <formula>$Z$54-$Z$57</formula>
    </cfRule>
    <cfRule type="cellIs" dxfId="810" priority="28" operator="equal">
      <formula>$Z$54-$Z$57</formula>
    </cfRule>
  </conditionalFormatting>
  <conditionalFormatting sqref="AA53">
    <cfRule type="cellIs" dxfId="809" priority="25" operator="notEqual">
      <formula>$AA$54-$AA$57</formula>
    </cfRule>
    <cfRule type="cellIs" dxfId="808" priority="26" operator="equal">
      <formula>$AA$54-$AA$57</formula>
    </cfRule>
  </conditionalFormatting>
  <conditionalFormatting sqref="AB53">
    <cfRule type="cellIs" dxfId="807" priority="23" operator="notEqual">
      <formula>$AB$54-$AB$57</formula>
    </cfRule>
    <cfRule type="cellIs" dxfId="806" priority="24" operator="equal">
      <formula>$AB$54-$AB$57</formula>
    </cfRule>
  </conditionalFormatting>
  <conditionalFormatting sqref="AC53">
    <cfRule type="cellIs" dxfId="805" priority="21" operator="notEqual">
      <formula>$AC$54-$AC$57</formula>
    </cfRule>
    <cfRule type="cellIs" dxfId="804" priority="22" operator="equal">
      <formula>$AC$54-$AC$57</formula>
    </cfRule>
  </conditionalFormatting>
  <conditionalFormatting sqref="AD53">
    <cfRule type="cellIs" dxfId="803" priority="19" operator="notEqual">
      <formula>$AD$54-$AD$57</formula>
    </cfRule>
    <cfRule type="cellIs" dxfId="802" priority="20" operator="equal">
      <formula>$AD$54-$AD$57</formula>
    </cfRule>
  </conditionalFormatting>
  <conditionalFormatting sqref="AE53">
    <cfRule type="cellIs" dxfId="801" priority="17" operator="notEqual">
      <formula>$AE$54-$AE$57</formula>
    </cfRule>
    <cfRule type="cellIs" dxfId="800" priority="18" operator="equal">
      <formula>$AE$54-$AE$57</formula>
    </cfRule>
  </conditionalFormatting>
  <conditionalFormatting sqref="AF53">
    <cfRule type="cellIs" dxfId="799" priority="16" operator="equal">
      <formula>$AF$54-$AF$57</formula>
    </cfRule>
  </conditionalFormatting>
  <conditionalFormatting sqref="AF53">
    <cfRule type="cellIs" dxfId="798" priority="15" operator="notEqual">
      <formula>$AF$54-$AF$57</formula>
    </cfRule>
  </conditionalFormatting>
  <conditionalFormatting sqref="AG53">
    <cfRule type="cellIs" dxfId="797" priority="14" operator="equal">
      <formula>$AG$54-$AG$57</formula>
    </cfRule>
  </conditionalFormatting>
  <conditionalFormatting sqref="AG53">
    <cfRule type="cellIs" dxfId="796" priority="13" operator="notEqual">
      <formula>$AG$54-$AG$57</formula>
    </cfRule>
  </conditionalFormatting>
  <conditionalFormatting sqref="AH53">
    <cfRule type="cellIs" dxfId="795" priority="12" operator="equal">
      <formula>$AH$54-$AH$57</formula>
    </cfRule>
  </conditionalFormatting>
  <conditionalFormatting sqref="AH53">
    <cfRule type="cellIs" dxfId="794" priority="11" operator="notEqual">
      <formula>$AH$54-$AH$57</formula>
    </cfRule>
  </conditionalFormatting>
  <conditionalFormatting sqref="AI53">
    <cfRule type="cellIs" dxfId="793" priority="10" operator="equal">
      <formula>$AI$54-$AI$57</formula>
    </cfRule>
  </conditionalFormatting>
  <conditionalFormatting sqref="AI53">
    <cfRule type="cellIs" dxfId="792" priority="9" operator="notEqual">
      <formula>$AI$54-$AI$57</formula>
    </cfRule>
  </conditionalFormatting>
  <conditionalFormatting sqref="AJ53">
    <cfRule type="cellIs" dxfId="791" priority="8" operator="equal">
      <formula>$AJ$54-$AJ$57</formula>
    </cfRule>
  </conditionalFormatting>
  <conditionalFormatting sqref="AJ53">
    <cfRule type="cellIs" dxfId="790" priority="7" operator="notEqual">
      <formula>$AJ$54-$AJ$57</formula>
    </cfRule>
  </conditionalFormatting>
  <conditionalFormatting sqref="AK53">
    <cfRule type="cellIs" dxfId="789" priority="6" operator="equal">
      <formula>$AK$54-$AK$57</formula>
    </cfRule>
  </conditionalFormatting>
  <conditionalFormatting sqref="AK53">
    <cfRule type="cellIs" dxfId="788" priority="5" operator="notEqual">
      <formula>$AK$54-$AK$57</formula>
    </cfRule>
  </conditionalFormatting>
  <conditionalFormatting sqref="AL53">
    <cfRule type="cellIs" dxfId="787" priority="4" operator="equal">
      <formula>$AL$54-$AL$57</formula>
    </cfRule>
  </conditionalFormatting>
  <conditionalFormatting sqref="AL53">
    <cfRule type="cellIs" dxfId="786" priority="3" operator="notEqual">
      <formula>$AL$54-$AL$57</formula>
    </cfRule>
  </conditionalFormatting>
  <conditionalFormatting sqref="AM53">
    <cfRule type="cellIs" dxfId="785" priority="2" operator="equal">
      <formula>$AM$54-$AM$57</formula>
    </cfRule>
  </conditionalFormatting>
  <conditionalFormatting sqref="AM53">
    <cfRule type="cellIs" dxfId="784" priority="1" operator="notEqual">
      <formula>$AM$54-$AM$57</formula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2058C-2213-4D6B-A2A0-FF7D9923AF4C}">
  <dimension ref="A1:AP58"/>
  <sheetViews>
    <sheetView showGridLines="0" topLeftCell="AC29" workbookViewId="0">
      <selection activeCell="AO53" sqref="AO53:AP55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9" width="8.7109375" style="9" bestFit="1" customWidth="1"/>
    <col min="20" max="20" width="9.28515625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5703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5703125" style="9" bestFit="1" customWidth="1"/>
    <col min="40" max="40" width="9.140625" style="9"/>
    <col min="41" max="41" width="11" style="9" bestFit="1" customWidth="1"/>
    <col min="42" max="42" width="10.42578125" style="9" bestFit="1" customWidth="1"/>
    <col min="43" max="16384" width="9.140625" style="9"/>
  </cols>
  <sheetData>
    <row r="1" spans="1:42" ht="11.25" customHeight="1" x14ac:dyDescent="0.25">
      <c r="A1" s="128" t="s">
        <v>59</v>
      </c>
      <c r="B1" s="128" t="s">
        <v>60</v>
      </c>
      <c r="C1" s="128" t="s">
        <v>61</v>
      </c>
      <c r="D1" s="128" t="s">
        <v>62</v>
      </c>
      <c r="E1" s="128" t="s">
        <v>63</v>
      </c>
      <c r="F1" s="128" t="s">
        <v>15</v>
      </c>
      <c r="G1" s="128" t="s">
        <v>65</v>
      </c>
      <c r="H1" s="128" t="s">
        <v>66</v>
      </c>
      <c r="I1" s="128" t="s">
        <v>608</v>
      </c>
      <c r="J1" s="119"/>
      <c r="L1" s="129" t="s">
        <v>625</v>
      </c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O1" s="30"/>
      <c r="AP1" s="133" t="s">
        <v>610</v>
      </c>
    </row>
    <row r="2" spans="1:42" ht="11.25" customHeight="1" x14ac:dyDescent="0.25">
      <c r="A2" s="128"/>
      <c r="B2" s="128"/>
      <c r="C2" s="128"/>
      <c r="D2" s="128"/>
      <c r="E2" s="128"/>
      <c r="F2" s="128"/>
      <c r="G2" s="128"/>
      <c r="H2" s="128"/>
      <c r="I2" s="128"/>
      <c r="J2" s="119"/>
      <c r="L2" s="129" t="s">
        <v>508</v>
      </c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O2" s="30"/>
      <c r="AP2" s="134"/>
    </row>
    <row r="3" spans="1:42" ht="11.25" customHeight="1" x14ac:dyDescent="0.25">
      <c r="A3" s="128"/>
      <c r="B3" s="128"/>
      <c r="C3" s="128"/>
      <c r="D3" s="128"/>
      <c r="E3" s="128"/>
      <c r="F3" s="128"/>
      <c r="G3" s="128"/>
      <c r="H3" s="128"/>
      <c r="I3" s="128"/>
      <c r="J3" s="119"/>
      <c r="L3" s="129" t="s">
        <v>509</v>
      </c>
      <c r="M3" s="129"/>
      <c r="N3" s="129"/>
      <c r="O3" s="129"/>
      <c r="P3" s="129"/>
      <c r="Q3" s="129"/>
      <c r="R3" s="129"/>
      <c r="S3" s="129"/>
      <c r="T3" s="129"/>
      <c r="U3" s="129" t="s">
        <v>518</v>
      </c>
      <c r="V3" s="129"/>
      <c r="W3" s="129"/>
      <c r="X3" s="129"/>
      <c r="Y3" s="129"/>
      <c r="Z3" s="129"/>
      <c r="AA3" s="129"/>
      <c r="AB3" s="129"/>
      <c r="AC3" s="129" t="s">
        <v>526</v>
      </c>
      <c r="AD3" s="129"/>
      <c r="AE3" s="129" t="s">
        <v>528</v>
      </c>
      <c r="AF3" s="129"/>
      <c r="AG3" s="129"/>
      <c r="AH3" s="129" t="s">
        <v>531</v>
      </c>
      <c r="AI3" s="129"/>
      <c r="AJ3" s="129"/>
      <c r="AK3" s="129"/>
      <c r="AL3" s="129"/>
      <c r="AM3" s="129" t="s">
        <v>517</v>
      </c>
      <c r="AO3" s="30"/>
      <c r="AP3" s="134"/>
    </row>
    <row r="4" spans="1:42" ht="11.25" customHeight="1" x14ac:dyDescent="0.25">
      <c r="A4" s="128"/>
      <c r="B4" s="128"/>
      <c r="C4" s="128"/>
      <c r="D4" s="128"/>
      <c r="E4" s="128"/>
      <c r="F4" s="128"/>
      <c r="G4" s="128"/>
      <c r="H4" s="128"/>
      <c r="I4" s="128"/>
      <c r="J4" s="119"/>
      <c r="L4" s="26" t="s">
        <v>593</v>
      </c>
      <c r="M4" s="26" t="s">
        <v>510</v>
      </c>
      <c r="N4" s="26" t="s">
        <v>511</v>
      </c>
      <c r="O4" s="26" t="s">
        <v>512</v>
      </c>
      <c r="P4" s="26" t="s">
        <v>513</v>
      </c>
      <c r="Q4" s="26" t="s">
        <v>514</v>
      </c>
      <c r="R4" s="26" t="s">
        <v>515</v>
      </c>
      <c r="S4" s="26" t="s">
        <v>516</v>
      </c>
      <c r="T4" s="26" t="s">
        <v>517</v>
      </c>
      <c r="U4" s="26" t="s">
        <v>519</v>
      </c>
      <c r="V4" s="26" t="s">
        <v>520</v>
      </c>
      <c r="W4" s="26" t="s">
        <v>521</v>
      </c>
      <c r="X4" s="26" t="s">
        <v>522</v>
      </c>
      <c r="Y4" s="26" t="s">
        <v>523</v>
      </c>
      <c r="Z4" s="26" t="s">
        <v>524</v>
      </c>
      <c r="AA4" s="26" t="s">
        <v>525</v>
      </c>
      <c r="AB4" s="26" t="s">
        <v>517</v>
      </c>
      <c r="AC4" s="26" t="s">
        <v>527</v>
      </c>
      <c r="AD4" s="26" t="s">
        <v>517</v>
      </c>
      <c r="AE4" s="26" t="s">
        <v>529</v>
      </c>
      <c r="AF4" s="26" t="s">
        <v>530</v>
      </c>
      <c r="AG4" s="26" t="s">
        <v>517</v>
      </c>
      <c r="AH4" s="26" t="s">
        <v>532</v>
      </c>
      <c r="AI4" s="26" t="s">
        <v>533</v>
      </c>
      <c r="AJ4" s="26" t="s">
        <v>534</v>
      </c>
      <c r="AK4" s="26" t="s">
        <v>535</v>
      </c>
      <c r="AL4" s="26" t="s">
        <v>517</v>
      </c>
      <c r="AM4" s="131"/>
      <c r="AO4" s="31" t="s">
        <v>627</v>
      </c>
      <c r="AP4" s="135"/>
    </row>
    <row r="5" spans="1:42" ht="11.25" customHeight="1" x14ac:dyDescent="0.25">
      <c r="A5" s="132" t="s">
        <v>34</v>
      </c>
      <c r="B5" s="132" t="s">
        <v>74</v>
      </c>
      <c r="C5" s="132" t="s">
        <v>25</v>
      </c>
      <c r="D5" s="132" t="s">
        <v>25</v>
      </c>
      <c r="E5" s="132" t="s">
        <v>25</v>
      </c>
      <c r="F5" s="132" t="s">
        <v>25</v>
      </c>
      <c r="G5" s="21" t="s">
        <v>76</v>
      </c>
      <c r="H5" s="21" t="s">
        <v>75</v>
      </c>
      <c r="I5" s="21">
        <f>'MERCADO TUSD'!$U$2</f>
        <v>0</v>
      </c>
      <c r="J5" s="17"/>
      <c r="L5" s="25">
        <f>'TUSD BE'!$L$5*'TUSD BE'!$L$58</f>
        <v>0</v>
      </c>
      <c r="M5" s="25">
        <f>'TUSD BE'!$M$5*'TUSD BE'!$M$58</f>
        <v>0</v>
      </c>
      <c r="N5" s="25">
        <f ca="1">'TUSD BE'!$N$5*'TUSD BE'!$N$58</f>
        <v>0</v>
      </c>
      <c r="O5" s="25">
        <f>'TUSD BE'!$O$5*'TUSD BE'!$O$58</f>
        <v>0</v>
      </c>
      <c r="P5" s="25">
        <f>'TUSD BE'!$P$5*'TUSD BE'!$P$58</f>
        <v>0</v>
      </c>
      <c r="Q5" s="25">
        <f>'TUSD BE'!$Q$5*'TUSD BE'!$Q$58</f>
        <v>0</v>
      </c>
      <c r="R5" s="25">
        <f>'TUSD BE'!$R$5*'TUSD BE'!$R$58</f>
        <v>0</v>
      </c>
      <c r="S5" s="25">
        <f>'TUSD BE'!$R$5*'TUSD BE'!$S$58</f>
        <v>0</v>
      </c>
      <c r="T5" s="25">
        <f ca="1">SUM($L$5:$S$5)</f>
        <v>0</v>
      </c>
      <c r="U5" s="25">
        <f>'TUSD BE'!$U$5*'TUSD BE'!$U$58</f>
        <v>0</v>
      </c>
      <c r="V5" s="25">
        <f>'TUSD BE'!$V$5*'TUSD BE'!$V$58</f>
        <v>0</v>
      </c>
      <c r="W5" s="25">
        <f>'TUSD BE'!$W$5*'TUSD BE'!$W$58</f>
        <v>0</v>
      </c>
      <c r="X5" s="25">
        <f>'TUSD BE'!$X$5*'TUSD BE'!$X$58</f>
        <v>0</v>
      </c>
      <c r="Y5" s="25">
        <f>'TUSD BE'!$Y$5*'TUSD BE'!$Y$58</f>
        <v>3.2677661056330867</v>
      </c>
      <c r="Z5" s="25">
        <f>'TUSD BE'!$Z$5*'TUSD BE'!$Z$58</f>
        <v>0</v>
      </c>
      <c r="AA5" s="25">
        <f>'TUSD BE'!$AA$5*'TUSD BE'!$AA$58</f>
        <v>0</v>
      </c>
      <c r="AB5" s="25">
        <f>SUM($U$5:$AA$5)</f>
        <v>3.2677661056330867</v>
      </c>
      <c r="AC5" s="25">
        <f>'TUSD BE'!$AC$5*'TUSD BE'!$AC$58</f>
        <v>-20.297931228987796</v>
      </c>
      <c r="AD5" s="25">
        <f>SUM($AC$5:$AC$5)</f>
        <v>-20.297931228987796</v>
      </c>
      <c r="AE5" s="25">
        <f ca="1">$AO$5*$AO$55</f>
        <v>-0.23389946198514142</v>
      </c>
      <c r="AF5" s="25">
        <f ca="1">$AP$5*$AP$55</f>
        <v>0</v>
      </c>
      <c r="AG5" s="25">
        <f ca="1">SUM($AE$5:$AF$5)</f>
        <v>-0.23389946198514142</v>
      </c>
      <c r="AH5" s="25">
        <f>'TUSD BE'!$AH$5*'TUSD BE'!$AH$58</f>
        <v>0</v>
      </c>
      <c r="AI5" s="25">
        <f>'TUSD BE'!$AI$5*'TUSD BE'!$AI$58</f>
        <v>0</v>
      </c>
      <c r="AJ5" s="25">
        <f ca="1">'TUSD BE'!$AJ$5*'TUSD BE'!$AJ$58</f>
        <v>0</v>
      </c>
      <c r="AK5" s="25">
        <f ca="1">'TUSD BE'!$AK$5*'TUSD BE'!$AK$58</f>
        <v>0</v>
      </c>
      <c r="AL5" s="25">
        <f ca="1">SUM($AH$5:$AK$5)</f>
        <v>0</v>
      </c>
      <c r="AM5" s="25">
        <f ca="1">SUMIF($L$4:$AL$4,"SUBTOTAL",$L$5:$AL$5)</f>
        <v>-17.264064585339852</v>
      </c>
      <c r="AO5" s="30">
        <f ca="1">+'TUSD BE'!$T$5+'TUSD BE'!$AB$5+'TUSD BE'!$AD$5+'TUSD BE'!$AL$5</f>
        <v>195.07035722886513</v>
      </c>
      <c r="AP5" s="30">
        <f ca="1">+'TUSD BE'!$T$5+'TUSD BE'!$AB$5+'TUSD BE'!$AD$5+'TUSD BE'!$AL$5</f>
        <v>195.07035722886513</v>
      </c>
    </row>
    <row r="6" spans="1:42" ht="11.25" customHeight="1" x14ac:dyDescent="0.25">
      <c r="A6" s="132"/>
      <c r="B6" s="132"/>
      <c r="C6" s="132"/>
      <c r="D6" s="132"/>
      <c r="E6" s="132"/>
      <c r="F6" s="132"/>
      <c r="G6" s="21" t="s">
        <v>77</v>
      </c>
      <c r="H6" s="21" t="s">
        <v>75</v>
      </c>
      <c r="I6" s="21">
        <f>'MERCADO TUSD'!$U$3</f>
        <v>0</v>
      </c>
      <c r="J6" s="17"/>
      <c r="L6" s="25">
        <f>'TUSD BE'!$L$6*'TUSD BE'!$L$58</f>
        <v>0</v>
      </c>
      <c r="M6" s="25">
        <f>'TUSD BE'!$M$6*'TUSD BE'!$M$58</f>
        <v>0</v>
      </c>
      <c r="N6" s="25">
        <f ca="1">'TUSD BE'!$N$6*'TUSD BE'!$N$58</f>
        <v>0</v>
      </c>
      <c r="O6" s="25">
        <f>'TUSD BE'!$O$6*'TUSD BE'!$O$58</f>
        <v>0</v>
      </c>
      <c r="P6" s="25">
        <f>'TUSD BE'!$P$6*'TUSD BE'!$P$58</f>
        <v>0</v>
      </c>
      <c r="Q6" s="25">
        <f>'TUSD BE'!$Q$6*'TUSD BE'!$Q$58</f>
        <v>0</v>
      </c>
      <c r="R6" s="25">
        <f>'TUSD BE'!$R$6*'TUSD BE'!$R$58</f>
        <v>0</v>
      </c>
      <c r="S6" s="25">
        <f>'TUSD BE'!$R$6*'TUSD BE'!$S$58</f>
        <v>0</v>
      </c>
      <c r="T6" s="25">
        <f ca="1">SUM($L$6:$S$6)</f>
        <v>0</v>
      </c>
      <c r="U6" s="25">
        <f>'TUSD BE'!$U$6*'TUSD BE'!$U$58</f>
        <v>0</v>
      </c>
      <c r="V6" s="25">
        <f>'TUSD BE'!$V$6*'TUSD BE'!$V$58</f>
        <v>0</v>
      </c>
      <c r="W6" s="25">
        <f>'TUSD BE'!$W$6*'TUSD BE'!$W$58</f>
        <v>0</v>
      </c>
      <c r="X6" s="25">
        <f>'TUSD BE'!$X$6*'TUSD BE'!$X$58</f>
        <v>0</v>
      </c>
      <c r="Y6" s="25">
        <f>'TUSD BE'!$Y$6*'TUSD BE'!$Y$58</f>
        <v>1.0307118931781802</v>
      </c>
      <c r="Z6" s="25">
        <f>'TUSD BE'!$Z$6*'TUSD BE'!$Z$58</f>
        <v>0</v>
      </c>
      <c r="AA6" s="25">
        <f>'TUSD BE'!$AA$6*'TUSD BE'!$AA$58</f>
        <v>0</v>
      </c>
      <c r="AB6" s="25">
        <f>SUM($U$6:$AA$6)</f>
        <v>1.0307118931781802</v>
      </c>
      <c r="AC6" s="25">
        <f>'TUSD BE'!$AC$6*'TUSD BE'!$AC$58</f>
        <v>-6.4023370833170086</v>
      </c>
      <c r="AD6" s="25">
        <f>SUM($AC$6:$AC$6)</f>
        <v>-6.4023370833170086</v>
      </c>
      <c r="AE6" s="25">
        <f ca="1">$AO$6*$AO$55</f>
        <v>-7.377611519235204E-2</v>
      </c>
      <c r="AF6" s="25">
        <f ca="1">$AP$6*$AP$55</f>
        <v>0</v>
      </c>
      <c r="AG6" s="25">
        <f ca="1">SUM($AE$6:$AF$6)</f>
        <v>-7.377611519235204E-2</v>
      </c>
      <c r="AH6" s="25">
        <f>'TUSD BE'!$AH$6*'TUSD BE'!$AH$58</f>
        <v>0</v>
      </c>
      <c r="AI6" s="25">
        <f>'TUSD BE'!$AI$6*'TUSD BE'!$AI$58</f>
        <v>0</v>
      </c>
      <c r="AJ6" s="25">
        <f ca="1">'TUSD BE'!$AJ$6*'TUSD BE'!$AJ$58</f>
        <v>0</v>
      </c>
      <c r="AK6" s="25">
        <f ca="1">'TUSD BE'!$AK$6*'TUSD BE'!$AK$58</f>
        <v>0</v>
      </c>
      <c r="AL6" s="25">
        <f ca="1">SUM($AH$6:$AK$6)</f>
        <v>0</v>
      </c>
      <c r="AM6" s="25">
        <f ca="1">SUMIF($L$4:$AL$4,"SUBTOTAL",$L$6:$AL$6)</f>
        <v>-5.4454013053311803</v>
      </c>
      <c r="AO6" s="30">
        <f ca="1">+'TUSD BE'!$T$6+'TUSD BE'!$AB$6+'TUSD BE'!$AD$6+'TUSD BE'!$AL$6</f>
        <v>61.528714189365026</v>
      </c>
      <c r="AP6" s="30">
        <f ca="1">+'TUSD BE'!$T$6+'TUSD BE'!$AB$6+'TUSD BE'!$AD$6+'TUSD BE'!$AL$6</f>
        <v>61.528714189365026</v>
      </c>
    </row>
    <row r="7" spans="1:42" ht="11.25" customHeight="1" x14ac:dyDescent="0.25">
      <c r="A7" s="132"/>
      <c r="B7" s="132"/>
      <c r="C7" s="132"/>
      <c r="D7" s="132"/>
      <c r="E7" s="132"/>
      <c r="F7" s="132"/>
      <c r="G7" s="21" t="s">
        <v>73</v>
      </c>
      <c r="H7" s="21" t="s">
        <v>69</v>
      </c>
      <c r="I7" s="21">
        <f>'MERCADO TUSD'!$U$4</f>
        <v>0</v>
      </c>
      <c r="J7" s="17"/>
      <c r="L7" s="25">
        <f>'TUSD BE'!$L$7*'TUSD BE'!$L$58</f>
        <v>0</v>
      </c>
      <c r="M7" s="25">
        <f>'TUSD BE'!$M$7*'TUSD BE'!$M$58</f>
        <v>-2.8280938977094702E-2</v>
      </c>
      <c r="N7" s="25">
        <f ca="1">'TUSD BE'!$N$7*'TUSD BE'!$N$58</f>
        <v>0</v>
      </c>
      <c r="O7" s="25">
        <f>'TUSD BE'!$O$7*'TUSD BE'!$O$58</f>
        <v>0</v>
      </c>
      <c r="P7" s="25">
        <f>'TUSD BE'!$P$7*'TUSD BE'!$P$58</f>
        <v>0</v>
      </c>
      <c r="Q7" s="25">
        <f>'TUSD BE'!$Q$7*'TUSD BE'!$Q$58</f>
        <v>-0.2831611388836443</v>
      </c>
      <c r="R7" s="25">
        <f>'TUSD BE'!$R$7*'TUSD BE'!$R$58</f>
        <v>-0.14627084762213108</v>
      </c>
      <c r="S7" s="25">
        <f>'TUSD BE'!$R$7*'TUSD BE'!$S$58</f>
        <v>0</v>
      </c>
      <c r="T7" s="25">
        <f ca="1">SUM($L$7:$S$7)</f>
        <v>-0.45771292548287013</v>
      </c>
      <c r="U7" s="25">
        <f>'TUSD BE'!$U$7*'TUSD BE'!$U$58</f>
        <v>0</v>
      </c>
      <c r="V7" s="25">
        <f>'TUSD BE'!$V$7*'TUSD BE'!$V$58</f>
        <v>0</v>
      </c>
      <c r="W7" s="25">
        <f>'TUSD BE'!$W$7*'TUSD BE'!$W$58</f>
        <v>0</v>
      </c>
      <c r="X7" s="25">
        <f>'TUSD BE'!$X$7*'TUSD BE'!$X$58</f>
        <v>0</v>
      </c>
      <c r="Y7" s="25">
        <f>'TUSD BE'!$Y$7*'TUSD BE'!$Y$58</f>
        <v>0</v>
      </c>
      <c r="Z7" s="25">
        <f>'TUSD BE'!$Z$7*'TUSD BE'!$Z$58</f>
        <v>0</v>
      </c>
      <c r="AA7" s="25">
        <f>'TUSD BE'!$AA$7*'TUSD BE'!$AA$58</f>
        <v>0</v>
      </c>
      <c r="AB7" s="25">
        <f>SUM($U$7:$AA$7)</f>
        <v>0</v>
      </c>
      <c r="AC7" s="25">
        <f>'TUSD BE'!$AC$7*'TUSD BE'!$AC$58</f>
        <v>0</v>
      </c>
      <c r="AD7" s="25">
        <f>SUM($AC$7:$AC$7)</f>
        <v>0</v>
      </c>
      <c r="AE7" s="25">
        <f ca="1">$AO$7*$AO$55</f>
        <v>-8.2127914963144949E-2</v>
      </c>
      <c r="AF7" s="25">
        <f ca="1">$AP$7*$AP$55</f>
        <v>0</v>
      </c>
      <c r="AG7" s="25">
        <f ca="1">SUM($AE$7:$AF$7)</f>
        <v>-8.2127914963144949E-2</v>
      </c>
      <c r="AH7" s="25">
        <f>'TUSD BE'!$AH$7*'TUSD BE'!$AH$58</f>
        <v>-0.86992974942183565</v>
      </c>
      <c r="AI7" s="25">
        <f>'TUSD BE'!$AI$7*'TUSD BE'!$AI$58</f>
        <v>0</v>
      </c>
      <c r="AJ7" s="25">
        <f ca="1">'TUSD BE'!$AJ$7*'TUSD BE'!$AJ$58</f>
        <v>0</v>
      </c>
      <c r="AK7" s="25">
        <f ca="1">'TUSD BE'!$AK$7*'TUSD BE'!$AK$58</f>
        <v>0</v>
      </c>
      <c r="AL7" s="25">
        <f ca="1">SUM($AH$7:$AK$7)</f>
        <v>-0.86992974942183565</v>
      </c>
      <c r="AM7" s="25">
        <f ca="1">SUMIF($L$4:$AL$4,"SUBTOTAL",$L$7:$AL$7)</f>
        <v>-1.4097705898678508</v>
      </c>
      <c r="AO7" s="30">
        <f ca="1">+'TUSD BE'!$T$7+'TUSD BE'!$AB$7+'TUSD BE'!$AD$7+'TUSD BE'!$AL$7</f>
        <v>68.49405113783574</v>
      </c>
      <c r="AP7" s="30">
        <f ca="1">+'TUSD BE'!$T$7+'TUSD BE'!$AB$7+'TUSD BE'!$AD$7+'TUSD BE'!$AL$7</f>
        <v>68.49405113783574</v>
      </c>
    </row>
    <row r="8" spans="1:42" ht="11.25" customHeight="1" x14ac:dyDescent="0.25">
      <c r="A8" s="132"/>
      <c r="B8" s="132"/>
      <c r="C8" s="132"/>
      <c r="D8" s="132"/>
      <c r="E8" s="28" t="s">
        <v>78</v>
      </c>
      <c r="F8" s="28" t="s">
        <v>25</v>
      </c>
      <c r="G8" s="21" t="s">
        <v>73</v>
      </c>
      <c r="H8" s="21" t="s">
        <v>69</v>
      </c>
      <c r="I8" s="21">
        <f>'MERCADO TUSD'!$U$5</f>
        <v>0</v>
      </c>
      <c r="J8" s="17"/>
      <c r="L8" s="25">
        <f>'TUSD BE'!$L$8*'TUSD BE'!$L$58</f>
        <v>0</v>
      </c>
      <c r="M8" s="25">
        <f>'TUSD BE'!$M$8*'TUSD BE'!$M$58</f>
        <v>-2.8280938977094702E-2</v>
      </c>
      <c r="N8" s="25">
        <f ca="1">'TUSD BE'!$N$8*'TUSD BE'!$N$58</f>
        <v>0</v>
      </c>
      <c r="O8" s="25">
        <f>'TUSD BE'!$O$8*'TUSD BE'!$O$58</f>
        <v>0</v>
      </c>
      <c r="P8" s="25">
        <f>'TUSD BE'!$P$8*'TUSD BE'!$P$58</f>
        <v>0</v>
      </c>
      <c r="Q8" s="25">
        <f>'TUSD BE'!$Q$8*'TUSD BE'!$Q$58</f>
        <v>0</v>
      </c>
      <c r="R8" s="25">
        <f>'TUSD BE'!$R$8*'TUSD BE'!$R$58</f>
        <v>0</v>
      </c>
      <c r="S8" s="25">
        <f>'TUSD BE'!$R$8*'TUSD BE'!$S$58</f>
        <v>0</v>
      </c>
      <c r="T8" s="25">
        <f ca="1">SUM($L$8:$S$8)</f>
        <v>-2.8280938977094702E-2</v>
      </c>
      <c r="U8" s="25">
        <f>'TUSD BE'!$U$8*'TUSD BE'!$U$58</f>
        <v>0</v>
      </c>
      <c r="V8" s="25">
        <f>'TUSD BE'!$V$8*'TUSD BE'!$V$58</f>
        <v>0</v>
      </c>
      <c r="W8" s="25">
        <f>'TUSD BE'!$W$8*'TUSD BE'!$W$58</f>
        <v>0</v>
      </c>
      <c r="X8" s="25">
        <f>'TUSD BE'!$X$8*'TUSD BE'!$X$58</f>
        <v>0</v>
      </c>
      <c r="Y8" s="25">
        <f>'TUSD BE'!$Y$8*'TUSD BE'!$Y$58</f>
        <v>0</v>
      </c>
      <c r="Z8" s="25">
        <f>'TUSD BE'!$Z$8*'TUSD BE'!$Z$58</f>
        <v>0</v>
      </c>
      <c r="AA8" s="25">
        <f>'TUSD BE'!$AA$8*'TUSD BE'!$AA$58</f>
        <v>0</v>
      </c>
      <c r="AB8" s="25">
        <f>SUM($U$8:$AA$8)</f>
        <v>0</v>
      </c>
      <c r="AC8" s="25">
        <f>'TUSD BE'!$AC$8*'TUSD BE'!$AC$58</f>
        <v>0</v>
      </c>
      <c r="AD8" s="25">
        <f>SUM($AC$8:$AC$8)</f>
        <v>0</v>
      </c>
      <c r="AE8" s="25">
        <f ca="1">$AO$8*$AO$55</f>
        <v>-2.2523640045526934E-2</v>
      </c>
      <c r="AF8" s="25">
        <f ca="1">$AP$8*$AP$55</f>
        <v>0</v>
      </c>
      <c r="AG8" s="25">
        <f ca="1">SUM($AE$8:$AF$8)</f>
        <v>-2.2523640045526934E-2</v>
      </c>
      <c r="AH8" s="25">
        <f>'TUSD BE'!$AH$8*'TUSD BE'!$AH$58</f>
        <v>-0.86992974942183565</v>
      </c>
      <c r="AI8" s="25">
        <f>'TUSD BE'!$AI$8*'TUSD BE'!$AI$58</f>
        <v>0</v>
      </c>
      <c r="AJ8" s="25">
        <f ca="1">'TUSD BE'!$AJ$8*'TUSD BE'!$AJ$58</f>
        <v>0</v>
      </c>
      <c r="AK8" s="25">
        <f ca="1">'TUSD BE'!$AK$8*'TUSD BE'!$AK$58</f>
        <v>0</v>
      </c>
      <c r="AL8" s="25">
        <f ca="1">SUM($AH$8:$AK$8)</f>
        <v>-0.86992974942183565</v>
      </c>
      <c r="AM8" s="25">
        <f ca="1">SUMIF($L$4:$AL$4,"SUBTOTAL",$L$8:$AL$8)</f>
        <v>-0.92073432844445724</v>
      </c>
      <c r="AO8" s="30">
        <f ca="1">+'TUSD BE'!$T$8+'TUSD BE'!$AB$8+'TUSD BE'!$AD$8+'TUSD BE'!$AL$8</f>
        <v>18.784543036077711</v>
      </c>
      <c r="AP8" s="30">
        <f ca="1">+'TUSD BE'!$T$8+'TUSD BE'!$AB$8+'TUSD BE'!$AD$8+'TUSD BE'!$AL$8</f>
        <v>18.784543036077711</v>
      </c>
    </row>
    <row r="9" spans="1:42" ht="11.25" customHeight="1" x14ac:dyDescent="0.25">
      <c r="A9" s="132"/>
      <c r="B9" s="28" t="s">
        <v>79</v>
      </c>
      <c r="C9" s="28" t="s">
        <v>25</v>
      </c>
      <c r="D9" s="28" t="s">
        <v>25</v>
      </c>
      <c r="E9" s="28" t="s">
        <v>25</v>
      </c>
      <c r="F9" s="28" t="s">
        <v>25</v>
      </c>
      <c r="G9" s="21" t="s">
        <v>9</v>
      </c>
      <c r="H9" s="21" t="s">
        <v>75</v>
      </c>
      <c r="I9" s="21">
        <f>'MERCADO TUSD'!$U$6</f>
        <v>0</v>
      </c>
      <c r="J9" s="17"/>
      <c r="L9" s="25">
        <f>'TUSD BE'!$L$9*'TUSD BE'!$L$58</f>
        <v>0</v>
      </c>
      <c r="M9" s="25">
        <f>'TUSD BE'!$M$9*'TUSD BE'!$M$58</f>
        <v>-1.8320181823472915E-3</v>
      </c>
      <c r="N9" s="25">
        <f ca="1">'TUSD BE'!$N$9*'TUSD BE'!$N$58</f>
        <v>0</v>
      </c>
      <c r="O9" s="25">
        <f>'TUSD BE'!$O$9*'TUSD BE'!$O$58</f>
        <v>0</v>
      </c>
      <c r="P9" s="25">
        <f>'TUSD BE'!$P$9*'TUSD BE'!$P$58</f>
        <v>0</v>
      </c>
      <c r="Q9" s="25">
        <f>'TUSD BE'!$Q$9*'TUSD BE'!$Q$58</f>
        <v>0</v>
      </c>
      <c r="R9" s="25">
        <f>'TUSD BE'!$R$9*'TUSD BE'!$R$58</f>
        <v>0</v>
      </c>
      <c r="S9" s="25">
        <f>'TUSD BE'!$R$9*'TUSD BE'!$S$58</f>
        <v>0</v>
      </c>
      <c r="T9" s="25">
        <f ca="1">SUM($L$9:$S$9)</f>
        <v>-1.8320181823472915E-3</v>
      </c>
      <c r="U9" s="25">
        <f>'TUSD BE'!$U$9*'TUSD BE'!$U$58</f>
        <v>0</v>
      </c>
      <c r="V9" s="25">
        <f>'TUSD BE'!$V$9*'TUSD BE'!$V$58</f>
        <v>0</v>
      </c>
      <c r="W9" s="25">
        <f>'TUSD BE'!$W$9*'TUSD BE'!$W$58</f>
        <v>0</v>
      </c>
      <c r="X9" s="25">
        <f>'TUSD BE'!$X$9*'TUSD BE'!$X$58</f>
        <v>0</v>
      </c>
      <c r="Y9" s="25">
        <f>'TUSD BE'!$Y$9*'TUSD BE'!$Y$58</f>
        <v>0</v>
      </c>
      <c r="Z9" s="25">
        <f>'TUSD BE'!$Z$9*'TUSD BE'!$Z$58</f>
        <v>0</v>
      </c>
      <c r="AA9" s="25">
        <f>'TUSD BE'!$AA$9*'TUSD BE'!$AA$58</f>
        <v>0</v>
      </c>
      <c r="AB9" s="25">
        <f>SUM($U$9:$AA$9)</f>
        <v>0</v>
      </c>
      <c r="AC9" s="25">
        <f>'TUSD BE'!$AC$9*'TUSD BE'!$AC$58</f>
        <v>-2.4601251920004685</v>
      </c>
      <c r="AD9" s="25">
        <f>SUM($AC$9:$AC$9)</f>
        <v>-2.4601251920004685</v>
      </c>
      <c r="AE9" s="25">
        <f ca="1">$AO$9*$AO$55</f>
        <v>-1.5448873768521072E-2</v>
      </c>
      <c r="AF9" s="25">
        <f ca="1">$AP$9*$AP$55</f>
        <v>0</v>
      </c>
      <c r="AG9" s="25">
        <f ca="1">SUM($AE$9:$AF$9)</f>
        <v>-1.5448873768521072E-2</v>
      </c>
      <c r="AH9" s="25">
        <f>'TUSD BE'!$AH$9*'TUSD BE'!$AH$58</f>
        <v>0</v>
      </c>
      <c r="AI9" s="25">
        <f>'TUSD BE'!$AI$9*'TUSD BE'!$AI$58</f>
        <v>0</v>
      </c>
      <c r="AJ9" s="25">
        <f ca="1">'TUSD BE'!$AJ$9*'TUSD BE'!$AJ$58</f>
        <v>0</v>
      </c>
      <c r="AK9" s="25">
        <f ca="1">'TUSD BE'!$AK$9*'TUSD BE'!$AK$58</f>
        <v>0</v>
      </c>
      <c r="AL9" s="25">
        <f ca="1">SUM($AH$9:$AK$9)</f>
        <v>0</v>
      </c>
      <c r="AM9" s="25">
        <f ca="1">SUMIF($L$4:$AL$4,"SUBTOTAL",$L$9:$AL$9)</f>
        <v>-2.4774060839513372</v>
      </c>
      <c r="AO9" s="30">
        <f ca="1">+'TUSD BE'!$T$9+'TUSD BE'!$AB$9+'TUSD BE'!$AD$9+'TUSD BE'!$AL$9</f>
        <v>12.884242226262543</v>
      </c>
      <c r="AP9" s="30">
        <f ca="1">+'TUSD BE'!$T$9+'TUSD BE'!$AB$9+'TUSD BE'!$AD$9+'TUSD BE'!$AL$9</f>
        <v>12.884242226262543</v>
      </c>
    </row>
    <row r="10" spans="1:42" ht="11.25" customHeight="1" x14ac:dyDescent="0.25">
      <c r="A10" s="132"/>
      <c r="B10" s="132" t="s">
        <v>35</v>
      </c>
      <c r="C10" s="132" t="s">
        <v>25</v>
      </c>
      <c r="D10" s="132" t="s">
        <v>25</v>
      </c>
      <c r="E10" s="132" t="s">
        <v>25</v>
      </c>
      <c r="F10" s="132" t="s">
        <v>25</v>
      </c>
      <c r="G10" s="21" t="s">
        <v>9</v>
      </c>
      <c r="H10" s="21" t="s">
        <v>75</v>
      </c>
      <c r="I10" s="21">
        <f>'MERCADO TUSD'!$U$7</f>
        <v>1445</v>
      </c>
      <c r="J10" s="17"/>
      <c r="L10" s="25">
        <f>'TUSD BE'!$L$10*'TUSD BE'!$L$58</f>
        <v>0</v>
      </c>
      <c r="M10" s="25">
        <f>'TUSD BE'!$M$10*'TUSD BE'!$M$58</f>
        <v>0</v>
      </c>
      <c r="N10" s="25">
        <f ca="1">'TUSD BE'!$N$10*'TUSD BE'!$N$58</f>
        <v>0</v>
      </c>
      <c r="O10" s="25">
        <f>'TUSD BE'!$O$10*'TUSD BE'!$O$58</f>
        <v>0</v>
      </c>
      <c r="P10" s="25">
        <f>'TUSD BE'!$P$10*'TUSD BE'!$P$58</f>
        <v>0</v>
      </c>
      <c r="Q10" s="25">
        <f>'TUSD BE'!$Q$10*'TUSD BE'!$Q$58</f>
        <v>0</v>
      </c>
      <c r="R10" s="25">
        <f>'TUSD BE'!$R$10*'TUSD BE'!$R$58</f>
        <v>0</v>
      </c>
      <c r="S10" s="25">
        <f>'TUSD BE'!$R$10*'TUSD BE'!$S$58</f>
        <v>0</v>
      </c>
      <c r="T10" s="25">
        <f ca="1">SUM($L$10:$S$10)</f>
        <v>0</v>
      </c>
      <c r="U10" s="25">
        <f>'TUSD BE'!$U$10*'TUSD BE'!$U$58</f>
        <v>0</v>
      </c>
      <c r="V10" s="25">
        <f>'TUSD BE'!$V$10*'TUSD BE'!$V$58</f>
        <v>0</v>
      </c>
      <c r="W10" s="25">
        <f>'TUSD BE'!$W$10*'TUSD BE'!$W$58</f>
        <v>0</v>
      </c>
      <c r="X10" s="25">
        <f>'TUSD BE'!$X$10*'TUSD BE'!$X$58</f>
        <v>0</v>
      </c>
      <c r="Y10" s="25">
        <f>'TUSD BE'!$Y$10*'TUSD BE'!$Y$58</f>
        <v>1.0307118931781802</v>
      </c>
      <c r="Z10" s="25">
        <f>'TUSD BE'!$Z$10*'TUSD BE'!$Z$58</f>
        <v>0</v>
      </c>
      <c r="AA10" s="25">
        <f>'TUSD BE'!$AA$10*'TUSD BE'!$AA$58</f>
        <v>0</v>
      </c>
      <c r="AB10" s="25">
        <f>SUM($U$10:$AA$10)</f>
        <v>1.0307118931781802</v>
      </c>
      <c r="AC10" s="25">
        <f>'TUSD BE'!$AC$10*'TUSD BE'!$AC$58</f>
        <v>-6.4023370833170086</v>
      </c>
      <c r="AD10" s="25">
        <f>SUM($AC$10:$AC$10)</f>
        <v>-6.4023370833170086</v>
      </c>
      <c r="AE10" s="25">
        <f ca="1">$AO$10*$AO$55</f>
        <v>-7.377611519235204E-2</v>
      </c>
      <c r="AF10" s="25">
        <f ca="1">$AP$10*$AP$55</f>
        <v>0</v>
      </c>
      <c r="AG10" s="25">
        <f ca="1">SUM($AE$10:$AF$10)</f>
        <v>-7.377611519235204E-2</v>
      </c>
      <c r="AH10" s="25">
        <f>'TUSD BE'!$AH$10*'TUSD BE'!$AH$58</f>
        <v>0</v>
      </c>
      <c r="AI10" s="25">
        <f>'TUSD BE'!$AI$10*'TUSD BE'!$AI$58</f>
        <v>0</v>
      </c>
      <c r="AJ10" s="25">
        <f ca="1">'TUSD BE'!$AJ$10*'TUSD BE'!$AJ$58</f>
        <v>0</v>
      </c>
      <c r="AK10" s="25">
        <f ca="1">'TUSD BE'!$AK$10*'TUSD BE'!$AK$58</f>
        <v>0</v>
      </c>
      <c r="AL10" s="25">
        <f ca="1">SUM($AH$10:$AK$10)</f>
        <v>0</v>
      </c>
      <c r="AM10" s="25">
        <f ca="1">SUMIF($L$4:$AL$4,"SUBTOTAL",$L$10:$AL$10)</f>
        <v>-5.4454013053311803</v>
      </c>
      <c r="AO10" s="30">
        <f ca="1">+'TUSD BE'!$T$10+'TUSD BE'!$AB$10+'TUSD BE'!$AD$10+'TUSD BE'!$AL$10</f>
        <v>61.528714189365026</v>
      </c>
      <c r="AP10" s="30">
        <f ca="1">+'TUSD BE'!$T$10+'TUSD BE'!$AB$10+'TUSD BE'!$AD$10+'TUSD BE'!$AL$10</f>
        <v>61.528714189365026</v>
      </c>
    </row>
    <row r="11" spans="1:42" ht="11.25" customHeight="1" x14ac:dyDescent="0.25">
      <c r="A11" s="132"/>
      <c r="B11" s="132"/>
      <c r="C11" s="132"/>
      <c r="D11" s="132"/>
      <c r="E11" s="132"/>
      <c r="F11" s="132"/>
      <c r="G11" s="21" t="s">
        <v>70</v>
      </c>
      <c r="H11" s="21" t="s">
        <v>69</v>
      </c>
      <c r="I11" s="21">
        <f>'MERCADO TUSD'!$U$8</f>
        <v>2.2919999999999998</v>
      </c>
      <c r="J11" s="17"/>
      <c r="L11" s="25">
        <f>'TUSD BE'!$L$11*'TUSD BE'!$L$58</f>
        <v>0</v>
      </c>
      <c r="M11" s="25">
        <f>'TUSD BE'!$M$11*'TUSD BE'!$M$58</f>
        <v>-2.8280938977094702E-2</v>
      </c>
      <c r="N11" s="25">
        <f ca="1">'TUSD BE'!$N$11*'TUSD BE'!$N$58</f>
        <v>0</v>
      </c>
      <c r="O11" s="25">
        <f>'TUSD BE'!$O$11*'TUSD BE'!$O$58</f>
        <v>0</v>
      </c>
      <c r="P11" s="25">
        <f>'TUSD BE'!$P$11*'TUSD BE'!$P$58</f>
        <v>0</v>
      </c>
      <c r="Q11" s="25">
        <f>'TUSD BE'!$Q$11*'TUSD BE'!$Q$58</f>
        <v>-0.2831611388836443</v>
      </c>
      <c r="R11" s="25">
        <f>'TUSD BE'!$R$11*'TUSD BE'!$R$58</f>
        <v>-0.14627084762213108</v>
      </c>
      <c r="S11" s="25">
        <f>'TUSD BE'!$R$11*'TUSD BE'!$S$58</f>
        <v>0</v>
      </c>
      <c r="T11" s="25">
        <f ca="1">SUM($L$11:$S$11)</f>
        <v>-0.45771292548287013</v>
      </c>
      <c r="U11" s="25">
        <f>'TUSD BE'!$U$11*'TUSD BE'!$U$58</f>
        <v>0</v>
      </c>
      <c r="V11" s="25">
        <f>'TUSD BE'!$V$11*'TUSD BE'!$V$58</f>
        <v>0</v>
      </c>
      <c r="W11" s="25">
        <f>'TUSD BE'!$W$11*'TUSD BE'!$W$58</f>
        <v>0</v>
      </c>
      <c r="X11" s="25">
        <f>'TUSD BE'!$X$11*'TUSD BE'!$X$58</f>
        <v>0</v>
      </c>
      <c r="Y11" s="25">
        <f>'TUSD BE'!$Y$11*'TUSD BE'!$Y$58</f>
        <v>30.994939435226264</v>
      </c>
      <c r="Z11" s="25">
        <f>'TUSD BE'!$Z$11*'TUSD BE'!$Z$58</f>
        <v>0</v>
      </c>
      <c r="AA11" s="25">
        <f>'TUSD BE'!$AA$11*'TUSD BE'!$AA$58</f>
        <v>0</v>
      </c>
      <c r="AB11" s="25">
        <f>SUM($U$11:$AA$11)</f>
        <v>30.994939435226264</v>
      </c>
      <c r="AC11" s="25">
        <f>'TUSD BE'!$AC$11*'TUSD BE'!$AC$58</f>
        <v>-488.16633154967303</v>
      </c>
      <c r="AD11" s="25">
        <f>SUM($AC$11:$AC$11)</f>
        <v>-488.16633154967303</v>
      </c>
      <c r="AE11" s="25">
        <f ca="1">$AO$11*$AO$55</f>
        <v>-4.1505085707926739</v>
      </c>
      <c r="AF11" s="25">
        <f ca="1">$AP$11*$AP$55</f>
        <v>0</v>
      </c>
      <c r="AG11" s="25">
        <f ca="1">SUM($AE$11:$AF$11)</f>
        <v>-4.1505085707926739</v>
      </c>
      <c r="AH11" s="25">
        <f>'TUSD BE'!$AH$11*'TUSD BE'!$AH$58</f>
        <v>-0.86992974942183565</v>
      </c>
      <c r="AI11" s="25">
        <f>'TUSD BE'!$AI$11*'TUSD BE'!$AI$58</f>
        <v>0</v>
      </c>
      <c r="AJ11" s="25">
        <f ca="1">'TUSD BE'!$AJ$11*'TUSD BE'!$AJ$58</f>
        <v>0</v>
      </c>
      <c r="AK11" s="25">
        <f ca="1">'TUSD BE'!$AK$11*'TUSD BE'!$AK$58</f>
        <v>0</v>
      </c>
      <c r="AL11" s="25">
        <f ca="1">SUM($AH$11:$AK$11)</f>
        <v>-0.86992974942183565</v>
      </c>
      <c r="AM11" s="25">
        <f ca="1">SUMIF($L$4:$AL$4,"SUBTOTAL",$L$11:$AL$11)</f>
        <v>-462.64954336014415</v>
      </c>
      <c r="AO11" s="30">
        <f ca="1">+'TUSD BE'!$T$11+'TUSD BE'!$AB$11+'TUSD BE'!$AD$11+'TUSD BE'!$AL$11</f>
        <v>3461.4923126134695</v>
      </c>
      <c r="AP11" s="30">
        <f ca="1">+'TUSD BE'!$T$11+'TUSD BE'!$AB$11+'TUSD BE'!$AD$11+'TUSD BE'!$AL$11</f>
        <v>3461.4923126134695</v>
      </c>
    </row>
    <row r="12" spans="1:42" ht="11.25" customHeight="1" x14ac:dyDescent="0.25">
      <c r="A12" s="132"/>
      <c r="B12" s="132"/>
      <c r="C12" s="132"/>
      <c r="D12" s="132"/>
      <c r="E12" s="132"/>
      <c r="F12" s="132"/>
      <c r="G12" s="21" t="s">
        <v>71</v>
      </c>
      <c r="H12" s="21" t="s">
        <v>69</v>
      </c>
      <c r="I12" s="21">
        <f>'MERCADO TUSD'!$U$9</f>
        <v>310.52600000000001</v>
      </c>
      <c r="J12" s="17"/>
      <c r="L12" s="25">
        <f>'TUSD BE'!$L$12*'TUSD BE'!$L$58</f>
        <v>0</v>
      </c>
      <c r="M12" s="25">
        <f>'TUSD BE'!$M$12*'TUSD BE'!$M$58</f>
        <v>-2.8280938977094702E-2</v>
      </c>
      <c r="N12" s="25">
        <f ca="1">'TUSD BE'!$N$12*'TUSD BE'!$N$58</f>
        <v>0</v>
      </c>
      <c r="O12" s="25">
        <f>'TUSD BE'!$O$12*'TUSD BE'!$O$58</f>
        <v>0</v>
      </c>
      <c r="P12" s="25">
        <f>'TUSD BE'!$P$12*'TUSD BE'!$P$58</f>
        <v>0</v>
      </c>
      <c r="Q12" s="25">
        <f>'TUSD BE'!$Q$12*'TUSD BE'!$Q$58</f>
        <v>-0.2831611388836443</v>
      </c>
      <c r="R12" s="25">
        <f>'TUSD BE'!$R$12*'TUSD BE'!$R$58</f>
        <v>-0.14627084762213108</v>
      </c>
      <c r="S12" s="25">
        <f>'TUSD BE'!$R$12*'TUSD BE'!$S$58</f>
        <v>0</v>
      </c>
      <c r="T12" s="25">
        <f ca="1">SUM($L$12:$S$12)</f>
        <v>-0.45771292548287013</v>
      </c>
      <c r="U12" s="25">
        <f>'TUSD BE'!$U$12*'TUSD BE'!$U$58</f>
        <v>0</v>
      </c>
      <c r="V12" s="25">
        <f>'TUSD BE'!$V$12*'TUSD BE'!$V$58</f>
        <v>0</v>
      </c>
      <c r="W12" s="25">
        <f>'TUSD BE'!$W$12*'TUSD BE'!$W$58</f>
        <v>0</v>
      </c>
      <c r="X12" s="25">
        <f>'TUSD BE'!$X$12*'TUSD BE'!$X$58</f>
        <v>0</v>
      </c>
      <c r="Y12" s="25">
        <f>'TUSD BE'!$Y$12*'TUSD BE'!$Y$58</f>
        <v>0</v>
      </c>
      <c r="Z12" s="25">
        <f>'TUSD BE'!$Z$12*'TUSD BE'!$Z$58</f>
        <v>0</v>
      </c>
      <c r="AA12" s="25">
        <f>'TUSD BE'!$AA$12*'TUSD BE'!$AA$58</f>
        <v>0</v>
      </c>
      <c r="AB12" s="25">
        <f>SUM($U$12:$AA$12)</f>
        <v>0</v>
      </c>
      <c r="AC12" s="25">
        <f>'TUSD BE'!$AC$12*'TUSD BE'!$AC$58</f>
        <v>0</v>
      </c>
      <c r="AD12" s="25">
        <f>SUM($AC$12:$AC$12)</f>
        <v>0</v>
      </c>
      <c r="AE12" s="25">
        <f ca="1">$AO$12*$AO$55</f>
        <v>-8.2127914963144949E-2</v>
      </c>
      <c r="AF12" s="25">
        <f ca="1">$AP$12*$AP$55</f>
        <v>0</v>
      </c>
      <c r="AG12" s="25">
        <f ca="1">SUM($AE$12:$AF$12)</f>
        <v>-8.2127914963144949E-2</v>
      </c>
      <c r="AH12" s="25">
        <f>'TUSD BE'!$AH$12*'TUSD BE'!$AH$58</f>
        <v>-0.86992974942183565</v>
      </c>
      <c r="AI12" s="25">
        <f>'TUSD BE'!$AI$12*'TUSD BE'!$AI$58</f>
        <v>0</v>
      </c>
      <c r="AJ12" s="25">
        <f ca="1">'TUSD BE'!$AJ$12*'TUSD BE'!$AJ$58</f>
        <v>0</v>
      </c>
      <c r="AK12" s="25">
        <f ca="1">'TUSD BE'!$AK$12*'TUSD BE'!$AK$58</f>
        <v>0</v>
      </c>
      <c r="AL12" s="25">
        <f ca="1">SUM($AH$12:$AK$12)</f>
        <v>-0.86992974942183565</v>
      </c>
      <c r="AM12" s="25">
        <f ca="1">SUMIF($L$4:$AL$4,"SUBTOTAL",$L$12:$AL$12)</f>
        <v>-1.4097705898678508</v>
      </c>
      <c r="AO12" s="30">
        <f ca="1">+'TUSD BE'!$T$12+'TUSD BE'!$AB$12+'TUSD BE'!$AD$12+'TUSD BE'!$AL$12</f>
        <v>68.49405113783574</v>
      </c>
      <c r="AP12" s="30">
        <f ca="1">+'TUSD BE'!$T$12+'TUSD BE'!$AB$12+'TUSD BE'!$AD$12+'TUSD BE'!$AL$12</f>
        <v>68.49405113783574</v>
      </c>
    </row>
    <row r="13" spans="1:42" ht="11.25" customHeight="1" x14ac:dyDescent="0.25">
      <c r="A13" s="132"/>
      <c r="B13" s="132"/>
      <c r="C13" s="132"/>
      <c r="D13" s="132"/>
      <c r="E13" s="132" t="s">
        <v>78</v>
      </c>
      <c r="F13" s="132" t="s">
        <v>25</v>
      </c>
      <c r="G13" s="21" t="s">
        <v>70</v>
      </c>
      <c r="H13" s="21" t="s">
        <v>69</v>
      </c>
      <c r="I13" s="21">
        <f>'MERCADO TUSD'!$U$10</f>
        <v>0</v>
      </c>
      <c r="J13" s="17"/>
      <c r="L13" s="25">
        <f>'TUSD BE'!$L$13*'TUSD BE'!$L$58</f>
        <v>0</v>
      </c>
      <c r="M13" s="25">
        <f>'TUSD BE'!$M$13*'TUSD BE'!$M$58</f>
        <v>-2.8280938977094702E-2</v>
      </c>
      <c r="N13" s="25">
        <f ca="1">'TUSD BE'!$N$13*'TUSD BE'!$N$58</f>
        <v>0</v>
      </c>
      <c r="O13" s="25">
        <f>'TUSD BE'!$O$13*'TUSD BE'!$O$58</f>
        <v>0</v>
      </c>
      <c r="P13" s="25">
        <f>'TUSD BE'!$P$13*'TUSD BE'!$P$58</f>
        <v>0</v>
      </c>
      <c r="Q13" s="25">
        <f>'TUSD BE'!$Q$13*'TUSD BE'!$Q$58</f>
        <v>0</v>
      </c>
      <c r="R13" s="25">
        <f>'TUSD BE'!$R$13*'TUSD BE'!$R$58</f>
        <v>0</v>
      </c>
      <c r="S13" s="25">
        <f>'TUSD BE'!$R$13*'TUSD BE'!$S$58</f>
        <v>0</v>
      </c>
      <c r="T13" s="25">
        <f ca="1">SUM($L$13:$S$13)</f>
        <v>-2.8280938977094702E-2</v>
      </c>
      <c r="U13" s="25">
        <f>'TUSD BE'!$U$13*'TUSD BE'!$U$58</f>
        <v>0</v>
      </c>
      <c r="V13" s="25">
        <f>'TUSD BE'!$V$13*'TUSD BE'!$V$58</f>
        <v>0</v>
      </c>
      <c r="W13" s="25">
        <f>'TUSD BE'!$W$13*'TUSD BE'!$W$58</f>
        <v>0</v>
      </c>
      <c r="X13" s="25">
        <f>'TUSD BE'!$X$13*'TUSD BE'!$X$58</f>
        <v>0</v>
      </c>
      <c r="Y13" s="25">
        <f>'TUSD BE'!$Y$13*'TUSD BE'!$Y$58</f>
        <v>30.994939435226264</v>
      </c>
      <c r="Z13" s="25">
        <f>'TUSD BE'!$Z$13*'TUSD BE'!$Z$58</f>
        <v>0</v>
      </c>
      <c r="AA13" s="25">
        <f>'TUSD BE'!$AA$13*'TUSD BE'!$AA$58</f>
        <v>0</v>
      </c>
      <c r="AB13" s="25">
        <f>SUM($U$13:$AA$13)</f>
        <v>30.994939435226264</v>
      </c>
      <c r="AC13" s="25">
        <f>'TUSD BE'!$AC$13*'TUSD BE'!$AC$58</f>
        <v>-488.16633154967303</v>
      </c>
      <c r="AD13" s="25">
        <f>SUM($AC$13:$AC$13)</f>
        <v>-488.16633154967303</v>
      </c>
      <c r="AE13" s="25">
        <f ca="1">$AO$13*$AO$55</f>
        <v>-4.0909042958750561</v>
      </c>
      <c r="AF13" s="25">
        <f ca="1">$AP$13*$AP$55</f>
        <v>0</v>
      </c>
      <c r="AG13" s="25">
        <f ca="1">SUM($AE$13:$AF$13)</f>
        <v>-4.0909042958750561</v>
      </c>
      <c r="AH13" s="25">
        <f>'TUSD BE'!$AH$13*'TUSD BE'!$AH$58</f>
        <v>-0.86992974942183565</v>
      </c>
      <c r="AI13" s="25">
        <f>'TUSD BE'!$AI$13*'TUSD BE'!$AI$58</f>
        <v>0</v>
      </c>
      <c r="AJ13" s="25">
        <f ca="1">'TUSD BE'!$AJ$13*'TUSD BE'!$AJ$58</f>
        <v>0</v>
      </c>
      <c r="AK13" s="25">
        <f ca="1">'TUSD BE'!$AK$13*'TUSD BE'!$AK$58</f>
        <v>0</v>
      </c>
      <c r="AL13" s="25">
        <f ca="1">SUM($AH$13:$AK$13)</f>
        <v>-0.86992974942183565</v>
      </c>
      <c r="AM13" s="25">
        <f ca="1">SUMIF($L$4:$AL$4,"SUBTOTAL",$L$13:$AL$13)</f>
        <v>-462.16050709872076</v>
      </c>
      <c r="AO13" s="30">
        <f ca="1">+'TUSD BE'!$T$13+'TUSD BE'!$AB$13+'TUSD BE'!$AD$13+'TUSD BE'!$AL$13</f>
        <v>3411.7828045117112</v>
      </c>
      <c r="AP13" s="30">
        <f ca="1">+'TUSD BE'!$T$13+'TUSD BE'!$AB$13+'TUSD BE'!$AD$13+'TUSD BE'!$AL$13</f>
        <v>3411.7828045117112</v>
      </c>
    </row>
    <row r="14" spans="1:42" ht="11.25" customHeight="1" x14ac:dyDescent="0.25">
      <c r="A14" s="132"/>
      <c r="B14" s="132"/>
      <c r="C14" s="132"/>
      <c r="D14" s="132"/>
      <c r="E14" s="132"/>
      <c r="F14" s="132"/>
      <c r="G14" s="21" t="s">
        <v>71</v>
      </c>
      <c r="H14" s="21" t="s">
        <v>69</v>
      </c>
      <c r="I14" s="21">
        <f>'MERCADO TUSD'!$U$11</f>
        <v>0</v>
      </c>
      <c r="J14" s="17"/>
      <c r="L14" s="25">
        <f>'TUSD BE'!$L$14*'TUSD BE'!$L$58</f>
        <v>0</v>
      </c>
      <c r="M14" s="25">
        <f>'TUSD BE'!$M$14*'TUSD BE'!$M$58</f>
        <v>-2.8280938977094702E-2</v>
      </c>
      <c r="N14" s="25">
        <f ca="1">'TUSD BE'!$N$14*'TUSD BE'!$N$58</f>
        <v>0</v>
      </c>
      <c r="O14" s="25">
        <f>'TUSD BE'!$O$14*'TUSD BE'!$O$58</f>
        <v>0</v>
      </c>
      <c r="P14" s="25">
        <f>'TUSD BE'!$P$14*'TUSD BE'!$P$58</f>
        <v>0</v>
      </c>
      <c r="Q14" s="25">
        <f>'TUSD BE'!$Q$14*'TUSD BE'!$Q$58</f>
        <v>0</v>
      </c>
      <c r="R14" s="25">
        <f>'TUSD BE'!$R$14*'TUSD BE'!$R$58</f>
        <v>0</v>
      </c>
      <c r="S14" s="25">
        <f>'TUSD BE'!$R$14*'TUSD BE'!$S$58</f>
        <v>0</v>
      </c>
      <c r="T14" s="25">
        <f ca="1">SUM($L$14:$S$14)</f>
        <v>-2.8280938977094702E-2</v>
      </c>
      <c r="U14" s="25">
        <f>'TUSD BE'!$U$14*'TUSD BE'!$U$58</f>
        <v>0</v>
      </c>
      <c r="V14" s="25">
        <f>'TUSD BE'!$V$14*'TUSD BE'!$V$58</f>
        <v>0</v>
      </c>
      <c r="W14" s="25">
        <f>'TUSD BE'!$W$14*'TUSD BE'!$W$58</f>
        <v>0</v>
      </c>
      <c r="X14" s="25">
        <f>'TUSD BE'!$X$14*'TUSD BE'!$X$58</f>
        <v>0</v>
      </c>
      <c r="Y14" s="25">
        <f>'TUSD BE'!$Y$14*'TUSD BE'!$Y$58</f>
        <v>0</v>
      </c>
      <c r="Z14" s="25">
        <f>'TUSD BE'!$Z$14*'TUSD BE'!$Z$58</f>
        <v>0</v>
      </c>
      <c r="AA14" s="25">
        <f>'TUSD BE'!$AA$14*'TUSD BE'!$AA$58</f>
        <v>0</v>
      </c>
      <c r="AB14" s="25">
        <f>SUM($U$14:$AA$14)</f>
        <v>0</v>
      </c>
      <c r="AC14" s="25">
        <f>'TUSD BE'!$AC$14*'TUSD BE'!$AC$58</f>
        <v>0</v>
      </c>
      <c r="AD14" s="25">
        <f>SUM($AC$14:$AC$14)</f>
        <v>0</v>
      </c>
      <c r="AE14" s="25">
        <f ca="1">$AO$14*$AO$55</f>
        <v>-2.2523640045526934E-2</v>
      </c>
      <c r="AF14" s="25">
        <f ca="1">$AP$14*$AP$55</f>
        <v>0</v>
      </c>
      <c r="AG14" s="25">
        <f ca="1">SUM($AE$14:$AF$14)</f>
        <v>-2.2523640045526934E-2</v>
      </c>
      <c r="AH14" s="25">
        <f>'TUSD BE'!$AH$14*'TUSD BE'!$AH$58</f>
        <v>-0.86992974942183565</v>
      </c>
      <c r="AI14" s="25">
        <f>'TUSD BE'!$AI$14*'TUSD BE'!$AI$58</f>
        <v>0</v>
      </c>
      <c r="AJ14" s="25">
        <f ca="1">'TUSD BE'!$AJ$14*'TUSD BE'!$AJ$58</f>
        <v>0</v>
      </c>
      <c r="AK14" s="25">
        <f ca="1">'TUSD BE'!$AK$14*'TUSD BE'!$AK$58</f>
        <v>0</v>
      </c>
      <c r="AL14" s="25">
        <f ca="1">SUM($AH$14:$AK$14)</f>
        <v>-0.86992974942183565</v>
      </c>
      <c r="AM14" s="25">
        <f ca="1">SUMIF($L$4:$AL$4,"SUBTOTAL",$L$14:$AL$14)</f>
        <v>-0.92073432844445724</v>
      </c>
      <c r="AO14" s="30">
        <f ca="1">+'TUSD BE'!$T$14+'TUSD BE'!$AB$14+'TUSD BE'!$AD$14+'TUSD BE'!$AL$14</f>
        <v>18.784543036077711</v>
      </c>
      <c r="AP14" s="30">
        <f ca="1">+'TUSD BE'!$T$14+'TUSD BE'!$AB$14+'TUSD BE'!$AD$14+'TUSD BE'!$AL$14</f>
        <v>18.784543036077711</v>
      </c>
    </row>
    <row r="15" spans="1:42" ht="11.25" customHeight="1" x14ac:dyDescent="0.25">
      <c r="A15" s="132" t="s">
        <v>80</v>
      </c>
      <c r="B15" s="132" t="s">
        <v>79</v>
      </c>
      <c r="C15" s="132" t="s">
        <v>25</v>
      </c>
      <c r="D15" s="132" t="s">
        <v>25</v>
      </c>
      <c r="E15" s="28" t="s">
        <v>81</v>
      </c>
      <c r="F15" s="28" t="s">
        <v>25</v>
      </c>
      <c r="G15" s="21" t="s">
        <v>9</v>
      </c>
      <c r="H15" s="21" t="s">
        <v>75</v>
      </c>
      <c r="I15" s="21">
        <f>'MERCADO TUSD'!$U$12+0.00000001</f>
        <v>1E-8</v>
      </c>
      <c r="J15" s="17"/>
      <c r="L15" s="25">
        <f>'TUSD BE'!$L$15*'TUSD BE'!$L$58</f>
        <v>0</v>
      </c>
      <c r="M15" s="25">
        <f>'TUSD BE'!$M$15*'TUSD BE'!$M$58</f>
        <v>-8.9499970834856204E-4</v>
      </c>
      <c r="N15" s="25">
        <f ca="1">'TUSD BE'!$N$15*'TUSD BE'!$N$58</f>
        <v>0</v>
      </c>
      <c r="O15" s="25">
        <f>'TUSD BE'!$O$15*'TUSD BE'!$O$58</f>
        <v>0</v>
      </c>
      <c r="P15" s="25">
        <f>'TUSD BE'!$P$15*'TUSD BE'!$P$58</f>
        <v>0</v>
      </c>
      <c r="Q15" s="25">
        <f>'TUSD BE'!$Q$15*'TUSD BE'!$Q$58</f>
        <v>0</v>
      </c>
      <c r="R15" s="25">
        <f>'TUSD BE'!$R$15*'TUSD BE'!$R$58</f>
        <v>0</v>
      </c>
      <c r="S15" s="25">
        <f>'TUSD BE'!$R$15*'TUSD BE'!$S$58</f>
        <v>0</v>
      </c>
      <c r="T15" s="25">
        <f ca="1">SUM($L$15:$S$15)</f>
        <v>-8.9499970834856204E-4</v>
      </c>
      <c r="U15" s="25">
        <f>'TUSD BE'!$U$15*'TUSD BE'!$U$58</f>
        <v>0</v>
      </c>
      <c r="V15" s="25">
        <f>'TUSD BE'!$V$15*'TUSD BE'!$V$58</f>
        <v>0</v>
      </c>
      <c r="W15" s="25">
        <f>'TUSD BE'!$W$15*'TUSD BE'!$W$58</f>
        <v>0</v>
      </c>
      <c r="X15" s="25">
        <f>'TUSD BE'!$X$15*'TUSD BE'!$X$58</f>
        <v>0</v>
      </c>
      <c r="Y15" s="25">
        <f>'TUSD BE'!$Y$15*'TUSD BE'!$Y$58</f>
        <v>0</v>
      </c>
      <c r="Z15" s="25">
        <f>'TUSD BE'!$Z$15*'TUSD BE'!$Z$58</f>
        <v>0</v>
      </c>
      <c r="AA15" s="25">
        <f>'TUSD BE'!$AA$15*'TUSD BE'!$AA$58</f>
        <v>0</v>
      </c>
      <c r="AB15" s="25">
        <f>SUM($U$15:$AA$15)</f>
        <v>0</v>
      </c>
      <c r="AC15" s="25">
        <f>'TUSD BE'!$AC$15*'TUSD BE'!$AC$58</f>
        <v>-1.2054808147980134</v>
      </c>
      <c r="AD15" s="25">
        <f>SUM($AC$15:$AC$15)</f>
        <v>-1.2054808147980134</v>
      </c>
      <c r="AE15" s="25">
        <f ca="1">$AO$15*$AO$55</f>
        <v>-7.5699881611508207E-3</v>
      </c>
      <c r="AF15" s="25">
        <f ca="1">$AP$15*$AP$55</f>
        <v>0</v>
      </c>
      <c r="AG15" s="25">
        <f ca="1">SUM($AE$15:$AF$15)</f>
        <v>-7.5699881611508207E-3</v>
      </c>
      <c r="AH15" s="25">
        <f>'TUSD BE'!$AH$15*'TUSD BE'!$AH$58</f>
        <v>0</v>
      </c>
      <c r="AI15" s="25">
        <f>'TUSD BE'!$AI$15*'TUSD BE'!$AI$58</f>
        <v>0</v>
      </c>
      <c r="AJ15" s="25">
        <f ca="1">'TUSD BE'!$AJ$15*'TUSD BE'!$AJ$58</f>
        <v>0</v>
      </c>
      <c r="AK15" s="25">
        <f ca="1">'TUSD BE'!$AK$15*'TUSD BE'!$AK$58</f>
        <v>0</v>
      </c>
      <c r="AL15" s="25">
        <f ca="1">SUM($AH$15:$AK$15)</f>
        <v>0</v>
      </c>
      <c r="AM15" s="25">
        <f ca="1">SUMIF($L$4:$AL$4,"SUBTOTAL",$L$15:$AL$15)</f>
        <v>-1.2139458026675127</v>
      </c>
      <c r="AO15" s="30">
        <f ca="1">+'TUSD BE'!$T$15+'TUSD BE'!$AB$15+'TUSD BE'!$AD$15+'TUSD BE'!$AL$15</f>
        <v>6.3133120627176877</v>
      </c>
      <c r="AP15" s="30">
        <f ca="1">+'TUSD BE'!$T$15+'TUSD BE'!$AB$15+'TUSD BE'!$AD$15+'TUSD BE'!$AL$15</f>
        <v>6.3133120627176877</v>
      </c>
    </row>
    <row r="16" spans="1:42" ht="11.25" customHeight="1" x14ac:dyDescent="0.25">
      <c r="A16" s="132"/>
      <c r="B16" s="132"/>
      <c r="C16" s="132"/>
      <c r="D16" s="132"/>
      <c r="E16" s="28" t="s">
        <v>82</v>
      </c>
      <c r="F16" s="28" t="s">
        <v>25</v>
      </c>
      <c r="G16" s="21" t="s">
        <v>9</v>
      </c>
      <c r="H16" s="21" t="s">
        <v>75</v>
      </c>
      <c r="I16" s="21">
        <f>'MERCADO TUSD'!$U$13+0.00000001</f>
        <v>1E-8</v>
      </c>
      <c r="J16" s="17"/>
      <c r="L16" s="25">
        <f>'TUSD BE'!$L$16*'TUSD BE'!$L$58</f>
        <v>0</v>
      </c>
      <c r="M16" s="25">
        <f>'TUSD BE'!$M$16*'TUSD BE'!$M$58</f>
        <v>-8.9499970834856204E-4</v>
      </c>
      <c r="N16" s="25">
        <f ca="1">'TUSD BE'!$N$16*'TUSD BE'!$N$58</f>
        <v>0</v>
      </c>
      <c r="O16" s="25">
        <f>'TUSD BE'!$O$16*'TUSD BE'!$O$58</f>
        <v>0</v>
      </c>
      <c r="P16" s="25">
        <f>'TUSD BE'!$P$16*'TUSD BE'!$P$58</f>
        <v>0</v>
      </c>
      <c r="Q16" s="25">
        <f>'TUSD BE'!$Q$16*'TUSD BE'!$Q$58</f>
        <v>0</v>
      </c>
      <c r="R16" s="25">
        <f>'TUSD BE'!$R$16*'TUSD BE'!$R$58</f>
        <v>0</v>
      </c>
      <c r="S16" s="25">
        <f>'TUSD BE'!$R$16*'TUSD BE'!$S$58</f>
        <v>0</v>
      </c>
      <c r="T16" s="25">
        <f ca="1">SUM($L$16:$S$16)</f>
        <v>-8.9499970834856204E-4</v>
      </c>
      <c r="U16" s="25">
        <f>'TUSD BE'!$U$16*'TUSD BE'!$U$58</f>
        <v>0</v>
      </c>
      <c r="V16" s="25">
        <f>'TUSD BE'!$V$16*'TUSD BE'!$V$58</f>
        <v>0</v>
      </c>
      <c r="W16" s="25">
        <f>'TUSD BE'!$W$16*'TUSD BE'!$W$58</f>
        <v>0</v>
      </c>
      <c r="X16" s="25">
        <f>'TUSD BE'!$X$16*'TUSD BE'!$X$58</f>
        <v>0</v>
      </c>
      <c r="Y16" s="25">
        <f>'TUSD BE'!$Y$16*'TUSD BE'!$Y$58</f>
        <v>0</v>
      </c>
      <c r="Z16" s="25">
        <f>'TUSD BE'!$Z$16*'TUSD BE'!$Z$58</f>
        <v>0</v>
      </c>
      <c r="AA16" s="25">
        <f>'TUSD BE'!$AA$16*'TUSD BE'!$AA$58</f>
        <v>0</v>
      </c>
      <c r="AB16" s="25">
        <f>SUM($U$16:$AA$16)</f>
        <v>0</v>
      </c>
      <c r="AC16" s="25">
        <f>'TUSD BE'!$AC$16*'TUSD BE'!$AC$58</f>
        <v>-3.6402940736793634</v>
      </c>
      <c r="AD16" s="25">
        <f>SUM($AC$16:$AC$16)</f>
        <v>-3.6402940736793634</v>
      </c>
      <c r="AE16" s="25">
        <f ca="1">$AO$16*$AO$55</f>
        <v>-2.2804747473876213E-2</v>
      </c>
      <c r="AF16" s="25">
        <f ca="1">$AP$16*$AP$55</f>
        <v>0</v>
      </c>
      <c r="AG16" s="25">
        <f ca="1">SUM($AE$16:$AF$16)</f>
        <v>-2.2804747473876213E-2</v>
      </c>
      <c r="AH16" s="25">
        <f>'TUSD BE'!$AH$16*'TUSD BE'!$AH$58</f>
        <v>0</v>
      </c>
      <c r="AI16" s="25">
        <f>'TUSD BE'!$AI$16*'TUSD BE'!$AI$58</f>
        <v>0</v>
      </c>
      <c r="AJ16" s="25">
        <f ca="1">'TUSD BE'!$AJ$16*'TUSD BE'!$AJ$58</f>
        <v>0</v>
      </c>
      <c r="AK16" s="25">
        <f ca="1">'TUSD BE'!$AK$16*'TUSD BE'!$AK$58</f>
        <v>0</v>
      </c>
      <c r="AL16" s="25">
        <f ca="1">SUM($AH$16:$AK$16)</f>
        <v>0</v>
      </c>
      <c r="AM16" s="25">
        <f ca="1">SUMIF($L$4:$AL$4,"SUBTOTAL",$L$16:$AL$16)</f>
        <v>-3.6639938208615885</v>
      </c>
      <c r="AO16" s="30">
        <f ca="1">+'TUSD BE'!$T$16+'TUSD BE'!$AB$16+'TUSD BE'!$AD$16+'TUSD BE'!$AL$16</f>
        <v>19.018984475157485</v>
      </c>
      <c r="AP16" s="30">
        <f ca="1">+'TUSD BE'!$T$16+'TUSD BE'!$AB$16+'TUSD BE'!$AD$16+'TUSD BE'!$AL$16</f>
        <v>19.018984475157485</v>
      </c>
    </row>
    <row r="17" spans="1:42" ht="11.25" customHeight="1" x14ac:dyDescent="0.25">
      <c r="A17" s="132" t="s">
        <v>22</v>
      </c>
      <c r="B17" s="132" t="s">
        <v>39</v>
      </c>
      <c r="C17" s="132" t="s">
        <v>24</v>
      </c>
      <c r="D17" s="132" t="s">
        <v>24</v>
      </c>
      <c r="E17" s="132" t="s">
        <v>25</v>
      </c>
      <c r="F17" s="132" t="s">
        <v>25</v>
      </c>
      <c r="G17" s="21" t="s">
        <v>70</v>
      </c>
      <c r="H17" s="21" t="s">
        <v>69</v>
      </c>
      <c r="I17" s="21">
        <f>'MERCADO TUSD'!$U$14</f>
        <v>0</v>
      </c>
      <c r="J17" s="17"/>
      <c r="L17" s="25">
        <f>'TUSD BE'!$L$17*'TUSD BE'!$L$58</f>
        <v>0</v>
      </c>
      <c r="M17" s="25">
        <f>'TUSD BE'!$M$17*'TUSD BE'!$M$58</f>
        <v>-8.5069361706406763E-2</v>
      </c>
      <c r="N17" s="25">
        <f ca="1">'TUSD BE'!$N$17*'TUSD BE'!$N$58</f>
        <v>0</v>
      </c>
      <c r="O17" s="25">
        <f>'TUSD BE'!$O$17*'TUSD BE'!$O$58</f>
        <v>0</v>
      </c>
      <c r="P17" s="25">
        <f>'TUSD BE'!$P$17*'TUSD BE'!$P$58</f>
        <v>0</v>
      </c>
      <c r="Q17" s="25">
        <f>'TUSD BE'!$Q$17*'TUSD BE'!$Q$58</f>
        <v>-0.33709659390910035</v>
      </c>
      <c r="R17" s="25">
        <f>'TUSD BE'!$R$17*'TUSD BE'!$R$58</f>
        <v>-0.14627084762213108</v>
      </c>
      <c r="S17" s="25">
        <f>'TUSD BE'!$R$17*'TUSD BE'!$S$58</f>
        <v>0</v>
      </c>
      <c r="T17" s="25">
        <f ca="1">SUM($L$17:$S$17)</f>
        <v>-0.56843680323763823</v>
      </c>
      <c r="U17" s="25">
        <f>'TUSD BE'!$U$17*'TUSD BE'!$U$58</f>
        <v>0</v>
      </c>
      <c r="V17" s="25">
        <f>'TUSD BE'!$V$17*'TUSD BE'!$V$58</f>
        <v>0</v>
      </c>
      <c r="W17" s="25">
        <f>'TUSD BE'!$W$17*'TUSD BE'!$W$58</f>
        <v>0</v>
      </c>
      <c r="X17" s="25">
        <f>'TUSD BE'!$X$17*'TUSD BE'!$X$58</f>
        <v>0</v>
      </c>
      <c r="Y17" s="25">
        <f>'TUSD BE'!$Y$17*'TUSD BE'!$Y$58</f>
        <v>15.12386305875944</v>
      </c>
      <c r="Z17" s="25">
        <f>'TUSD BE'!$Z$17*'TUSD BE'!$Z$58</f>
        <v>0</v>
      </c>
      <c r="AA17" s="25">
        <f>'TUSD BE'!$AA$17*'TUSD BE'!$AA$58</f>
        <v>0</v>
      </c>
      <c r="AB17" s="25">
        <f>SUM($U$17:$AA$17)</f>
        <v>15.12386305875944</v>
      </c>
      <c r="AC17" s="25">
        <f>'TUSD BE'!$AC$17*'TUSD BE'!$AC$58</f>
        <v>-299.39054280721876</v>
      </c>
      <c r="AD17" s="25">
        <f>SUM($AC$17:$AC$17)</f>
        <v>-299.39054280721876</v>
      </c>
      <c r="AE17" s="25">
        <f ca="1">$AO$17*$AO$55</f>
        <v>-2.4852607732988732</v>
      </c>
      <c r="AF17" s="25">
        <f ca="1">$AP$17*$AP$55</f>
        <v>0</v>
      </c>
      <c r="AG17" s="25">
        <f ca="1">SUM($AE$17:$AF$17)</f>
        <v>-2.4852607732988732</v>
      </c>
      <c r="AH17" s="25">
        <f>'TUSD BE'!$AH$17*'TUSD BE'!$AH$58</f>
        <v>-1.8948665405653644</v>
      </c>
      <c r="AI17" s="25">
        <f>'TUSD BE'!$AI$17*'TUSD BE'!$AI$58</f>
        <v>0</v>
      </c>
      <c r="AJ17" s="25">
        <f ca="1">'TUSD BE'!$AJ$17*'TUSD BE'!$AJ$58</f>
        <v>0</v>
      </c>
      <c r="AK17" s="25">
        <f ca="1">'TUSD BE'!$AK$17*'TUSD BE'!$AK$58</f>
        <v>0</v>
      </c>
      <c r="AL17" s="25">
        <f ca="1">SUM($AH$17:$AK$17)</f>
        <v>-1.8948665405653644</v>
      </c>
      <c r="AM17" s="25">
        <f ca="1">SUMIF($L$4:$AL$4,"SUBTOTAL",$L$17:$AL$17)</f>
        <v>-289.21524386556121</v>
      </c>
      <c r="AO17" s="30">
        <f ca="1">+'TUSD BE'!$T$17+'TUSD BE'!$AB$17+'TUSD BE'!$AD$17+'TUSD BE'!$AL$17</f>
        <v>2072.6884223662473</v>
      </c>
      <c r="AP17" s="30">
        <f ca="1">+'TUSD BE'!$T$17+'TUSD BE'!$AB$17+'TUSD BE'!$AD$17+'TUSD BE'!$AL$17</f>
        <v>2072.6884223662473</v>
      </c>
    </row>
    <row r="18" spans="1:42" ht="11.25" customHeight="1" x14ac:dyDescent="0.25">
      <c r="A18" s="132"/>
      <c r="B18" s="132"/>
      <c r="C18" s="132"/>
      <c r="D18" s="132"/>
      <c r="E18" s="132"/>
      <c r="F18" s="132"/>
      <c r="G18" s="21" t="s">
        <v>83</v>
      </c>
      <c r="H18" s="21" t="s">
        <v>69</v>
      </c>
      <c r="I18" s="21">
        <f>'MERCADO TUSD'!$U$15</f>
        <v>5.0000000000000001E-3</v>
      </c>
      <c r="J18" s="17"/>
      <c r="L18" s="25">
        <f>'TUSD BE'!$L$18*'TUSD BE'!$L$58</f>
        <v>0</v>
      </c>
      <c r="M18" s="25">
        <f>'TUSD BE'!$M$18*'TUSD BE'!$M$58</f>
        <v>-8.5069361706406763E-2</v>
      </c>
      <c r="N18" s="25">
        <f ca="1">'TUSD BE'!$N$18*'TUSD BE'!$N$58</f>
        <v>0</v>
      </c>
      <c r="O18" s="25">
        <f>'TUSD BE'!$O$18*'TUSD BE'!$O$58</f>
        <v>0</v>
      </c>
      <c r="P18" s="25">
        <f>'TUSD BE'!$P$18*'TUSD BE'!$P$58</f>
        <v>0</v>
      </c>
      <c r="Q18" s="25">
        <f>'TUSD BE'!$Q$18*'TUSD BE'!$Q$58</f>
        <v>-0.33709659390910035</v>
      </c>
      <c r="R18" s="25">
        <f>'TUSD BE'!$R$18*'TUSD BE'!$R$58</f>
        <v>-0.14627084762213108</v>
      </c>
      <c r="S18" s="25">
        <f>'TUSD BE'!$R$18*'TUSD BE'!$S$58</f>
        <v>0</v>
      </c>
      <c r="T18" s="25">
        <f ca="1">SUM($L$18:$S$18)</f>
        <v>-0.56843680323763823</v>
      </c>
      <c r="U18" s="25">
        <f>'TUSD BE'!$U$18*'TUSD BE'!$U$58</f>
        <v>0</v>
      </c>
      <c r="V18" s="25">
        <f>'TUSD BE'!$V$18*'TUSD BE'!$V$58</f>
        <v>0</v>
      </c>
      <c r="W18" s="25">
        <f>'TUSD BE'!$W$18*'TUSD BE'!$W$58</f>
        <v>0</v>
      </c>
      <c r="X18" s="25">
        <f>'TUSD BE'!$X$18*'TUSD BE'!$X$58</f>
        <v>0</v>
      </c>
      <c r="Y18" s="25">
        <f>'TUSD BE'!$Y$18*'TUSD BE'!$Y$58</f>
        <v>9.074238681758219</v>
      </c>
      <c r="Z18" s="25">
        <f>'TUSD BE'!$Z$18*'TUSD BE'!$Z$58</f>
        <v>0</v>
      </c>
      <c r="AA18" s="25">
        <f>'TUSD BE'!$AA$18*'TUSD BE'!$AA$58</f>
        <v>0</v>
      </c>
      <c r="AB18" s="25">
        <f>SUM($U$18:$AA$18)</f>
        <v>9.074238681758219</v>
      </c>
      <c r="AC18" s="25">
        <f>'TUSD BE'!$AC$18*'TUSD BE'!$AC$58</f>
        <v>-179.63426240449846</v>
      </c>
      <c r="AD18" s="25">
        <f>SUM($AC$18:$AC$18)</f>
        <v>-179.63426240449846</v>
      </c>
      <c r="AE18" s="25">
        <f ca="1">$AO$18*$AO$55</f>
        <v>-1.538045671774777</v>
      </c>
      <c r="AF18" s="25">
        <f ca="1">$AP$18*$AP$55</f>
        <v>0</v>
      </c>
      <c r="AG18" s="25">
        <f ca="1">SUM($AE$18:$AF$18)</f>
        <v>-1.538045671774777</v>
      </c>
      <c r="AH18" s="25">
        <f>'TUSD BE'!$AH$18*'TUSD BE'!$AH$58</f>
        <v>-1.8948665405653644</v>
      </c>
      <c r="AI18" s="25">
        <f>'TUSD BE'!$AI$18*'TUSD BE'!$AI$58</f>
        <v>0</v>
      </c>
      <c r="AJ18" s="25">
        <f ca="1">'TUSD BE'!$AJ$18*'TUSD BE'!$AJ$58</f>
        <v>0</v>
      </c>
      <c r="AK18" s="25">
        <f ca="1">'TUSD BE'!$AK$18*'TUSD BE'!$AK$58</f>
        <v>0</v>
      </c>
      <c r="AL18" s="25">
        <f ca="1">SUM($AH$18:$AK$18)</f>
        <v>-1.8948665405653644</v>
      </c>
      <c r="AM18" s="25">
        <f ca="1">SUMIF($L$4:$AL$4,"SUBTOTAL",$L$18:$AL$18)</f>
        <v>-174.56137273831803</v>
      </c>
      <c r="AO18" s="30">
        <f ca="1">+'TUSD BE'!$T$18+'TUSD BE'!$AB$18+'TUSD BE'!$AD$18+'TUSD BE'!$AL$18</f>
        <v>1282.7182930693316</v>
      </c>
      <c r="AP18" s="30">
        <f ca="1">+'TUSD BE'!$T$18+'TUSD BE'!$AB$18+'TUSD BE'!$AD$18+'TUSD BE'!$AL$18</f>
        <v>1282.7182930693316</v>
      </c>
    </row>
    <row r="19" spans="1:42" ht="11.25" customHeight="1" x14ac:dyDescent="0.25">
      <c r="A19" s="132"/>
      <c r="B19" s="132"/>
      <c r="C19" s="132"/>
      <c r="D19" s="132"/>
      <c r="E19" s="132"/>
      <c r="F19" s="132"/>
      <c r="G19" s="21" t="s">
        <v>71</v>
      </c>
      <c r="H19" s="21" t="s">
        <v>69</v>
      </c>
      <c r="I19" s="21">
        <f>'MERCADO TUSD'!$U$16</f>
        <v>0.96600000000000008</v>
      </c>
      <c r="J19" s="17"/>
      <c r="L19" s="25">
        <f>'TUSD BE'!$L$19*'TUSD BE'!$L$58</f>
        <v>0</v>
      </c>
      <c r="M19" s="25">
        <f>'TUSD BE'!$M$19*'TUSD BE'!$M$58</f>
        <v>-8.5069361706406763E-2</v>
      </c>
      <c r="N19" s="25">
        <f ca="1">'TUSD BE'!$N$19*'TUSD BE'!$N$58</f>
        <v>0</v>
      </c>
      <c r="O19" s="25">
        <f>'TUSD BE'!$O$19*'TUSD BE'!$O$58</f>
        <v>0</v>
      </c>
      <c r="P19" s="25">
        <f>'TUSD BE'!$P$19*'TUSD BE'!$P$58</f>
        <v>0</v>
      </c>
      <c r="Q19" s="25">
        <f>'TUSD BE'!$Q$19*'TUSD BE'!$Q$58</f>
        <v>-0.33709659390910035</v>
      </c>
      <c r="R19" s="25">
        <f>'TUSD BE'!$R$19*'TUSD BE'!$R$58</f>
        <v>-0.14627084762213108</v>
      </c>
      <c r="S19" s="25">
        <f>'TUSD BE'!$R$19*'TUSD BE'!$S$58</f>
        <v>0</v>
      </c>
      <c r="T19" s="25">
        <f ca="1">SUM($L$19:$S$19)</f>
        <v>-0.56843680323763823</v>
      </c>
      <c r="U19" s="25">
        <f>'TUSD BE'!$U$19*'TUSD BE'!$U$58</f>
        <v>0</v>
      </c>
      <c r="V19" s="25">
        <f>'TUSD BE'!$V$19*'TUSD BE'!$V$58</f>
        <v>0</v>
      </c>
      <c r="W19" s="25">
        <f>'TUSD BE'!$W$19*'TUSD BE'!$W$58</f>
        <v>0</v>
      </c>
      <c r="X19" s="25">
        <f>'TUSD BE'!$X$19*'TUSD BE'!$X$58</f>
        <v>0</v>
      </c>
      <c r="Y19" s="25">
        <f>'TUSD BE'!$Y$19*'TUSD BE'!$Y$58</f>
        <v>3.0247175484493174</v>
      </c>
      <c r="Z19" s="25">
        <f>'TUSD BE'!$Z$19*'TUSD BE'!$Z$58</f>
        <v>0</v>
      </c>
      <c r="AA19" s="25">
        <f>'TUSD BE'!$AA$19*'TUSD BE'!$AA$58</f>
        <v>0</v>
      </c>
      <c r="AB19" s="25">
        <f>SUM($U$19:$AA$19)</f>
        <v>3.0247175484493174</v>
      </c>
      <c r="AC19" s="25">
        <f>'TUSD BE'!$AC$19*'TUSD BE'!$AC$58</f>
        <v>-59.878103693764302</v>
      </c>
      <c r="AD19" s="25">
        <f>SUM($AC$19:$AC$19)</f>
        <v>-59.878103693764302</v>
      </c>
      <c r="AE19" s="25">
        <f ca="1">$AO$19*$AO$55</f>
        <v>-0.59083470896123902</v>
      </c>
      <c r="AF19" s="25">
        <f ca="1">$AP$19*$AP$55</f>
        <v>0</v>
      </c>
      <c r="AG19" s="25">
        <f ca="1">SUM($AE$19:$AF$19)</f>
        <v>-0.59083470896123902</v>
      </c>
      <c r="AH19" s="25">
        <f>'TUSD BE'!$AH$19*'TUSD BE'!$AH$58</f>
        <v>-1.8948665405653644</v>
      </c>
      <c r="AI19" s="25">
        <f>'TUSD BE'!$AI$19*'TUSD BE'!$AI$58</f>
        <v>0</v>
      </c>
      <c r="AJ19" s="25">
        <f ca="1">'TUSD BE'!$AJ$19*'TUSD BE'!$AJ$58</f>
        <v>0</v>
      </c>
      <c r="AK19" s="25">
        <f ca="1">'TUSD BE'!$AK$19*'TUSD BE'!$AK$58</f>
        <v>0</v>
      </c>
      <c r="AL19" s="25">
        <f ca="1">SUM($AH$19:$AK$19)</f>
        <v>-1.8948665405653644</v>
      </c>
      <c r="AM19" s="25">
        <f ca="1">SUMIF($L$4:$AL$4,"SUBTOTAL",$L$19:$AL$19)</f>
        <v>-59.90752419807923</v>
      </c>
      <c r="AO19" s="30">
        <f ca="1">+'TUSD BE'!$T$19+'TUSD BE'!$AB$19+'TUSD BE'!$AD$19+'TUSD BE'!$AL$19</f>
        <v>492.75161542527638</v>
      </c>
      <c r="AP19" s="30">
        <f ca="1">+'TUSD BE'!$T$19+'TUSD BE'!$AB$19+'TUSD BE'!$AD$19+'TUSD BE'!$AL$19</f>
        <v>492.75161542527638</v>
      </c>
    </row>
    <row r="20" spans="1:42" ht="11.25" customHeight="1" x14ac:dyDescent="0.25">
      <c r="A20" s="132"/>
      <c r="B20" s="132" t="s">
        <v>23</v>
      </c>
      <c r="C20" s="132" t="s">
        <v>24</v>
      </c>
      <c r="D20" s="28" t="s">
        <v>24</v>
      </c>
      <c r="E20" s="28" t="s">
        <v>25</v>
      </c>
      <c r="F20" s="28" t="s">
        <v>25</v>
      </c>
      <c r="G20" s="21" t="s">
        <v>73</v>
      </c>
      <c r="H20" s="21" t="s">
        <v>69</v>
      </c>
      <c r="I20" s="21">
        <f>'MERCADO TUSD'!$U$17</f>
        <v>2520.6710000000003</v>
      </c>
      <c r="J20" s="17"/>
      <c r="L20" s="25">
        <f>'TUSD BE'!$L$20*'TUSD BE'!$L$58</f>
        <v>0</v>
      </c>
      <c r="M20" s="25">
        <f>'TUSD BE'!$M$20*'TUSD BE'!$M$58</f>
        <v>-8.5069361706406763E-2</v>
      </c>
      <c r="N20" s="25">
        <f ca="1">'TUSD BE'!$N$20*'TUSD BE'!$N$58</f>
        <v>0</v>
      </c>
      <c r="O20" s="25">
        <f>'TUSD BE'!$O$20*'TUSD BE'!$O$58</f>
        <v>0</v>
      </c>
      <c r="P20" s="25">
        <f>'TUSD BE'!$P$20*'TUSD BE'!$P$58</f>
        <v>0</v>
      </c>
      <c r="Q20" s="25">
        <f>'TUSD BE'!$Q$20*'TUSD BE'!$Q$58</f>
        <v>-0.33709659390910035</v>
      </c>
      <c r="R20" s="25">
        <f>'TUSD BE'!$R$20*'TUSD BE'!$R$58</f>
        <v>-0.14627084762213108</v>
      </c>
      <c r="S20" s="25">
        <f>'TUSD BE'!$R$20*'TUSD BE'!$S$58</f>
        <v>0</v>
      </c>
      <c r="T20" s="25">
        <f ca="1">SUM($L$20:$S$20)</f>
        <v>-0.56843680323763823</v>
      </c>
      <c r="U20" s="25">
        <f>'TUSD BE'!$U$20*'TUSD BE'!$U$58</f>
        <v>0</v>
      </c>
      <c r="V20" s="25">
        <f>'TUSD BE'!$V$20*'TUSD BE'!$V$58</f>
        <v>0</v>
      </c>
      <c r="W20" s="25">
        <f>'TUSD BE'!$W$20*'TUSD BE'!$W$58</f>
        <v>0</v>
      </c>
      <c r="X20" s="25">
        <f>'TUSD BE'!$X$20*'TUSD BE'!$X$58</f>
        <v>0</v>
      </c>
      <c r="Y20" s="25">
        <f>'TUSD BE'!$Y$20*'TUSD BE'!$Y$58</f>
        <v>5.0412647432104087</v>
      </c>
      <c r="Z20" s="25">
        <f>'TUSD BE'!$Z$20*'TUSD BE'!$Z$58</f>
        <v>0</v>
      </c>
      <c r="AA20" s="25">
        <f>'TUSD BE'!$AA$20*'TUSD BE'!$AA$58</f>
        <v>0</v>
      </c>
      <c r="AB20" s="25">
        <f>SUM($U$20:$AA$20)</f>
        <v>5.0412647432104087</v>
      </c>
      <c r="AC20" s="25">
        <f>'TUSD BE'!$AC$20*'TUSD BE'!$AC$58</f>
        <v>-99.796798925611782</v>
      </c>
      <c r="AD20" s="25">
        <f>SUM($AC$20:$AC$20)</f>
        <v>-99.796798925611782</v>
      </c>
      <c r="AE20" s="25">
        <f ca="1">$AO$20*$AO$55</f>
        <v>-0.9065728576646378</v>
      </c>
      <c r="AF20" s="25">
        <f ca="1">$AP$20*$AP$55</f>
        <v>0</v>
      </c>
      <c r="AG20" s="25">
        <f ca="1">SUM($AE$20:$AF$20)</f>
        <v>-0.9065728576646378</v>
      </c>
      <c r="AH20" s="25">
        <f>'TUSD BE'!$AH$20*'TUSD BE'!$AH$58</f>
        <v>-1.8948665405653644</v>
      </c>
      <c r="AI20" s="25">
        <f>'TUSD BE'!$AI$20*'TUSD BE'!$AI$58</f>
        <v>0</v>
      </c>
      <c r="AJ20" s="25">
        <f ca="1">'TUSD BE'!$AJ$20*'TUSD BE'!$AJ$58</f>
        <v>0</v>
      </c>
      <c r="AK20" s="25">
        <f ca="1">'TUSD BE'!$AK$20*'TUSD BE'!$AK$58</f>
        <v>0</v>
      </c>
      <c r="AL20" s="25">
        <f ca="1">SUM($AH$20:$AK$20)</f>
        <v>-1.8948665405653644</v>
      </c>
      <c r="AM20" s="25">
        <f ca="1">SUMIF($L$4:$AL$4,"SUBTOTAL",$L$20:$AL$20)</f>
        <v>-98.12541038386901</v>
      </c>
      <c r="AO20" s="30">
        <f ca="1">+'TUSD BE'!$T$20+'TUSD BE'!$AB$20+'TUSD BE'!$AD$20+'TUSD BE'!$AL$20</f>
        <v>756.07480965419325</v>
      </c>
      <c r="AP20" s="30">
        <f ca="1">+'TUSD BE'!$T$20+'TUSD BE'!$AB$20+'TUSD BE'!$AD$20+'TUSD BE'!$AL$20</f>
        <v>756.07480965419325</v>
      </c>
    </row>
    <row r="21" spans="1:42" ht="11.25" customHeight="1" x14ac:dyDescent="0.25">
      <c r="A21" s="132"/>
      <c r="B21" s="132"/>
      <c r="C21" s="132"/>
      <c r="D21" s="28" t="s">
        <v>28</v>
      </c>
      <c r="E21" s="28" t="s">
        <v>25</v>
      </c>
      <c r="F21" s="28" t="s">
        <v>25</v>
      </c>
      <c r="G21" s="21" t="s">
        <v>73</v>
      </c>
      <c r="H21" s="21" t="s">
        <v>69</v>
      </c>
      <c r="I21" s="21">
        <f>'MERCADO TUSD'!$U$18</f>
        <v>782.16</v>
      </c>
      <c r="J21" s="17"/>
      <c r="L21" s="25">
        <f>'TUSD BE'!$L$21*'TUSD BE'!$L$58</f>
        <v>0</v>
      </c>
      <c r="M21" s="25">
        <f>'TUSD BE'!$M$21*'TUSD BE'!$M$58</f>
        <v>-8.5069361706406763E-2</v>
      </c>
      <c r="N21" s="25">
        <f ca="1">'TUSD BE'!$N$21*'TUSD BE'!$N$58</f>
        <v>0</v>
      </c>
      <c r="O21" s="25">
        <f>'TUSD BE'!$O$21*'TUSD BE'!$O$58</f>
        <v>0</v>
      </c>
      <c r="P21" s="25">
        <f>'TUSD BE'!$P$21*'TUSD BE'!$P$58</f>
        <v>0</v>
      </c>
      <c r="Q21" s="25">
        <f>'TUSD BE'!$Q$21*'TUSD BE'!$Q$58</f>
        <v>0</v>
      </c>
      <c r="R21" s="25">
        <f>'TUSD BE'!$R$21*'TUSD BE'!$R$58</f>
        <v>0</v>
      </c>
      <c r="S21" s="25">
        <f>'TUSD BE'!$R$21*'TUSD BE'!$S$58</f>
        <v>0</v>
      </c>
      <c r="T21" s="25">
        <f ca="1">SUM($L$21:$S$21)</f>
        <v>-8.5069361706406763E-2</v>
      </c>
      <c r="U21" s="25">
        <f>'TUSD BE'!$U$21*'TUSD BE'!$U$58</f>
        <v>0</v>
      </c>
      <c r="V21" s="25">
        <f>'TUSD BE'!$V$21*'TUSD BE'!$V$58</f>
        <v>0</v>
      </c>
      <c r="W21" s="25">
        <f>'TUSD BE'!$W$21*'TUSD BE'!$W$58</f>
        <v>0</v>
      </c>
      <c r="X21" s="25">
        <f>'TUSD BE'!$X$21*'TUSD BE'!$X$58</f>
        <v>0</v>
      </c>
      <c r="Y21" s="25">
        <f>'TUSD BE'!$Y$21*'TUSD BE'!$Y$58</f>
        <v>5.0412647432104087</v>
      </c>
      <c r="Z21" s="25">
        <f>'TUSD BE'!$Z$21*'TUSD BE'!$Z$58</f>
        <v>0</v>
      </c>
      <c r="AA21" s="25">
        <f>'TUSD BE'!$AA$21*'TUSD BE'!$AA$58</f>
        <v>0</v>
      </c>
      <c r="AB21" s="25">
        <f>SUM($U$21:$AA$21)</f>
        <v>5.0412647432104087</v>
      </c>
      <c r="AC21" s="25">
        <f>'TUSD BE'!$AC$21*'TUSD BE'!$AC$58</f>
        <v>-99.796798925611782</v>
      </c>
      <c r="AD21" s="25">
        <f>SUM($AC$21:$AC$21)</f>
        <v>-99.796798925611782</v>
      </c>
      <c r="AE21" s="25">
        <f ca="1">$AO$21*$AO$55</f>
        <v>-0.83911698038377491</v>
      </c>
      <c r="AF21" s="25">
        <f ca="1">$AP$21*$AP$55</f>
        <v>0</v>
      </c>
      <c r="AG21" s="25">
        <f ca="1">SUM($AE$21:$AF$21)</f>
        <v>-0.83911698038377491</v>
      </c>
      <c r="AH21" s="25">
        <f>'TUSD BE'!$AH$21*'TUSD BE'!$AH$58</f>
        <v>-1.8948665405653644</v>
      </c>
      <c r="AI21" s="25">
        <f>'TUSD BE'!$AI$21*'TUSD BE'!$AI$58</f>
        <v>0</v>
      </c>
      <c r="AJ21" s="25">
        <f ca="1">'TUSD BE'!$AJ$21*'TUSD BE'!$AJ$58</f>
        <v>0</v>
      </c>
      <c r="AK21" s="25">
        <f ca="1">'TUSD BE'!$AK$21*'TUSD BE'!$AK$58</f>
        <v>0</v>
      </c>
      <c r="AL21" s="25">
        <f ca="1">SUM($AH$21:$AK$21)</f>
        <v>-1.8948665405653644</v>
      </c>
      <c r="AM21" s="25">
        <f ca="1">SUMIF($L$4:$AL$4,"SUBTOTAL",$L$21:$AL$21)</f>
        <v>-97.574587065056917</v>
      </c>
      <c r="AO21" s="30">
        <f ca="1">+'TUSD BE'!$T$21+'TUSD BE'!$AB$21+'TUSD BE'!$AD$21+'TUSD BE'!$AL$21</f>
        <v>699.81712540522165</v>
      </c>
      <c r="AP21" s="30">
        <f ca="1">+'TUSD BE'!$T$21+'TUSD BE'!$AB$21+'TUSD BE'!$AD$21+'TUSD BE'!$AL$21</f>
        <v>699.81712540522165</v>
      </c>
    </row>
    <row r="22" spans="1:42" ht="11.25" customHeight="1" x14ac:dyDescent="0.25">
      <c r="A22" s="132"/>
      <c r="B22" s="132"/>
      <c r="C22" s="132"/>
      <c r="D22" s="28" t="s">
        <v>29</v>
      </c>
      <c r="E22" s="28" t="s">
        <v>25</v>
      </c>
      <c r="F22" s="28" t="s">
        <v>25</v>
      </c>
      <c r="G22" s="21" t="s">
        <v>73</v>
      </c>
      <c r="H22" s="21" t="s">
        <v>69</v>
      </c>
      <c r="I22" s="21">
        <f>'MERCADO TUSD'!$U$19</f>
        <v>1214.3559999999998</v>
      </c>
      <c r="J22" s="17"/>
      <c r="L22" s="25">
        <f>'TUSD BE'!$L$22*'TUSD BE'!$L$58</f>
        <v>0</v>
      </c>
      <c r="M22" s="25">
        <f>'TUSD BE'!$M$22*'TUSD BE'!$M$58</f>
        <v>-8.5069361706406763E-2</v>
      </c>
      <c r="N22" s="25">
        <f ca="1">'TUSD BE'!$N$22*'TUSD BE'!$N$58</f>
        <v>0</v>
      </c>
      <c r="O22" s="25">
        <f>'TUSD BE'!$O$22*'TUSD BE'!$O$58</f>
        <v>0</v>
      </c>
      <c r="P22" s="25">
        <f>'TUSD BE'!$P$22*'TUSD BE'!$P$58</f>
        <v>0</v>
      </c>
      <c r="Q22" s="25">
        <f>'TUSD BE'!$Q$22*'TUSD BE'!$Q$58</f>
        <v>0</v>
      </c>
      <c r="R22" s="25">
        <f>'TUSD BE'!$R$22*'TUSD BE'!$R$58</f>
        <v>0</v>
      </c>
      <c r="S22" s="25">
        <f>'TUSD BE'!$R$22*'TUSD BE'!$S$58</f>
        <v>0</v>
      </c>
      <c r="T22" s="25">
        <f ca="1">SUM($L$22:$S$22)</f>
        <v>-8.5069361706406763E-2</v>
      </c>
      <c r="U22" s="25">
        <f>'TUSD BE'!$U$22*'TUSD BE'!$U$58</f>
        <v>0</v>
      </c>
      <c r="V22" s="25">
        <f>'TUSD BE'!$V$22*'TUSD BE'!$V$58</f>
        <v>0</v>
      </c>
      <c r="W22" s="25">
        <f>'TUSD BE'!$W$22*'TUSD BE'!$W$58</f>
        <v>0</v>
      </c>
      <c r="X22" s="25">
        <f>'TUSD BE'!$X$22*'TUSD BE'!$X$58</f>
        <v>0</v>
      </c>
      <c r="Y22" s="25">
        <f>'TUSD BE'!$Y$22*'TUSD BE'!$Y$58</f>
        <v>5.0412647432104087</v>
      </c>
      <c r="Z22" s="25">
        <f>'TUSD BE'!$Z$22*'TUSD BE'!$Z$58</f>
        <v>0</v>
      </c>
      <c r="AA22" s="25">
        <f>'TUSD BE'!$AA$22*'TUSD BE'!$AA$58</f>
        <v>0</v>
      </c>
      <c r="AB22" s="25">
        <f>SUM($U$22:$AA$22)</f>
        <v>5.0412647432104087</v>
      </c>
      <c r="AC22" s="25">
        <f>'TUSD BE'!$AC$22*'TUSD BE'!$AC$58</f>
        <v>-99.796798925611782</v>
      </c>
      <c r="AD22" s="25">
        <f>SUM($AC$22:$AC$22)</f>
        <v>-99.796798925611782</v>
      </c>
      <c r="AE22" s="25">
        <f ca="1">$AO$22*$AO$55</f>
        <v>-0.83911698038377491</v>
      </c>
      <c r="AF22" s="25">
        <f ca="1">$AP$22*$AP$55</f>
        <v>0</v>
      </c>
      <c r="AG22" s="25">
        <f ca="1">SUM($AE$22:$AF$22)</f>
        <v>-0.83911698038377491</v>
      </c>
      <c r="AH22" s="25">
        <f>'TUSD BE'!$AH$22*'TUSD BE'!$AH$58</f>
        <v>-1.8948665405653644</v>
      </c>
      <c r="AI22" s="25">
        <f>'TUSD BE'!$AI$22*'TUSD BE'!$AI$58</f>
        <v>0</v>
      </c>
      <c r="AJ22" s="25">
        <f ca="1">'TUSD BE'!$AJ$22*'TUSD BE'!$AJ$58</f>
        <v>0</v>
      </c>
      <c r="AK22" s="25">
        <f ca="1">'TUSD BE'!$AK$22*'TUSD BE'!$AK$58</f>
        <v>0</v>
      </c>
      <c r="AL22" s="25">
        <f ca="1">SUM($AH$22:$AK$22)</f>
        <v>-1.8948665405653644</v>
      </c>
      <c r="AM22" s="25">
        <f ca="1">SUMIF($L$4:$AL$4,"SUBTOTAL",$L$22:$AL$22)</f>
        <v>-97.574587065056917</v>
      </c>
      <c r="AO22" s="30">
        <f ca="1">+'TUSD BE'!$T$22+'TUSD BE'!$AB$22+'TUSD BE'!$AD$22+'TUSD BE'!$AL$22</f>
        <v>699.81712540522165</v>
      </c>
      <c r="AP22" s="30">
        <f ca="1">+'TUSD BE'!$T$22+'TUSD BE'!$AB$22+'TUSD BE'!$AD$22+'TUSD BE'!$AL$22</f>
        <v>699.81712540522165</v>
      </c>
    </row>
    <row r="23" spans="1:42" ht="11.25" customHeight="1" x14ac:dyDescent="0.25">
      <c r="A23" s="132"/>
      <c r="B23" s="132"/>
      <c r="C23" s="132"/>
      <c r="D23" s="28" t="s">
        <v>30</v>
      </c>
      <c r="E23" s="28" t="s">
        <v>25</v>
      </c>
      <c r="F23" s="28" t="s">
        <v>25</v>
      </c>
      <c r="G23" s="21" t="s">
        <v>73</v>
      </c>
      <c r="H23" s="21" t="s">
        <v>69</v>
      </c>
      <c r="I23" s="21">
        <f>'MERCADO TUSD'!$U$20</f>
        <v>403.89</v>
      </c>
      <c r="J23" s="17"/>
      <c r="L23" s="25">
        <f>'TUSD BE'!$L$23*'TUSD BE'!$L$58</f>
        <v>0</v>
      </c>
      <c r="M23" s="25">
        <f>'TUSD BE'!$M$23*'TUSD BE'!$M$58</f>
        <v>-8.5069361706406763E-2</v>
      </c>
      <c r="N23" s="25">
        <f ca="1">'TUSD BE'!$N$23*'TUSD BE'!$N$58</f>
        <v>0</v>
      </c>
      <c r="O23" s="25">
        <f>'TUSD BE'!$O$23*'TUSD BE'!$O$58</f>
        <v>0</v>
      </c>
      <c r="P23" s="25">
        <f>'TUSD BE'!$P$23*'TUSD BE'!$P$58</f>
        <v>0</v>
      </c>
      <c r="Q23" s="25">
        <f>'TUSD BE'!$Q$23*'TUSD BE'!$Q$58</f>
        <v>0</v>
      </c>
      <c r="R23" s="25">
        <f>'TUSD BE'!$R$23*'TUSD BE'!$R$58</f>
        <v>0</v>
      </c>
      <c r="S23" s="25">
        <f>'TUSD BE'!$R$23*'TUSD BE'!$S$58</f>
        <v>0</v>
      </c>
      <c r="T23" s="25">
        <f ca="1">SUM($L$23:$S$23)</f>
        <v>-8.5069361706406763E-2</v>
      </c>
      <c r="U23" s="25">
        <f>'TUSD BE'!$U$23*'TUSD BE'!$U$58</f>
        <v>0</v>
      </c>
      <c r="V23" s="25">
        <f>'TUSD BE'!$V$23*'TUSD BE'!$V$58</f>
        <v>0</v>
      </c>
      <c r="W23" s="25">
        <f>'TUSD BE'!$W$23*'TUSD BE'!$W$58</f>
        <v>0</v>
      </c>
      <c r="X23" s="25">
        <f>'TUSD BE'!$X$23*'TUSD BE'!$X$58</f>
        <v>0</v>
      </c>
      <c r="Y23" s="25">
        <f>'TUSD BE'!$Y$23*'TUSD BE'!$Y$58</f>
        <v>5.0412647432104087</v>
      </c>
      <c r="Z23" s="25">
        <f>'TUSD BE'!$Z$23*'TUSD BE'!$Z$58</f>
        <v>0</v>
      </c>
      <c r="AA23" s="25">
        <f>'TUSD BE'!$AA$23*'TUSD BE'!$AA$58</f>
        <v>0</v>
      </c>
      <c r="AB23" s="25">
        <f>SUM($U$23:$AA$23)</f>
        <v>5.0412647432104087</v>
      </c>
      <c r="AC23" s="25">
        <f>'TUSD BE'!$AC$23*'TUSD BE'!$AC$58</f>
        <v>-99.796798925611782</v>
      </c>
      <c r="AD23" s="25">
        <f>SUM($AC$23:$AC$23)</f>
        <v>-99.796798925611782</v>
      </c>
      <c r="AE23" s="25">
        <f ca="1">$AO$23*$AO$55</f>
        <v>-0.83911698038377491</v>
      </c>
      <c r="AF23" s="25">
        <f ca="1">$AP$23*$AP$55</f>
        <v>0</v>
      </c>
      <c r="AG23" s="25">
        <f ca="1">SUM($AE$23:$AF$23)</f>
        <v>-0.83911698038377491</v>
      </c>
      <c r="AH23" s="25">
        <f>'TUSD BE'!$AH$23*'TUSD BE'!$AH$58</f>
        <v>-1.8948665405653644</v>
      </c>
      <c r="AI23" s="25">
        <f>'TUSD BE'!$AI$23*'TUSD BE'!$AI$58</f>
        <v>0</v>
      </c>
      <c r="AJ23" s="25">
        <f ca="1">'TUSD BE'!$AJ$23*'TUSD BE'!$AJ$58</f>
        <v>0</v>
      </c>
      <c r="AK23" s="25">
        <f ca="1">'TUSD BE'!$AK$23*'TUSD BE'!$AK$58</f>
        <v>0</v>
      </c>
      <c r="AL23" s="25">
        <f ca="1">SUM($AH$23:$AK$23)</f>
        <v>-1.8948665405653644</v>
      </c>
      <c r="AM23" s="25">
        <f ca="1">SUMIF($L$4:$AL$4,"SUBTOTAL",$L$23:$AL$23)</f>
        <v>-97.574587065056917</v>
      </c>
      <c r="AO23" s="30">
        <f ca="1">+'TUSD BE'!$T$23+'TUSD BE'!$AB$23+'TUSD BE'!$AD$23+'TUSD BE'!$AL$23</f>
        <v>699.81712540522165</v>
      </c>
      <c r="AP23" s="30">
        <f ca="1">+'TUSD BE'!$T$23+'TUSD BE'!$AB$23+'TUSD BE'!$AD$23+'TUSD BE'!$AL$23</f>
        <v>699.81712540522165</v>
      </c>
    </row>
    <row r="24" spans="1:42" ht="11.25" customHeight="1" x14ac:dyDescent="0.25">
      <c r="A24" s="132"/>
      <c r="B24" s="132"/>
      <c r="C24" s="132"/>
      <c r="D24" s="28" t="s">
        <v>31</v>
      </c>
      <c r="E24" s="28" t="s">
        <v>25</v>
      </c>
      <c r="F24" s="28" t="s">
        <v>25</v>
      </c>
      <c r="G24" s="21" t="s">
        <v>73</v>
      </c>
      <c r="H24" s="21" t="s">
        <v>69</v>
      </c>
      <c r="I24" s="21">
        <f>'MERCADO TUSD'!$U$21</f>
        <v>103.88300000000001</v>
      </c>
      <c r="J24" s="17"/>
      <c r="L24" s="25">
        <f>'TUSD BE'!$L$24*'TUSD BE'!$L$58</f>
        <v>0</v>
      </c>
      <c r="M24" s="25">
        <f>'TUSD BE'!$M$24*'TUSD BE'!$M$58</f>
        <v>-8.5069361706406763E-2</v>
      </c>
      <c r="N24" s="25">
        <f ca="1">'TUSD BE'!$N$24*'TUSD BE'!$N$58</f>
        <v>0</v>
      </c>
      <c r="O24" s="25">
        <f>'TUSD BE'!$O$24*'TUSD BE'!$O$58</f>
        <v>0</v>
      </c>
      <c r="P24" s="25">
        <f>'TUSD BE'!$P$24*'TUSD BE'!$P$58</f>
        <v>0</v>
      </c>
      <c r="Q24" s="25">
        <f>'TUSD BE'!$Q$24*'TUSD BE'!$Q$58</f>
        <v>0</v>
      </c>
      <c r="R24" s="25">
        <f>'TUSD BE'!$R$24*'TUSD BE'!$R$58</f>
        <v>0</v>
      </c>
      <c r="S24" s="25">
        <f>'TUSD BE'!$R$24*'TUSD BE'!$S$58</f>
        <v>0</v>
      </c>
      <c r="T24" s="25">
        <f ca="1">SUM($L$24:$S$24)</f>
        <v>-8.5069361706406763E-2</v>
      </c>
      <c r="U24" s="25">
        <f>'TUSD BE'!$U$24*'TUSD BE'!$U$58</f>
        <v>0</v>
      </c>
      <c r="V24" s="25">
        <f>'TUSD BE'!$V$24*'TUSD BE'!$V$58</f>
        <v>0</v>
      </c>
      <c r="W24" s="25">
        <f>'TUSD BE'!$W$24*'TUSD BE'!$W$58</f>
        <v>0</v>
      </c>
      <c r="X24" s="25">
        <f>'TUSD BE'!$X$24*'TUSD BE'!$X$58</f>
        <v>0</v>
      </c>
      <c r="Y24" s="25">
        <f>'TUSD BE'!$Y$24*'TUSD BE'!$Y$58</f>
        <v>5.0412647432104087</v>
      </c>
      <c r="Z24" s="25">
        <f>'TUSD BE'!$Z$24*'TUSD BE'!$Z$58</f>
        <v>0</v>
      </c>
      <c r="AA24" s="25">
        <f>'TUSD BE'!$AA$24*'TUSD BE'!$AA$58</f>
        <v>0</v>
      </c>
      <c r="AB24" s="25">
        <f>SUM($U$24:$AA$24)</f>
        <v>5.0412647432104087</v>
      </c>
      <c r="AC24" s="25">
        <f>'TUSD BE'!$AC$24*'TUSD BE'!$AC$58</f>
        <v>-99.796798925611782</v>
      </c>
      <c r="AD24" s="25">
        <f>SUM($AC$24:$AC$24)</f>
        <v>-99.796798925611782</v>
      </c>
      <c r="AE24" s="25">
        <f ca="1">$AO$24*$AO$55</f>
        <v>-0.83911698038377491</v>
      </c>
      <c r="AF24" s="25">
        <f ca="1">$AP$24*$AP$55</f>
        <v>0</v>
      </c>
      <c r="AG24" s="25">
        <f ca="1">SUM($AE$24:$AF$24)</f>
        <v>-0.83911698038377491</v>
      </c>
      <c r="AH24" s="25">
        <f>'TUSD BE'!$AH$24*'TUSD BE'!$AH$58</f>
        <v>-1.8948665405653644</v>
      </c>
      <c r="AI24" s="25">
        <f>'TUSD BE'!$AI$24*'TUSD BE'!$AI$58</f>
        <v>0</v>
      </c>
      <c r="AJ24" s="25">
        <f ca="1">'TUSD BE'!$AJ$24*'TUSD BE'!$AJ$58</f>
        <v>0</v>
      </c>
      <c r="AK24" s="25">
        <f ca="1">'TUSD BE'!$AK$24*'TUSD BE'!$AK$58</f>
        <v>0</v>
      </c>
      <c r="AL24" s="25">
        <f ca="1">SUM($AH$24:$AK$24)</f>
        <v>-1.8948665405653644</v>
      </c>
      <c r="AM24" s="25">
        <f ca="1">SUMIF($L$4:$AL$4,"SUBTOTAL",$L$24:$AL$24)</f>
        <v>-97.574587065056917</v>
      </c>
      <c r="AO24" s="30">
        <f ca="1">+'TUSD BE'!$T$24+'TUSD BE'!$AB$24+'TUSD BE'!$AD$24+'TUSD BE'!$AL$24</f>
        <v>699.81712540522165</v>
      </c>
      <c r="AP24" s="30">
        <f ca="1">+'TUSD BE'!$T$24+'TUSD BE'!$AB$24+'TUSD BE'!$AD$24+'TUSD BE'!$AL$24</f>
        <v>699.81712540522165</v>
      </c>
    </row>
    <row r="25" spans="1:42" ht="11.25" customHeight="1" x14ac:dyDescent="0.25">
      <c r="A25" s="132"/>
      <c r="B25" s="132" t="s">
        <v>85</v>
      </c>
      <c r="C25" s="132" t="s">
        <v>24</v>
      </c>
      <c r="D25" s="28" t="s">
        <v>24</v>
      </c>
      <c r="E25" s="28" t="s">
        <v>25</v>
      </c>
      <c r="F25" s="28" t="s">
        <v>25</v>
      </c>
      <c r="G25" s="21" t="s">
        <v>73</v>
      </c>
      <c r="H25" s="21" t="s">
        <v>69</v>
      </c>
      <c r="I25" s="21">
        <f>'MERCADO TUSD'!$U$22</f>
        <v>0</v>
      </c>
      <c r="J25" s="17"/>
      <c r="L25" s="25">
        <f>'TUSD BE'!$L$25*'TUSD BE'!$L$58</f>
        <v>0</v>
      </c>
      <c r="M25" s="25">
        <f>'TUSD BE'!$M$25*'TUSD BE'!$M$58</f>
        <v>-8.5069361706406763E-2</v>
      </c>
      <c r="N25" s="25">
        <f ca="1">'TUSD BE'!$N$25*'TUSD BE'!$N$58</f>
        <v>0</v>
      </c>
      <c r="O25" s="25">
        <f>'TUSD BE'!$O$25*'TUSD BE'!$O$58</f>
        <v>0</v>
      </c>
      <c r="P25" s="25">
        <f>'TUSD BE'!$P$25*'TUSD BE'!$P$58</f>
        <v>0</v>
      </c>
      <c r="Q25" s="25">
        <f>'TUSD BE'!$Q$25*'TUSD BE'!$Q$58</f>
        <v>-0.33709659390910035</v>
      </c>
      <c r="R25" s="25">
        <f>'TUSD BE'!$R$25*'TUSD BE'!$R$58</f>
        <v>-0.14627084762213108</v>
      </c>
      <c r="S25" s="25">
        <f>'TUSD BE'!$R$25*'TUSD BE'!$S$58</f>
        <v>0</v>
      </c>
      <c r="T25" s="25">
        <f ca="1">SUM($L$25:$S$25)</f>
        <v>-0.56843680323763823</v>
      </c>
      <c r="U25" s="25">
        <f>'TUSD BE'!$U$25*'TUSD BE'!$U$58</f>
        <v>0</v>
      </c>
      <c r="V25" s="25">
        <f>'TUSD BE'!$V$25*'TUSD BE'!$V$58</f>
        <v>0</v>
      </c>
      <c r="W25" s="25">
        <f>'TUSD BE'!$W$25*'TUSD BE'!$W$58</f>
        <v>0</v>
      </c>
      <c r="X25" s="25">
        <f>'TUSD BE'!$X$25*'TUSD BE'!$X$58</f>
        <v>0</v>
      </c>
      <c r="Y25" s="25">
        <f>'TUSD BE'!$Y$25*'TUSD BE'!$Y$58</f>
        <v>5.0412647432104087</v>
      </c>
      <c r="Z25" s="25">
        <f>'TUSD BE'!$Z$25*'TUSD BE'!$Z$58</f>
        <v>0</v>
      </c>
      <c r="AA25" s="25">
        <f>'TUSD BE'!$AA$25*'TUSD BE'!$AA$58</f>
        <v>0</v>
      </c>
      <c r="AB25" s="25">
        <f>SUM($U$25:$AA$25)</f>
        <v>5.0412647432104087</v>
      </c>
      <c r="AC25" s="25">
        <f>'TUSD BE'!$AC$25*'TUSD BE'!$AC$58</f>
        <v>-99.796798925611782</v>
      </c>
      <c r="AD25" s="25">
        <f>SUM($AC$25:$AC$25)</f>
        <v>-99.796798925611782</v>
      </c>
      <c r="AE25" s="25">
        <f ca="1">$AO$25*$AO$55</f>
        <v>-0.9065728576646378</v>
      </c>
      <c r="AF25" s="25">
        <f ca="1">$AP$25*$AP$55</f>
        <v>0</v>
      </c>
      <c r="AG25" s="25">
        <f ca="1">SUM($AE$25:$AF$25)</f>
        <v>-0.9065728576646378</v>
      </c>
      <c r="AH25" s="25">
        <f>'TUSD BE'!$AH$25*'TUSD BE'!$AH$58</f>
        <v>-1.8948665405653644</v>
      </c>
      <c r="AI25" s="25">
        <f>'TUSD BE'!$AI$25*'TUSD BE'!$AI$58</f>
        <v>0</v>
      </c>
      <c r="AJ25" s="25">
        <f ca="1">'TUSD BE'!$AJ$25*'TUSD BE'!$AJ$58</f>
        <v>0</v>
      </c>
      <c r="AK25" s="25">
        <f ca="1">'TUSD BE'!$AK$25*'TUSD BE'!$AK$58</f>
        <v>0</v>
      </c>
      <c r="AL25" s="25">
        <f ca="1">SUM($AH$25:$AK$25)</f>
        <v>-1.8948665405653644</v>
      </c>
      <c r="AM25" s="25">
        <f ca="1">SUMIF($L$4:$AL$4,"SUBTOTAL",$L$25:$AL$25)</f>
        <v>-98.12541038386901</v>
      </c>
      <c r="AO25" s="30">
        <f ca="1">+'TUSD BE'!$T$25+'TUSD BE'!$AB$25+'TUSD BE'!$AD$25+'TUSD BE'!$AL$25</f>
        <v>756.07480965419325</v>
      </c>
      <c r="AP25" s="30">
        <f ca="1">+'TUSD BE'!$T$25+'TUSD BE'!$AB$25+'TUSD BE'!$AD$25+'TUSD BE'!$AL$25</f>
        <v>756.07480965419325</v>
      </c>
    </row>
    <row r="26" spans="1:42" ht="11.25" customHeight="1" x14ac:dyDescent="0.25">
      <c r="A26" s="132"/>
      <c r="B26" s="132"/>
      <c r="C26" s="132"/>
      <c r="D26" s="28" t="s">
        <v>28</v>
      </c>
      <c r="E26" s="28" t="s">
        <v>25</v>
      </c>
      <c r="F26" s="28" t="s">
        <v>25</v>
      </c>
      <c r="G26" s="21" t="s">
        <v>73</v>
      </c>
      <c r="H26" s="21" t="s">
        <v>69</v>
      </c>
      <c r="I26" s="21">
        <f>'MERCADO TUSD'!$U$23</f>
        <v>0</v>
      </c>
      <c r="J26" s="17"/>
      <c r="L26" s="25">
        <f>'TUSD BE'!$L$26*'TUSD BE'!$L$58</f>
        <v>0</v>
      </c>
      <c r="M26" s="25">
        <f>'TUSD BE'!$M$26*'TUSD BE'!$M$58</f>
        <v>-8.5069361706406763E-2</v>
      </c>
      <c r="N26" s="25">
        <f ca="1">'TUSD BE'!$N$26*'TUSD BE'!$N$58</f>
        <v>0</v>
      </c>
      <c r="O26" s="25">
        <f>'TUSD BE'!$O$26*'TUSD BE'!$O$58</f>
        <v>0</v>
      </c>
      <c r="P26" s="25">
        <f>'TUSD BE'!$P$26*'TUSD BE'!$P$58</f>
        <v>0</v>
      </c>
      <c r="Q26" s="25">
        <f>'TUSD BE'!$Q$26*'TUSD BE'!$Q$58</f>
        <v>0</v>
      </c>
      <c r="R26" s="25">
        <f>'TUSD BE'!$R$26*'TUSD BE'!$R$58</f>
        <v>0</v>
      </c>
      <c r="S26" s="25">
        <f>'TUSD BE'!$R$26*'TUSD BE'!$S$58</f>
        <v>0</v>
      </c>
      <c r="T26" s="25">
        <f ca="1">SUM($L$26:$S$26)</f>
        <v>-8.5069361706406763E-2</v>
      </c>
      <c r="U26" s="25">
        <f>'TUSD BE'!$U$26*'TUSD BE'!$U$58</f>
        <v>0</v>
      </c>
      <c r="V26" s="25">
        <f>'TUSD BE'!$V$26*'TUSD BE'!$V$58</f>
        <v>0</v>
      </c>
      <c r="W26" s="25">
        <f>'TUSD BE'!$W$26*'TUSD BE'!$W$58</f>
        <v>0</v>
      </c>
      <c r="X26" s="25">
        <f>'TUSD BE'!$X$26*'TUSD BE'!$X$58</f>
        <v>0</v>
      </c>
      <c r="Y26" s="25">
        <f>'TUSD BE'!$Y$26*'TUSD BE'!$Y$58</f>
        <v>5.0412647432104087</v>
      </c>
      <c r="Z26" s="25">
        <f>'TUSD BE'!$Z$26*'TUSD BE'!$Z$58</f>
        <v>0</v>
      </c>
      <c r="AA26" s="25">
        <f>'TUSD BE'!$AA$26*'TUSD BE'!$AA$58</f>
        <v>0</v>
      </c>
      <c r="AB26" s="25">
        <f>SUM($U$26:$AA$26)</f>
        <v>5.0412647432104087</v>
      </c>
      <c r="AC26" s="25">
        <f>'TUSD BE'!$AC$26*'TUSD BE'!$AC$58</f>
        <v>-99.796798925611782</v>
      </c>
      <c r="AD26" s="25">
        <f>SUM($AC$26:$AC$26)</f>
        <v>-99.796798925611782</v>
      </c>
      <c r="AE26" s="25">
        <f ca="1">$AO$26*$AO$55</f>
        <v>-0.83911698038377491</v>
      </c>
      <c r="AF26" s="25">
        <f ca="1">$AP$26*$AP$55</f>
        <v>0</v>
      </c>
      <c r="AG26" s="25">
        <f ca="1">SUM($AE$26:$AF$26)</f>
        <v>-0.83911698038377491</v>
      </c>
      <c r="AH26" s="25">
        <f>'TUSD BE'!$AH$26*'TUSD BE'!$AH$58</f>
        <v>-1.8948665405653644</v>
      </c>
      <c r="AI26" s="25">
        <f>'TUSD BE'!$AI$26*'TUSD BE'!$AI$58</f>
        <v>0</v>
      </c>
      <c r="AJ26" s="25">
        <f ca="1">'TUSD BE'!$AJ$26*'TUSD BE'!$AJ$58</f>
        <v>0</v>
      </c>
      <c r="AK26" s="25">
        <f ca="1">'TUSD BE'!$AK$26*'TUSD BE'!$AK$58</f>
        <v>0</v>
      </c>
      <c r="AL26" s="25">
        <f ca="1">SUM($AH$26:$AK$26)</f>
        <v>-1.8948665405653644</v>
      </c>
      <c r="AM26" s="25">
        <f ca="1">SUMIF($L$4:$AL$4,"SUBTOTAL",$L$26:$AL$26)</f>
        <v>-97.574587065056917</v>
      </c>
      <c r="AO26" s="30">
        <f ca="1">+'TUSD BE'!$T$26+'TUSD BE'!$AB$26+'TUSD BE'!$AD$26+'TUSD BE'!$AL$26</f>
        <v>699.81712540522165</v>
      </c>
      <c r="AP26" s="30">
        <f ca="1">+'TUSD BE'!$T$26+'TUSD BE'!$AB$26+'TUSD BE'!$AD$26+'TUSD BE'!$AL$26</f>
        <v>699.81712540522165</v>
      </c>
    </row>
    <row r="27" spans="1:42" ht="11.25" customHeight="1" x14ac:dyDescent="0.25">
      <c r="A27" s="132"/>
      <c r="B27" s="132"/>
      <c r="C27" s="132"/>
      <c r="D27" s="28" t="s">
        <v>29</v>
      </c>
      <c r="E27" s="28" t="s">
        <v>25</v>
      </c>
      <c r="F27" s="28" t="s">
        <v>25</v>
      </c>
      <c r="G27" s="21" t="s">
        <v>73</v>
      </c>
      <c r="H27" s="21" t="s">
        <v>69</v>
      </c>
      <c r="I27" s="21">
        <f>'MERCADO TUSD'!$U$24</f>
        <v>0</v>
      </c>
      <c r="J27" s="17"/>
      <c r="L27" s="25">
        <f>'TUSD BE'!$L$27*'TUSD BE'!$L$58</f>
        <v>0</v>
      </c>
      <c r="M27" s="25">
        <f>'TUSD BE'!$M$27*'TUSD BE'!$M$58</f>
        <v>-8.5069361706406763E-2</v>
      </c>
      <c r="N27" s="25">
        <f ca="1">'TUSD BE'!$N$27*'TUSD BE'!$N$58</f>
        <v>0</v>
      </c>
      <c r="O27" s="25">
        <f>'TUSD BE'!$O$27*'TUSD BE'!$O$58</f>
        <v>0</v>
      </c>
      <c r="P27" s="25">
        <f>'TUSD BE'!$P$27*'TUSD BE'!$P$58</f>
        <v>0</v>
      </c>
      <c r="Q27" s="25">
        <f>'TUSD BE'!$Q$27*'TUSD BE'!$Q$58</f>
        <v>0</v>
      </c>
      <c r="R27" s="25">
        <f>'TUSD BE'!$R$27*'TUSD BE'!$R$58</f>
        <v>0</v>
      </c>
      <c r="S27" s="25">
        <f>'TUSD BE'!$R$27*'TUSD BE'!$S$58</f>
        <v>0</v>
      </c>
      <c r="T27" s="25">
        <f ca="1">SUM($L$27:$S$27)</f>
        <v>-8.5069361706406763E-2</v>
      </c>
      <c r="U27" s="25">
        <f>'TUSD BE'!$U$27*'TUSD BE'!$U$58</f>
        <v>0</v>
      </c>
      <c r="V27" s="25">
        <f>'TUSD BE'!$V$27*'TUSD BE'!$V$58</f>
        <v>0</v>
      </c>
      <c r="W27" s="25">
        <f>'TUSD BE'!$W$27*'TUSD BE'!$W$58</f>
        <v>0</v>
      </c>
      <c r="X27" s="25">
        <f>'TUSD BE'!$X$27*'TUSD BE'!$X$58</f>
        <v>0</v>
      </c>
      <c r="Y27" s="25">
        <f>'TUSD BE'!$Y$27*'TUSD BE'!$Y$58</f>
        <v>5.0412647432104087</v>
      </c>
      <c r="Z27" s="25">
        <f>'TUSD BE'!$Z$27*'TUSD BE'!$Z$58</f>
        <v>0</v>
      </c>
      <c r="AA27" s="25">
        <f>'TUSD BE'!$AA$27*'TUSD BE'!$AA$58</f>
        <v>0</v>
      </c>
      <c r="AB27" s="25">
        <f>SUM($U$27:$AA$27)</f>
        <v>5.0412647432104087</v>
      </c>
      <c r="AC27" s="25">
        <f>'TUSD BE'!$AC$27*'TUSD BE'!$AC$58</f>
        <v>-99.796798925611782</v>
      </c>
      <c r="AD27" s="25">
        <f>SUM($AC$27:$AC$27)</f>
        <v>-99.796798925611782</v>
      </c>
      <c r="AE27" s="25">
        <f ca="1">$AO$27*$AO$55</f>
        <v>-0.83911698038377491</v>
      </c>
      <c r="AF27" s="25">
        <f ca="1">$AP$27*$AP$55</f>
        <v>0</v>
      </c>
      <c r="AG27" s="25">
        <f ca="1">SUM($AE$27:$AF$27)</f>
        <v>-0.83911698038377491</v>
      </c>
      <c r="AH27" s="25">
        <f>'TUSD BE'!$AH$27*'TUSD BE'!$AH$58</f>
        <v>-1.8948665405653644</v>
      </c>
      <c r="AI27" s="25">
        <f>'TUSD BE'!$AI$27*'TUSD BE'!$AI$58</f>
        <v>0</v>
      </c>
      <c r="AJ27" s="25">
        <f ca="1">'TUSD BE'!$AJ$27*'TUSD BE'!$AJ$58</f>
        <v>0</v>
      </c>
      <c r="AK27" s="25">
        <f ca="1">'TUSD BE'!$AK$27*'TUSD BE'!$AK$58</f>
        <v>0</v>
      </c>
      <c r="AL27" s="25">
        <f ca="1">SUM($AH$27:$AK$27)</f>
        <v>-1.8948665405653644</v>
      </c>
      <c r="AM27" s="25">
        <f ca="1">SUMIF($L$4:$AL$4,"SUBTOTAL",$L$27:$AL$27)</f>
        <v>-97.574587065056917</v>
      </c>
      <c r="AO27" s="30">
        <f ca="1">+'TUSD BE'!$T$27+'TUSD BE'!$AB$27+'TUSD BE'!$AD$27+'TUSD BE'!$AL$27</f>
        <v>699.81712540522165</v>
      </c>
      <c r="AP27" s="30">
        <f ca="1">+'TUSD BE'!$T$27+'TUSD BE'!$AB$27+'TUSD BE'!$AD$27+'TUSD BE'!$AL$27</f>
        <v>699.81712540522165</v>
      </c>
    </row>
    <row r="28" spans="1:42" ht="11.25" customHeight="1" x14ac:dyDescent="0.25">
      <c r="A28" s="132"/>
      <c r="B28" s="132"/>
      <c r="C28" s="132"/>
      <c r="D28" s="28" t="s">
        <v>30</v>
      </c>
      <c r="E28" s="28" t="s">
        <v>25</v>
      </c>
      <c r="F28" s="28" t="s">
        <v>25</v>
      </c>
      <c r="G28" s="21" t="s">
        <v>73</v>
      </c>
      <c r="H28" s="21" t="s">
        <v>69</v>
      </c>
      <c r="I28" s="21">
        <f>'MERCADO TUSD'!$U$25</f>
        <v>0</v>
      </c>
      <c r="J28" s="17"/>
      <c r="L28" s="25">
        <f>'TUSD BE'!$L$28*'TUSD BE'!$L$58</f>
        <v>0</v>
      </c>
      <c r="M28" s="25">
        <f>'TUSD BE'!$M$28*'TUSD BE'!$M$58</f>
        <v>-8.5069361706406763E-2</v>
      </c>
      <c r="N28" s="25">
        <f ca="1">'TUSD BE'!$N$28*'TUSD BE'!$N$58</f>
        <v>0</v>
      </c>
      <c r="O28" s="25">
        <f>'TUSD BE'!$O$28*'TUSD BE'!$O$58</f>
        <v>0</v>
      </c>
      <c r="P28" s="25">
        <f>'TUSD BE'!$P$28*'TUSD BE'!$P$58</f>
        <v>0</v>
      </c>
      <c r="Q28" s="25">
        <f>'TUSD BE'!$Q$28*'TUSD BE'!$Q$58</f>
        <v>0</v>
      </c>
      <c r="R28" s="25">
        <f>'TUSD BE'!$R$28*'TUSD BE'!$R$58</f>
        <v>0</v>
      </c>
      <c r="S28" s="25">
        <f>'TUSD BE'!$R$28*'TUSD BE'!$S$58</f>
        <v>0</v>
      </c>
      <c r="T28" s="25">
        <f ca="1">SUM($L$28:$S$28)</f>
        <v>-8.5069361706406763E-2</v>
      </c>
      <c r="U28" s="25">
        <f>'TUSD BE'!$U$28*'TUSD BE'!$U$58</f>
        <v>0</v>
      </c>
      <c r="V28" s="25">
        <f>'TUSD BE'!$V$28*'TUSD BE'!$V$58</f>
        <v>0</v>
      </c>
      <c r="W28" s="25">
        <f>'TUSD BE'!$W$28*'TUSD BE'!$W$58</f>
        <v>0</v>
      </c>
      <c r="X28" s="25">
        <f>'TUSD BE'!$X$28*'TUSD BE'!$X$58</f>
        <v>0</v>
      </c>
      <c r="Y28" s="25">
        <f>'TUSD BE'!$Y$28*'TUSD BE'!$Y$58</f>
        <v>5.0412647432104087</v>
      </c>
      <c r="Z28" s="25">
        <f>'TUSD BE'!$Z$28*'TUSD BE'!$Z$58</f>
        <v>0</v>
      </c>
      <c r="AA28" s="25">
        <f>'TUSD BE'!$AA$28*'TUSD BE'!$AA$58</f>
        <v>0</v>
      </c>
      <c r="AB28" s="25">
        <f>SUM($U$28:$AA$28)</f>
        <v>5.0412647432104087</v>
      </c>
      <c r="AC28" s="25">
        <f>'TUSD BE'!$AC$28*'TUSD BE'!$AC$58</f>
        <v>-99.796798925611782</v>
      </c>
      <c r="AD28" s="25">
        <f>SUM($AC$28:$AC$28)</f>
        <v>-99.796798925611782</v>
      </c>
      <c r="AE28" s="25">
        <f ca="1">$AO$28*$AO$55</f>
        <v>-0.83911698038377491</v>
      </c>
      <c r="AF28" s="25">
        <f ca="1">$AP$28*$AP$55</f>
        <v>0</v>
      </c>
      <c r="AG28" s="25">
        <f ca="1">SUM($AE$28:$AF$28)</f>
        <v>-0.83911698038377491</v>
      </c>
      <c r="AH28" s="25">
        <f>'TUSD BE'!$AH$28*'TUSD BE'!$AH$58</f>
        <v>-1.8948665405653644</v>
      </c>
      <c r="AI28" s="25">
        <f>'TUSD BE'!$AI$28*'TUSD BE'!$AI$58</f>
        <v>0</v>
      </c>
      <c r="AJ28" s="25">
        <f ca="1">'TUSD BE'!$AJ$28*'TUSD BE'!$AJ$58</f>
        <v>0</v>
      </c>
      <c r="AK28" s="25">
        <f ca="1">'TUSD BE'!$AK$28*'TUSD BE'!$AK$58</f>
        <v>0</v>
      </c>
      <c r="AL28" s="25">
        <f ca="1">SUM($AH$28:$AK$28)</f>
        <v>-1.8948665405653644</v>
      </c>
      <c r="AM28" s="25">
        <f ca="1">SUMIF($L$4:$AL$4,"SUBTOTAL",$L$28:$AL$28)</f>
        <v>-97.574587065056917</v>
      </c>
      <c r="AO28" s="30">
        <f ca="1">+'TUSD BE'!$T$28+'TUSD BE'!$AB$28+'TUSD BE'!$AD$28+'TUSD BE'!$AL$28</f>
        <v>699.81712540522165</v>
      </c>
      <c r="AP28" s="30">
        <f ca="1">+'TUSD BE'!$T$28+'TUSD BE'!$AB$28+'TUSD BE'!$AD$28+'TUSD BE'!$AL$28</f>
        <v>699.81712540522165</v>
      </c>
    </row>
    <row r="29" spans="1:42" ht="11.25" customHeight="1" x14ac:dyDescent="0.25">
      <c r="A29" s="132"/>
      <c r="B29" s="132"/>
      <c r="C29" s="132"/>
      <c r="D29" s="28" t="s">
        <v>31</v>
      </c>
      <c r="E29" s="28" t="s">
        <v>25</v>
      </c>
      <c r="F29" s="28" t="s">
        <v>25</v>
      </c>
      <c r="G29" s="21" t="s">
        <v>73</v>
      </c>
      <c r="H29" s="21" t="s">
        <v>69</v>
      </c>
      <c r="I29" s="21">
        <f>'MERCADO TUSD'!$U$26</f>
        <v>0</v>
      </c>
      <c r="J29" s="17"/>
      <c r="L29" s="25">
        <f>'TUSD BE'!$L$29*'TUSD BE'!$L$58</f>
        <v>0</v>
      </c>
      <c r="M29" s="25">
        <f>'TUSD BE'!$M$29*'TUSD BE'!$M$58</f>
        <v>-8.5069361706406763E-2</v>
      </c>
      <c r="N29" s="25">
        <f ca="1">'TUSD BE'!$N$29*'TUSD BE'!$N$58</f>
        <v>0</v>
      </c>
      <c r="O29" s="25">
        <f>'TUSD BE'!$O$29*'TUSD BE'!$O$58</f>
        <v>0</v>
      </c>
      <c r="P29" s="25">
        <f>'TUSD BE'!$P$29*'TUSD BE'!$P$58</f>
        <v>0</v>
      </c>
      <c r="Q29" s="25">
        <f>'TUSD BE'!$Q$29*'TUSD BE'!$Q$58</f>
        <v>0</v>
      </c>
      <c r="R29" s="25">
        <f>'TUSD BE'!$R$29*'TUSD BE'!$R$58</f>
        <v>0</v>
      </c>
      <c r="S29" s="25">
        <f>'TUSD BE'!$R$29*'TUSD BE'!$S$58</f>
        <v>0</v>
      </c>
      <c r="T29" s="25">
        <f ca="1">SUM($L$29:$S$29)</f>
        <v>-8.5069361706406763E-2</v>
      </c>
      <c r="U29" s="25">
        <f>'TUSD BE'!$U$29*'TUSD BE'!$U$58</f>
        <v>0</v>
      </c>
      <c r="V29" s="25">
        <f>'TUSD BE'!$V$29*'TUSD BE'!$V$58</f>
        <v>0</v>
      </c>
      <c r="W29" s="25">
        <f>'TUSD BE'!$W$29*'TUSD BE'!$W$58</f>
        <v>0</v>
      </c>
      <c r="X29" s="25">
        <f>'TUSD BE'!$X$29*'TUSD BE'!$X$58</f>
        <v>0</v>
      </c>
      <c r="Y29" s="25">
        <f>'TUSD BE'!$Y$29*'TUSD BE'!$Y$58</f>
        <v>5.0412647432104087</v>
      </c>
      <c r="Z29" s="25">
        <f>'TUSD BE'!$Z$29*'TUSD BE'!$Z$58</f>
        <v>0</v>
      </c>
      <c r="AA29" s="25">
        <f>'TUSD BE'!$AA$29*'TUSD BE'!$AA$58</f>
        <v>0</v>
      </c>
      <c r="AB29" s="25">
        <f>SUM($U$29:$AA$29)</f>
        <v>5.0412647432104087</v>
      </c>
      <c r="AC29" s="25">
        <f>'TUSD BE'!$AC$29*'TUSD BE'!$AC$58</f>
        <v>-99.796798925611782</v>
      </c>
      <c r="AD29" s="25">
        <f>SUM($AC$29:$AC$29)</f>
        <v>-99.796798925611782</v>
      </c>
      <c r="AE29" s="25">
        <f ca="1">$AO$29*$AO$55</f>
        <v>-0.83911698038377491</v>
      </c>
      <c r="AF29" s="25">
        <f ca="1">$AP$29*$AP$55</f>
        <v>0</v>
      </c>
      <c r="AG29" s="25">
        <f ca="1">SUM($AE$29:$AF$29)</f>
        <v>-0.83911698038377491</v>
      </c>
      <c r="AH29" s="25">
        <f>'TUSD BE'!$AH$29*'TUSD BE'!$AH$58</f>
        <v>-1.8948665405653644</v>
      </c>
      <c r="AI29" s="25">
        <f>'TUSD BE'!$AI$29*'TUSD BE'!$AI$58</f>
        <v>0</v>
      </c>
      <c r="AJ29" s="25">
        <f ca="1">'TUSD BE'!$AJ$29*'TUSD BE'!$AJ$58</f>
        <v>0</v>
      </c>
      <c r="AK29" s="25">
        <f ca="1">'TUSD BE'!$AK$29*'TUSD BE'!$AK$58</f>
        <v>0</v>
      </c>
      <c r="AL29" s="25">
        <f ca="1">SUM($AH$29:$AK$29)</f>
        <v>-1.8948665405653644</v>
      </c>
      <c r="AM29" s="25">
        <f ca="1">SUMIF($L$4:$AL$4,"SUBTOTAL",$L$29:$AL$29)</f>
        <v>-97.574587065056917</v>
      </c>
      <c r="AO29" s="30">
        <f ca="1">+'TUSD BE'!$T$29+'TUSD BE'!$AB$29+'TUSD BE'!$AD$29+'TUSD BE'!$AL$29</f>
        <v>699.81712540522165</v>
      </c>
      <c r="AP29" s="30">
        <f ca="1">+'TUSD BE'!$T$29+'TUSD BE'!$AB$29+'TUSD BE'!$AD$29+'TUSD BE'!$AL$29</f>
        <v>699.81712540522165</v>
      </c>
    </row>
    <row r="30" spans="1:42" ht="11.25" customHeight="1" x14ac:dyDescent="0.25">
      <c r="A30" s="132" t="s">
        <v>41</v>
      </c>
      <c r="B30" s="132" t="s">
        <v>39</v>
      </c>
      <c r="C30" s="132" t="s">
        <v>42</v>
      </c>
      <c r="D30" s="132" t="s">
        <v>25</v>
      </c>
      <c r="E30" s="132" t="s">
        <v>25</v>
      </c>
      <c r="F30" s="132" t="s">
        <v>25</v>
      </c>
      <c r="G30" s="21" t="s">
        <v>70</v>
      </c>
      <c r="H30" s="21" t="s">
        <v>69</v>
      </c>
      <c r="I30" s="21">
        <f>'MERCADO TUSD'!$U$27</f>
        <v>0.34100000000000003</v>
      </c>
      <c r="J30" s="17"/>
      <c r="L30" s="25">
        <f>'TUSD BE'!$L$30*'TUSD BE'!$L$58</f>
        <v>0</v>
      </c>
      <c r="M30" s="25">
        <f>'TUSD BE'!$M$30*'TUSD BE'!$M$58</f>
        <v>-8.5069361706406763E-2</v>
      </c>
      <c r="N30" s="25">
        <f ca="1">'TUSD BE'!$N$30*'TUSD BE'!$N$58</f>
        <v>0</v>
      </c>
      <c r="O30" s="25">
        <f>'TUSD BE'!$O$30*'TUSD BE'!$O$58</f>
        <v>0</v>
      </c>
      <c r="P30" s="25">
        <f>'TUSD BE'!$P$30*'TUSD BE'!$P$58</f>
        <v>0</v>
      </c>
      <c r="Q30" s="25">
        <f>'TUSD BE'!$Q$30*'TUSD BE'!$Q$58</f>
        <v>-0.33709659390910035</v>
      </c>
      <c r="R30" s="25">
        <f>'TUSD BE'!$R$30*'TUSD BE'!$R$58</f>
        <v>-0.14627084762213108</v>
      </c>
      <c r="S30" s="25">
        <f>'TUSD BE'!$R$30*'TUSD BE'!$S$58</f>
        <v>0</v>
      </c>
      <c r="T30" s="25">
        <f ca="1">SUM($L$30:$S$30)</f>
        <v>-0.56843680323763823</v>
      </c>
      <c r="U30" s="25">
        <f>'TUSD BE'!$U$30*'TUSD BE'!$U$58</f>
        <v>0</v>
      </c>
      <c r="V30" s="25">
        <f>'TUSD BE'!$V$30*'TUSD BE'!$V$58</f>
        <v>0</v>
      </c>
      <c r="W30" s="25">
        <f>'TUSD BE'!$W$30*'TUSD BE'!$W$58</f>
        <v>0</v>
      </c>
      <c r="X30" s="25">
        <f>'TUSD BE'!$X$30*'TUSD BE'!$X$58</f>
        <v>0</v>
      </c>
      <c r="Y30" s="25">
        <f>'TUSD BE'!$Y$30*'TUSD BE'!$Y$58</f>
        <v>13.442612660270399</v>
      </c>
      <c r="Z30" s="25">
        <f>'TUSD BE'!$Z$30*'TUSD BE'!$Z$58</f>
        <v>0</v>
      </c>
      <c r="AA30" s="25">
        <f>'TUSD BE'!$AA$30*'TUSD BE'!$AA$58</f>
        <v>0</v>
      </c>
      <c r="AB30" s="25">
        <f>SUM($U$30:$AA$30)</f>
        <v>13.442612660270399</v>
      </c>
      <c r="AC30" s="25">
        <f>'TUSD BE'!$AC$30*'TUSD BE'!$AC$58</f>
        <v>-266.10878246958754</v>
      </c>
      <c r="AD30" s="25">
        <f>SUM($AC$30:$AC$30)</f>
        <v>-266.10878246958754</v>
      </c>
      <c r="AE30" s="25">
        <f ca="1">$AO$30*$AO$55</f>
        <v>-2.2220184178477842</v>
      </c>
      <c r="AF30" s="25">
        <f ca="1">$AP$30*$AP$55</f>
        <v>0</v>
      </c>
      <c r="AG30" s="25">
        <f ca="1">SUM($AE$30:$AF$30)</f>
        <v>-2.2220184178477842</v>
      </c>
      <c r="AH30" s="25">
        <f>'TUSD BE'!$AH$30*'TUSD BE'!$AH$58</f>
        <v>-1.8948665405653644</v>
      </c>
      <c r="AI30" s="25">
        <f>'TUSD BE'!$AI$30*'TUSD BE'!$AI$58</f>
        <v>0</v>
      </c>
      <c r="AJ30" s="25">
        <f ca="1">'TUSD BE'!$AJ$30*'TUSD BE'!$AJ$58</f>
        <v>0</v>
      </c>
      <c r="AK30" s="25">
        <f ca="1">'TUSD BE'!$AK$30*'TUSD BE'!$AK$58</f>
        <v>0</v>
      </c>
      <c r="AL30" s="25">
        <f ca="1">SUM($AH$30:$AK$30)</f>
        <v>-1.8948665405653644</v>
      </c>
      <c r="AM30" s="25">
        <f ca="1">SUMIF($L$4:$AL$4,"SUBTOTAL",$L$30:$AL$30)</f>
        <v>-257.35149157096794</v>
      </c>
      <c r="AO30" s="30">
        <f ca="1">+'TUSD BE'!$T$30+'TUSD BE'!$AB$30+'TUSD BE'!$AD$30+'TUSD BE'!$AL$30</f>
        <v>1853.1463170540346</v>
      </c>
      <c r="AP30" s="30">
        <f ca="1">+'TUSD BE'!$T$30+'TUSD BE'!$AB$30+'TUSD BE'!$AD$30+'TUSD BE'!$AL$30</f>
        <v>1853.1463170540346</v>
      </c>
    </row>
    <row r="31" spans="1:42" ht="11.25" customHeight="1" x14ac:dyDescent="0.25">
      <c r="A31" s="132"/>
      <c r="B31" s="132"/>
      <c r="C31" s="132"/>
      <c r="D31" s="132"/>
      <c r="E31" s="132"/>
      <c r="F31" s="132"/>
      <c r="G31" s="21" t="s">
        <v>83</v>
      </c>
      <c r="H31" s="21" t="s">
        <v>69</v>
      </c>
      <c r="I31" s="21">
        <f>'MERCADO TUSD'!$U$28</f>
        <v>0.55500000000000005</v>
      </c>
      <c r="J31" s="17"/>
      <c r="L31" s="25">
        <f>'TUSD BE'!$L$31*'TUSD BE'!$L$58</f>
        <v>0</v>
      </c>
      <c r="M31" s="25">
        <f>'TUSD BE'!$M$31*'TUSD BE'!$M$58</f>
        <v>-8.5069361706406763E-2</v>
      </c>
      <c r="N31" s="25">
        <f ca="1">'TUSD BE'!$N$31*'TUSD BE'!$N$58</f>
        <v>0</v>
      </c>
      <c r="O31" s="25">
        <f>'TUSD BE'!$O$31*'TUSD BE'!$O$58</f>
        <v>0</v>
      </c>
      <c r="P31" s="25">
        <f>'TUSD BE'!$P$31*'TUSD BE'!$P$58</f>
        <v>0</v>
      </c>
      <c r="Q31" s="25">
        <f>'TUSD BE'!$Q$31*'TUSD BE'!$Q$58</f>
        <v>-0.33709659390910035</v>
      </c>
      <c r="R31" s="25">
        <f>'TUSD BE'!$R$31*'TUSD BE'!$R$58</f>
        <v>-0.14627084762213108</v>
      </c>
      <c r="S31" s="25">
        <f>'TUSD BE'!$R$31*'TUSD BE'!$S$58</f>
        <v>0</v>
      </c>
      <c r="T31" s="25">
        <f ca="1">SUM($L$31:$S$31)</f>
        <v>-0.56843680323763823</v>
      </c>
      <c r="U31" s="25">
        <f>'TUSD BE'!$U$31*'TUSD BE'!$U$58</f>
        <v>0</v>
      </c>
      <c r="V31" s="25">
        <f>'TUSD BE'!$V$31*'TUSD BE'!$V$58</f>
        <v>0</v>
      </c>
      <c r="W31" s="25">
        <f>'TUSD BE'!$W$31*'TUSD BE'!$W$58</f>
        <v>0</v>
      </c>
      <c r="X31" s="25">
        <f>'TUSD BE'!$X$31*'TUSD BE'!$X$58</f>
        <v>0</v>
      </c>
      <c r="Y31" s="25">
        <f>'TUSD BE'!$Y$31*'TUSD BE'!$Y$58</f>
        <v>8.0656037314545515</v>
      </c>
      <c r="Z31" s="25">
        <f>'TUSD BE'!$Z$31*'TUSD BE'!$Z$58</f>
        <v>0</v>
      </c>
      <c r="AA31" s="25">
        <f>'TUSD BE'!$AA$31*'TUSD BE'!$AA$58</f>
        <v>0</v>
      </c>
      <c r="AB31" s="25">
        <f>SUM($U$31:$AA$31)</f>
        <v>8.0656037314545515</v>
      </c>
      <c r="AC31" s="25">
        <f>'TUSD BE'!$AC$31*'TUSD BE'!$AC$58</f>
        <v>-159.66521593727859</v>
      </c>
      <c r="AD31" s="25">
        <f>SUM($AC$31:$AC$31)</f>
        <v>-159.66521593727859</v>
      </c>
      <c r="AE31" s="25">
        <f ca="1">$AO$31*$AO$55</f>
        <v>-1.3801040907116302</v>
      </c>
      <c r="AF31" s="25">
        <f ca="1">$AP$31*$AP$55</f>
        <v>0</v>
      </c>
      <c r="AG31" s="25">
        <f ca="1">SUM($AE$31:$AF$31)</f>
        <v>-1.3801040907116302</v>
      </c>
      <c r="AH31" s="25">
        <f>'TUSD BE'!$AH$31*'TUSD BE'!$AH$58</f>
        <v>-1.8948665405653644</v>
      </c>
      <c r="AI31" s="25">
        <f>'TUSD BE'!$AI$31*'TUSD BE'!$AI$58</f>
        <v>0</v>
      </c>
      <c r="AJ31" s="25">
        <f ca="1">'TUSD BE'!$AJ$31*'TUSD BE'!$AJ$58</f>
        <v>0</v>
      </c>
      <c r="AK31" s="25">
        <f ca="1">'TUSD BE'!$AK$31*'TUSD BE'!$AK$58</f>
        <v>0</v>
      </c>
      <c r="AL31" s="25">
        <f ca="1">SUM($AH$31:$AK$31)</f>
        <v>-1.8948665405653644</v>
      </c>
      <c r="AM31" s="25">
        <f ca="1">SUMIF($L$4:$AL$4,"SUBTOTAL",$L$31:$AL$31)</f>
        <v>-155.44301964033869</v>
      </c>
      <c r="AO31" s="30">
        <f ca="1">+'TUSD BE'!$T$31+'TUSD BE'!$AB$31+'TUSD BE'!$AD$31+'TUSD BE'!$AL$31</f>
        <v>1150.9962259136705</v>
      </c>
      <c r="AP31" s="30">
        <f ca="1">+'TUSD BE'!$T$31+'TUSD BE'!$AB$31+'TUSD BE'!$AD$31+'TUSD BE'!$AL$31</f>
        <v>1150.9962259136705</v>
      </c>
    </row>
    <row r="32" spans="1:42" ht="11.25" customHeight="1" x14ac:dyDescent="0.25">
      <c r="A32" s="132"/>
      <c r="B32" s="132"/>
      <c r="C32" s="132"/>
      <c r="D32" s="132"/>
      <c r="E32" s="132"/>
      <c r="F32" s="132"/>
      <c r="G32" s="21" t="s">
        <v>71</v>
      </c>
      <c r="H32" s="21" t="s">
        <v>69</v>
      </c>
      <c r="I32" s="21">
        <f>'MERCADO TUSD'!$U$29</f>
        <v>16.565999999999999</v>
      </c>
      <c r="J32" s="17"/>
      <c r="L32" s="25">
        <f>'TUSD BE'!$L$32*'TUSD BE'!$L$58</f>
        <v>0</v>
      </c>
      <c r="M32" s="25">
        <f>'TUSD BE'!$M$32*'TUSD BE'!$M$58</f>
        <v>-8.5069361706406763E-2</v>
      </c>
      <c r="N32" s="25">
        <f ca="1">'TUSD BE'!$N$32*'TUSD BE'!$N$58</f>
        <v>0</v>
      </c>
      <c r="O32" s="25">
        <f>'TUSD BE'!$O$32*'TUSD BE'!$O$58</f>
        <v>0</v>
      </c>
      <c r="P32" s="25">
        <f>'TUSD BE'!$P$32*'TUSD BE'!$P$58</f>
        <v>0</v>
      </c>
      <c r="Q32" s="25">
        <f>'TUSD BE'!$Q$32*'TUSD BE'!$Q$58</f>
        <v>-0.33709659390910035</v>
      </c>
      <c r="R32" s="25">
        <f>'TUSD BE'!$R$32*'TUSD BE'!$R$58</f>
        <v>-0.14627084762213108</v>
      </c>
      <c r="S32" s="25">
        <f>'TUSD BE'!$R$32*'TUSD BE'!$S$58</f>
        <v>0</v>
      </c>
      <c r="T32" s="25">
        <f ca="1">SUM($L$32:$S$32)</f>
        <v>-0.56843680323763823</v>
      </c>
      <c r="U32" s="25">
        <f>'TUSD BE'!$U$32*'TUSD BE'!$U$58</f>
        <v>0</v>
      </c>
      <c r="V32" s="25">
        <f>'TUSD BE'!$V$32*'TUSD BE'!$V$58</f>
        <v>0</v>
      </c>
      <c r="W32" s="25">
        <f>'TUSD BE'!$W$32*'TUSD BE'!$W$58</f>
        <v>0</v>
      </c>
      <c r="X32" s="25">
        <f>'TUSD BE'!$X$32*'TUSD BE'!$X$58</f>
        <v>0</v>
      </c>
      <c r="Y32" s="25">
        <f>'TUSD BE'!$Y$32*'TUSD BE'!$Y$58</f>
        <v>2.6885991044592177</v>
      </c>
      <c r="Z32" s="25">
        <f>'TUSD BE'!$Z$32*'TUSD BE'!$Z$58</f>
        <v>0</v>
      </c>
      <c r="AA32" s="25">
        <f>'TUSD BE'!$AA$32*'TUSD BE'!$AA$58</f>
        <v>0</v>
      </c>
      <c r="AB32" s="25">
        <f>SUM($U$32:$AA$32)</f>
        <v>2.6885991044592177</v>
      </c>
      <c r="AC32" s="25">
        <f>'TUSD BE'!$AC$32*'TUSD BE'!$AC$58</f>
        <v>-53.221795435353073</v>
      </c>
      <c r="AD32" s="25">
        <f>SUM($AC$32:$AC$32)</f>
        <v>-53.221795435353073</v>
      </c>
      <c r="AE32" s="25">
        <f ca="1">$AO$32*$AO$55</f>
        <v>-0.53819081801542956</v>
      </c>
      <c r="AF32" s="25">
        <f ca="1">$AP$32*$AP$55</f>
        <v>0</v>
      </c>
      <c r="AG32" s="25">
        <f ca="1">SUM($AE$32:$AF$32)</f>
        <v>-0.53819081801542956</v>
      </c>
      <c r="AH32" s="25">
        <f>'TUSD BE'!$AH$32*'TUSD BE'!$AH$58</f>
        <v>-1.8948665405653644</v>
      </c>
      <c r="AI32" s="25">
        <f>'TUSD BE'!$AI$32*'TUSD BE'!$AI$58</f>
        <v>0</v>
      </c>
      <c r="AJ32" s="25">
        <f ca="1">'TUSD BE'!$AJ$32*'TUSD BE'!$AJ$58</f>
        <v>0</v>
      </c>
      <c r="AK32" s="25">
        <f ca="1">'TUSD BE'!$AK$32*'TUSD BE'!$AK$58</f>
        <v>0</v>
      </c>
      <c r="AL32" s="25">
        <f ca="1">SUM($AH$32:$AK$32)</f>
        <v>-1.8948665405653644</v>
      </c>
      <c r="AM32" s="25">
        <f ca="1">SUMIF($L$4:$AL$4,"SUBTOTAL",$L$32:$AL$32)</f>
        <v>-53.534690492712294</v>
      </c>
      <c r="AO32" s="30">
        <f ca="1">+'TUSD BE'!$T$32+'TUSD BE'!$AB$32+'TUSD BE'!$AD$32+'TUSD BE'!$AL$32</f>
        <v>448.84701416813954</v>
      </c>
      <c r="AP32" s="30">
        <f ca="1">+'TUSD BE'!$T$32+'TUSD BE'!$AB$32+'TUSD BE'!$AD$32+'TUSD BE'!$AL$32</f>
        <v>448.84701416813954</v>
      </c>
    </row>
    <row r="33" spans="1:42" ht="11.25" customHeight="1" x14ac:dyDescent="0.25">
      <c r="A33" s="132"/>
      <c r="B33" s="28" t="s">
        <v>23</v>
      </c>
      <c r="C33" s="28" t="s">
        <v>42</v>
      </c>
      <c r="D33" s="28" t="s">
        <v>25</v>
      </c>
      <c r="E33" s="28" t="s">
        <v>25</v>
      </c>
      <c r="F33" s="28" t="s">
        <v>25</v>
      </c>
      <c r="G33" s="21" t="s">
        <v>73</v>
      </c>
      <c r="H33" s="21" t="s">
        <v>69</v>
      </c>
      <c r="I33" s="21">
        <f>'MERCADO TUSD'!$U$30</f>
        <v>2549.6099999999997</v>
      </c>
      <c r="J33" s="17"/>
      <c r="L33" s="25">
        <f>'TUSD BE'!$L$33*'TUSD BE'!$L$58</f>
        <v>0</v>
      </c>
      <c r="M33" s="25">
        <f>'TUSD BE'!$M$33*'TUSD BE'!$M$58</f>
        <v>-8.5069361706406763E-2</v>
      </c>
      <c r="N33" s="25">
        <f ca="1">'TUSD BE'!$N$33*'TUSD BE'!$N$58</f>
        <v>0</v>
      </c>
      <c r="O33" s="25">
        <f>'TUSD BE'!$O$33*'TUSD BE'!$O$58</f>
        <v>0</v>
      </c>
      <c r="P33" s="25">
        <f>'TUSD BE'!$P$33*'TUSD BE'!$P$58</f>
        <v>0</v>
      </c>
      <c r="Q33" s="25">
        <f>'TUSD BE'!$Q$33*'TUSD BE'!$Q$58</f>
        <v>-0.33709659390910035</v>
      </c>
      <c r="R33" s="25">
        <f>'TUSD BE'!$R$33*'TUSD BE'!$R$58</f>
        <v>-0.14627084762213108</v>
      </c>
      <c r="S33" s="25">
        <f>'TUSD BE'!$R$33*'TUSD BE'!$S$58</f>
        <v>0</v>
      </c>
      <c r="T33" s="25">
        <f ca="1">SUM($L$33:$S$33)</f>
        <v>-0.56843680323763823</v>
      </c>
      <c r="U33" s="25">
        <f>'TUSD BE'!$U$33*'TUSD BE'!$U$58</f>
        <v>0</v>
      </c>
      <c r="V33" s="25">
        <f>'TUSD BE'!$V$33*'TUSD BE'!$V$58</f>
        <v>0</v>
      </c>
      <c r="W33" s="25">
        <f>'TUSD BE'!$W$33*'TUSD BE'!$W$58</f>
        <v>0</v>
      </c>
      <c r="X33" s="25">
        <f>'TUSD BE'!$X$33*'TUSD BE'!$X$58</f>
        <v>0</v>
      </c>
      <c r="Y33" s="25">
        <f>'TUSD BE'!$Y$33*'TUSD BE'!$Y$58</f>
        <v>5.0412647432104087</v>
      </c>
      <c r="Z33" s="25">
        <f>'TUSD BE'!$Z$33*'TUSD BE'!$Z$58</f>
        <v>0</v>
      </c>
      <c r="AA33" s="25">
        <f>'TUSD BE'!$AA$33*'TUSD BE'!$AA$58</f>
        <v>0</v>
      </c>
      <c r="AB33" s="25">
        <f>SUM($U$33:$AA$33)</f>
        <v>5.0412647432104087</v>
      </c>
      <c r="AC33" s="25">
        <f>'TUSD BE'!$AC$33*'TUSD BE'!$AC$58</f>
        <v>-99.796798925611782</v>
      </c>
      <c r="AD33" s="25">
        <f>SUM($AC$33:$AC$33)</f>
        <v>-99.796798925611782</v>
      </c>
      <c r="AE33" s="25">
        <f ca="1">$AO$33*$AO$55</f>
        <v>-0.9065728576646378</v>
      </c>
      <c r="AF33" s="25">
        <f ca="1">$AP$33*$AP$55</f>
        <v>0</v>
      </c>
      <c r="AG33" s="25">
        <f ca="1">SUM($AE$33:$AF$33)</f>
        <v>-0.9065728576646378</v>
      </c>
      <c r="AH33" s="25">
        <f>'TUSD BE'!$AH$33*'TUSD BE'!$AH$58</f>
        <v>-1.8948665405653644</v>
      </c>
      <c r="AI33" s="25">
        <f>'TUSD BE'!$AI$33*'TUSD BE'!$AI$58</f>
        <v>0</v>
      </c>
      <c r="AJ33" s="25">
        <f ca="1">'TUSD BE'!$AJ$33*'TUSD BE'!$AJ$58</f>
        <v>0</v>
      </c>
      <c r="AK33" s="25">
        <f ca="1">'TUSD BE'!$AK$33*'TUSD BE'!$AK$58</f>
        <v>0</v>
      </c>
      <c r="AL33" s="25">
        <f ca="1">SUM($AH$33:$AK$33)</f>
        <v>-1.8948665405653644</v>
      </c>
      <c r="AM33" s="25">
        <f ca="1">SUMIF($L$4:$AL$4,"SUBTOTAL",$L$33:$AL$33)</f>
        <v>-98.12541038386901</v>
      </c>
      <c r="AO33" s="30">
        <f ca="1">+'TUSD BE'!$T$33+'TUSD BE'!$AB$33+'TUSD BE'!$AD$33+'TUSD BE'!$AL$33</f>
        <v>756.07480965419325</v>
      </c>
      <c r="AP33" s="30">
        <f ca="1">+'TUSD BE'!$T$33+'TUSD BE'!$AB$33+'TUSD BE'!$AD$33+'TUSD BE'!$AL$33</f>
        <v>756.07480965419325</v>
      </c>
    </row>
    <row r="34" spans="1:42" ht="11.25" customHeight="1" x14ac:dyDescent="0.25">
      <c r="A34" s="132"/>
      <c r="B34" s="132" t="s">
        <v>39</v>
      </c>
      <c r="C34" s="132" t="s">
        <v>42</v>
      </c>
      <c r="D34" s="132" t="s">
        <v>86</v>
      </c>
      <c r="E34" s="132" t="s">
        <v>25</v>
      </c>
      <c r="F34" s="132" t="s">
        <v>25</v>
      </c>
      <c r="G34" s="21" t="s">
        <v>70</v>
      </c>
      <c r="H34" s="21" t="s">
        <v>69</v>
      </c>
      <c r="I34" s="21">
        <f>'MERCADO TUSD'!$U$31</f>
        <v>0</v>
      </c>
      <c r="J34" s="17"/>
      <c r="L34" s="25">
        <f>'TUSD BE'!$L$34*'TUSD BE'!$L$58</f>
        <v>0</v>
      </c>
      <c r="M34" s="25">
        <f>'TUSD BE'!$M$34*'TUSD BE'!$M$58</f>
        <v>-8.5069361706406763E-2</v>
      </c>
      <c r="N34" s="25">
        <f ca="1">'TUSD BE'!$N$34*'TUSD BE'!$N$58</f>
        <v>0</v>
      </c>
      <c r="O34" s="25">
        <f>'TUSD BE'!$O$34*'TUSD BE'!$O$58</f>
        <v>0</v>
      </c>
      <c r="P34" s="25">
        <f>'TUSD BE'!$P$34*'TUSD BE'!$P$58</f>
        <v>0</v>
      </c>
      <c r="Q34" s="25">
        <f>'TUSD BE'!$Q$34*'TUSD BE'!$Q$58</f>
        <v>-0.33709659390910035</v>
      </c>
      <c r="R34" s="25">
        <f>'TUSD BE'!$R$34*'TUSD BE'!$R$58</f>
        <v>-0.14627084762213108</v>
      </c>
      <c r="S34" s="25">
        <f>'TUSD BE'!$R$34*'TUSD BE'!$S$58</f>
        <v>0</v>
      </c>
      <c r="T34" s="25">
        <f ca="1">SUM($L$34:$S$34)</f>
        <v>-0.56843680323763823</v>
      </c>
      <c r="U34" s="25">
        <f>'TUSD BE'!$U$34*'TUSD BE'!$U$58</f>
        <v>0</v>
      </c>
      <c r="V34" s="25">
        <f>'TUSD BE'!$V$34*'TUSD BE'!$V$58</f>
        <v>0</v>
      </c>
      <c r="W34" s="25">
        <f>'TUSD BE'!$W$34*'TUSD BE'!$W$58</f>
        <v>0</v>
      </c>
      <c r="X34" s="25">
        <f>'TUSD BE'!$X$34*'TUSD BE'!$X$58</f>
        <v>0</v>
      </c>
      <c r="Y34" s="25">
        <f>'TUSD BE'!$Y$34*'TUSD BE'!$Y$58</f>
        <v>13.442612660270399</v>
      </c>
      <c r="Z34" s="25">
        <f>'TUSD BE'!$Z$34*'TUSD BE'!$Z$58</f>
        <v>0</v>
      </c>
      <c r="AA34" s="25">
        <f>'TUSD BE'!$AA$34*'TUSD BE'!$AA$58</f>
        <v>0</v>
      </c>
      <c r="AB34" s="25">
        <f>SUM($U$34:$AA$34)</f>
        <v>13.442612660270399</v>
      </c>
      <c r="AC34" s="25">
        <f>'TUSD BE'!$AC$34*'TUSD BE'!$AC$58</f>
        <v>-266.10878246958754</v>
      </c>
      <c r="AD34" s="25">
        <f>SUM($AC$34:$AC$34)</f>
        <v>-266.10878246958754</v>
      </c>
      <c r="AE34" s="25">
        <f ca="1">$AO$34*$AO$55</f>
        <v>-2.2220184178477842</v>
      </c>
      <c r="AF34" s="25">
        <f ca="1">$AP$34*$AP$55</f>
        <v>0</v>
      </c>
      <c r="AG34" s="25">
        <f ca="1">SUM($AE$34:$AF$34)</f>
        <v>-2.2220184178477842</v>
      </c>
      <c r="AH34" s="25">
        <f>'TUSD BE'!$AH$34*'TUSD BE'!$AH$58</f>
        <v>-1.8948665405653644</v>
      </c>
      <c r="AI34" s="25">
        <f>'TUSD BE'!$AI$34*'TUSD BE'!$AI$58</f>
        <v>0</v>
      </c>
      <c r="AJ34" s="25">
        <f ca="1">'TUSD BE'!$AJ$34*'TUSD BE'!$AJ$58</f>
        <v>0</v>
      </c>
      <c r="AK34" s="25">
        <f ca="1">'TUSD BE'!$AK$34*'TUSD BE'!$AK$58</f>
        <v>0</v>
      </c>
      <c r="AL34" s="25">
        <f ca="1">SUM($AH$34:$AK$34)</f>
        <v>-1.8948665405653644</v>
      </c>
      <c r="AM34" s="25">
        <f ca="1">SUMIF($L$4:$AL$4,"SUBTOTAL",$L$34:$AL$34)</f>
        <v>-257.35149157096794</v>
      </c>
      <c r="AO34" s="30">
        <f ca="1">+'TUSD BE'!$T$34+'TUSD BE'!$AB$34+'TUSD BE'!$AD$34+'TUSD BE'!$AL$34</f>
        <v>1853.1463170540346</v>
      </c>
      <c r="AP34" s="30">
        <f ca="1">+'TUSD BE'!$T$34+'TUSD BE'!$AB$34+'TUSD BE'!$AD$34+'TUSD BE'!$AL$34</f>
        <v>1853.1463170540346</v>
      </c>
    </row>
    <row r="35" spans="1:42" ht="11.25" customHeight="1" x14ac:dyDescent="0.25">
      <c r="A35" s="132"/>
      <c r="B35" s="132"/>
      <c r="C35" s="132"/>
      <c r="D35" s="132"/>
      <c r="E35" s="132"/>
      <c r="F35" s="132"/>
      <c r="G35" s="21" t="s">
        <v>83</v>
      </c>
      <c r="H35" s="21" t="s">
        <v>69</v>
      </c>
      <c r="I35" s="21">
        <f>'MERCADO TUSD'!$U$32</f>
        <v>0</v>
      </c>
      <c r="J35" s="17"/>
      <c r="L35" s="25">
        <f>'TUSD BE'!$L$35*'TUSD BE'!$L$58</f>
        <v>0</v>
      </c>
      <c r="M35" s="25">
        <f>'TUSD BE'!$M$35*'TUSD BE'!$M$58</f>
        <v>-8.5069361706406763E-2</v>
      </c>
      <c r="N35" s="25">
        <f ca="1">'TUSD BE'!$N$35*'TUSD BE'!$N$58</f>
        <v>0</v>
      </c>
      <c r="O35" s="25">
        <f>'TUSD BE'!$O$35*'TUSD BE'!$O$58</f>
        <v>0</v>
      </c>
      <c r="P35" s="25">
        <f>'TUSD BE'!$P$35*'TUSD BE'!$P$58</f>
        <v>0</v>
      </c>
      <c r="Q35" s="25">
        <f>'TUSD BE'!$Q$35*'TUSD BE'!$Q$58</f>
        <v>-0.33709659390910035</v>
      </c>
      <c r="R35" s="25">
        <f>'TUSD BE'!$R$35*'TUSD BE'!$R$58</f>
        <v>-0.14627084762213108</v>
      </c>
      <c r="S35" s="25">
        <f>'TUSD BE'!$R$35*'TUSD BE'!$S$58</f>
        <v>0</v>
      </c>
      <c r="T35" s="25">
        <f ca="1">SUM($L$35:$S$35)</f>
        <v>-0.56843680323763823</v>
      </c>
      <c r="U35" s="25">
        <f>'TUSD BE'!$U$35*'TUSD BE'!$U$58</f>
        <v>0</v>
      </c>
      <c r="V35" s="25">
        <f>'TUSD BE'!$V$35*'TUSD BE'!$V$58</f>
        <v>0</v>
      </c>
      <c r="W35" s="25">
        <f>'TUSD BE'!$W$35*'TUSD BE'!$W$58</f>
        <v>0</v>
      </c>
      <c r="X35" s="25">
        <f>'TUSD BE'!$X$35*'TUSD BE'!$X$58</f>
        <v>0</v>
      </c>
      <c r="Y35" s="25">
        <f>'TUSD BE'!$Y$35*'TUSD BE'!$Y$58</f>
        <v>8.0656037314545515</v>
      </c>
      <c r="Z35" s="25">
        <f>'TUSD BE'!$Z$35*'TUSD BE'!$Z$58</f>
        <v>0</v>
      </c>
      <c r="AA35" s="25">
        <f>'TUSD BE'!$AA$35*'TUSD BE'!$AA$58</f>
        <v>0</v>
      </c>
      <c r="AB35" s="25">
        <f>SUM($U$35:$AA$35)</f>
        <v>8.0656037314545515</v>
      </c>
      <c r="AC35" s="25">
        <f>'TUSD BE'!$AC$35*'TUSD BE'!$AC$58</f>
        <v>-159.66521593727859</v>
      </c>
      <c r="AD35" s="25">
        <f>SUM($AC$35:$AC$35)</f>
        <v>-159.66521593727859</v>
      </c>
      <c r="AE35" s="25">
        <f ca="1">$AO$35*$AO$55</f>
        <v>-1.3801040907116302</v>
      </c>
      <c r="AF35" s="25">
        <f ca="1">$AP$35*$AP$55</f>
        <v>0</v>
      </c>
      <c r="AG35" s="25">
        <f ca="1">SUM($AE$35:$AF$35)</f>
        <v>-1.3801040907116302</v>
      </c>
      <c r="AH35" s="25">
        <f>'TUSD BE'!$AH$35*'TUSD BE'!$AH$58</f>
        <v>-1.8948665405653644</v>
      </c>
      <c r="AI35" s="25">
        <f>'TUSD BE'!$AI$35*'TUSD BE'!$AI$58</f>
        <v>0</v>
      </c>
      <c r="AJ35" s="25">
        <f ca="1">'TUSD BE'!$AJ$35*'TUSD BE'!$AJ$58</f>
        <v>0</v>
      </c>
      <c r="AK35" s="25">
        <f ca="1">'TUSD BE'!$AK$35*'TUSD BE'!$AK$58</f>
        <v>0</v>
      </c>
      <c r="AL35" s="25">
        <f ca="1">SUM($AH$35:$AK$35)</f>
        <v>-1.8948665405653644</v>
      </c>
      <c r="AM35" s="25">
        <f ca="1">SUMIF($L$4:$AL$4,"SUBTOTAL",$L$35:$AL$35)</f>
        <v>-155.44301964033869</v>
      </c>
      <c r="AO35" s="30">
        <f ca="1">+'TUSD BE'!$T$35+'TUSD BE'!$AB$35+'TUSD BE'!$AD$35+'TUSD BE'!$AL$35</f>
        <v>1150.9962259136705</v>
      </c>
      <c r="AP35" s="30">
        <f ca="1">+'TUSD BE'!$T$35+'TUSD BE'!$AB$35+'TUSD BE'!$AD$35+'TUSD BE'!$AL$35</f>
        <v>1150.9962259136705</v>
      </c>
    </row>
    <row r="36" spans="1:42" ht="11.25" customHeight="1" x14ac:dyDescent="0.25">
      <c r="A36" s="132"/>
      <c r="B36" s="132"/>
      <c r="C36" s="132"/>
      <c r="D36" s="132"/>
      <c r="E36" s="132"/>
      <c r="F36" s="132"/>
      <c r="G36" s="21" t="s">
        <v>71</v>
      </c>
      <c r="H36" s="21" t="s">
        <v>69</v>
      </c>
      <c r="I36" s="21">
        <f>'MERCADO TUSD'!$U$33</f>
        <v>0</v>
      </c>
      <c r="J36" s="17"/>
      <c r="L36" s="25">
        <f>'TUSD BE'!$L$36*'TUSD BE'!$L$58</f>
        <v>0</v>
      </c>
      <c r="M36" s="25">
        <f>'TUSD BE'!$M$36*'TUSD BE'!$M$58</f>
        <v>-8.5069361706406763E-2</v>
      </c>
      <c r="N36" s="25">
        <f ca="1">'TUSD BE'!$N$36*'TUSD BE'!$N$58</f>
        <v>0</v>
      </c>
      <c r="O36" s="25">
        <f>'TUSD BE'!$O$36*'TUSD BE'!$O$58</f>
        <v>0</v>
      </c>
      <c r="P36" s="25">
        <f>'TUSD BE'!$P$36*'TUSD BE'!$P$58</f>
        <v>0</v>
      </c>
      <c r="Q36" s="25">
        <f>'TUSD BE'!$Q$36*'TUSD BE'!$Q$58</f>
        <v>-0.33709659390910035</v>
      </c>
      <c r="R36" s="25">
        <f>'TUSD BE'!$R$36*'TUSD BE'!$R$58</f>
        <v>-0.14627084762213108</v>
      </c>
      <c r="S36" s="25">
        <f>'TUSD BE'!$R$36*'TUSD BE'!$S$58</f>
        <v>0</v>
      </c>
      <c r="T36" s="25">
        <f ca="1">SUM($L$36:$S$36)</f>
        <v>-0.56843680323763823</v>
      </c>
      <c r="U36" s="25">
        <f>'TUSD BE'!$U$36*'TUSD BE'!$U$58</f>
        <v>0</v>
      </c>
      <c r="V36" s="25">
        <f>'TUSD BE'!$V$36*'TUSD BE'!$V$58</f>
        <v>0</v>
      </c>
      <c r="W36" s="25">
        <f>'TUSD BE'!$W$36*'TUSD BE'!$W$58</f>
        <v>0</v>
      </c>
      <c r="X36" s="25">
        <f>'TUSD BE'!$X$36*'TUSD BE'!$X$58</f>
        <v>0</v>
      </c>
      <c r="Y36" s="25">
        <f>'TUSD BE'!$Y$36*'TUSD BE'!$Y$58</f>
        <v>2.6885991044592177</v>
      </c>
      <c r="Z36" s="25">
        <f>'TUSD BE'!$Z$36*'TUSD BE'!$Z$58</f>
        <v>0</v>
      </c>
      <c r="AA36" s="25">
        <f>'TUSD BE'!$AA$36*'TUSD BE'!$AA$58</f>
        <v>0</v>
      </c>
      <c r="AB36" s="25">
        <f>SUM($U$36:$AA$36)</f>
        <v>2.6885991044592177</v>
      </c>
      <c r="AC36" s="25">
        <f>'TUSD BE'!$AC$36*'TUSD BE'!$AC$58</f>
        <v>-53.221795435353073</v>
      </c>
      <c r="AD36" s="25">
        <f>SUM($AC$36:$AC$36)</f>
        <v>-53.221795435353073</v>
      </c>
      <c r="AE36" s="25">
        <f ca="1">$AO$36*$AO$55</f>
        <v>-0.53819081801542956</v>
      </c>
      <c r="AF36" s="25">
        <f ca="1">$AP$36*$AP$55</f>
        <v>0</v>
      </c>
      <c r="AG36" s="25">
        <f ca="1">SUM($AE$36:$AF$36)</f>
        <v>-0.53819081801542956</v>
      </c>
      <c r="AH36" s="25">
        <f>'TUSD BE'!$AH$36*'TUSD BE'!$AH$58</f>
        <v>-1.8948665405653644</v>
      </c>
      <c r="AI36" s="25">
        <f>'TUSD BE'!$AI$36*'TUSD BE'!$AI$58</f>
        <v>0</v>
      </c>
      <c r="AJ36" s="25">
        <f ca="1">'TUSD BE'!$AJ$36*'TUSD BE'!$AJ$58</f>
        <v>0</v>
      </c>
      <c r="AK36" s="25">
        <f ca="1">'TUSD BE'!$AK$36*'TUSD BE'!$AK$58</f>
        <v>0</v>
      </c>
      <c r="AL36" s="25">
        <f ca="1">SUM($AH$36:$AK$36)</f>
        <v>-1.8948665405653644</v>
      </c>
      <c r="AM36" s="25">
        <f ca="1">SUMIF($L$4:$AL$4,"SUBTOTAL",$L$36:$AL$36)</f>
        <v>-53.534690492712294</v>
      </c>
      <c r="AO36" s="30">
        <f ca="1">+'TUSD BE'!$T$36+'TUSD BE'!$AB$36+'TUSD BE'!$AD$36+'TUSD BE'!$AL$36</f>
        <v>448.84701416813954</v>
      </c>
      <c r="AP36" s="30">
        <f ca="1">+'TUSD BE'!$T$36+'TUSD BE'!$AB$36+'TUSD BE'!$AD$36+'TUSD BE'!$AL$36</f>
        <v>448.84701416813954</v>
      </c>
    </row>
    <row r="37" spans="1:42" ht="11.25" customHeight="1" x14ac:dyDescent="0.25">
      <c r="A37" s="132"/>
      <c r="B37" s="28" t="s">
        <v>23</v>
      </c>
      <c r="C37" s="28" t="s">
        <v>42</v>
      </c>
      <c r="D37" s="28" t="s">
        <v>86</v>
      </c>
      <c r="E37" s="28" t="s">
        <v>25</v>
      </c>
      <c r="F37" s="28" t="s">
        <v>25</v>
      </c>
      <c r="G37" s="21" t="s">
        <v>73</v>
      </c>
      <c r="H37" s="21" t="s">
        <v>69</v>
      </c>
      <c r="I37" s="21">
        <f>'MERCADO TUSD'!$U$34</f>
        <v>0</v>
      </c>
      <c r="J37" s="17"/>
      <c r="L37" s="25">
        <f>'TUSD BE'!$L$37*'TUSD BE'!$L$58</f>
        <v>0</v>
      </c>
      <c r="M37" s="25">
        <f>'TUSD BE'!$M$37*'TUSD BE'!$M$58</f>
        <v>-8.5069361706406763E-2</v>
      </c>
      <c r="N37" s="25">
        <f ca="1">'TUSD BE'!$N$37*'TUSD BE'!$N$58</f>
        <v>0</v>
      </c>
      <c r="O37" s="25">
        <f>'TUSD BE'!$O$37*'TUSD BE'!$O$58</f>
        <v>0</v>
      </c>
      <c r="P37" s="25">
        <f>'TUSD BE'!$P$37*'TUSD BE'!$P$58</f>
        <v>0</v>
      </c>
      <c r="Q37" s="25">
        <f>'TUSD BE'!$Q$37*'TUSD BE'!$Q$58</f>
        <v>-0.33709659390910035</v>
      </c>
      <c r="R37" s="25">
        <f>'TUSD BE'!$R$37*'TUSD BE'!$R$58</f>
        <v>-0.14627084762213108</v>
      </c>
      <c r="S37" s="25">
        <f>'TUSD BE'!$R$37*'TUSD BE'!$S$58</f>
        <v>0</v>
      </c>
      <c r="T37" s="25">
        <f ca="1">SUM($L$37:$S$37)</f>
        <v>-0.56843680323763823</v>
      </c>
      <c r="U37" s="25">
        <f>'TUSD BE'!$U$37*'TUSD BE'!$U$58</f>
        <v>0</v>
      </c>
      <c r="V37" s="25">
        <f>'TUSD BE'!$V$37*'TUSD BE'!$V$58</f>
        <v>0</v>
      </c>
      <c r="W37" s="25">
        <f>'TUSD BE'!$W$37*'TUSD BE'!$W$58</f>
        <v>0</v>
      </c>
      <c r="X37" s="25">
        <f>'TUSD BE'!$X$37*'TUSD BE'!$X$58</f>
        <v>0</v>
      </c>
      <c r="Y37" s="25">
        <f>'TUSD BE'!$Y$37*'TUSD BE'!$Y$58</f>
        <v>5.0412647432104087</v>
      </c>
      <c r="Z37" s="25">
        <f>'TUSD BE'!$Z$37*'TUSD BE'!$Z$58</f>
        <v>0</v>
      </c>
      <c r="AA37" s="25">
        <f>'TUSD BE'!$AA$37*'TUSD BE'!$AA$58</f>
        <v>0</v>
      </c>
      <c r="AB37" s="25">
        <f>SUM($U$37:$AA$37)</f>
        <v>5.0412647432104087</v>
      </c>
      <c r="AC37" s="25">
        <f>'TUSD BE'!$AC$37*'TUSD BE'!$AC$58</f>
        <v>-99.796798925611782</v>
      </c>
      <c r="AD37" s="25">
        <f>SUM($AC$37:$AC$37)</f>
        <v>-99.796798925611782</v>
      </c>
      <c r="AE37" s="25">
        <f ca="1">$AO$37*$AO$55</f>
        <v>-0.9065728576646378</v>
      </c>
      <c r="AF37" s="25">
        <f ca="1">$AP$37*$AP$55</f>
        <v>0</v>
      </c>
      <c r="AG37" s="25">
        <f ca="1">SUM($AE$37:$AF$37)</f>
        <v>-0.9065728576646378</v>
      </c>
      <c r="AH37" s="25">
        <f>'TUSD BE'!$AH$37*'TUSD BE'!$AH$58</f>
        <v>-1.8948665405653644</v>
      </c>
      <c r="AI37" s="25">
        <f>'TUSD BE'!$AI$37*'TUSD BE'!$AI$58</f>
        <v>0</v>
      </c>
      <c r="AJ37" s="25">
        <f ca="1">'TUSD BE'!$AJ$37*'TUSD BE'!$AJ$58</f>
        <v>0</v>
      </c>
      <c r="AK37" s="25">
        <f ca="1">'TUSD BE'!$AK$37*'TUSD BE'!$AK$58</f>
        <v>0</v>
      </c>
      <c r="AL37" s="25">
        <f ca="1">SUM($AH$37:$AK$37)</f>
        <v>-1.8948665405653644</v>
      </c>
      <c r="AM37" s="25">
        <f ca="1">SUMIF($L$4:$AL$4,"SUBTOTAL",$L$37:$AL$37)</f>
        <v>-98.12541038386901</v>
      </c>
      <c r="AO37" s="30">
        <f ca="1">+'TUSD BE'!$T$37+'TUSD BE'!$AB$37+'TUSD BE'!$AD$37+'TUSD BE'!$AL$37</f>
        <v>756.07480965419325</v>
      </c>
      <c r="AP37" s="30">
        <f ca="1">+'TUSD BE'!$T$37+'TUSD BE'!$AB$37+'TUSD BE'!$AD$37+'TUSD BE'!$AL$37</f>
        <v>756.07480965419325</v>
      </c>
    </row>
    <row r="38" spans="1:42" ht="11.25" customHeight="1" x14ac:dyDescent="0.25">
      <c r="A38" s="132"/>
      <c r="B38" s="132" t="s">
        <v>39</v>
      </c>
      <c r="C38" s="132" t="s">
        <v>42</v>
      </c>
      <c r="D38" s="132" t="s">
        <v>87</v>
      </c>
      <c r="E38" s="132" t="s">
        <v>25</v>
      </c>
      <c r="F38" s="132" t="s">
        <v>25</v>
      </c>
      <c r="G38" s="21" t="s">
        <v>70</v>
      </c>
      <c r="H38" s="21" t="s">
        <v>69</v>
      </c>
      <c r="I38" s="21">
        <f>'MERCADO TUSD'!$U$35</f>
        <v>0</v>
      </c>
      <c r="J38" s="17"/>
      <c r="L38" s="25">
        <f>'TUSD BE'!$L$38*'TUSD BE'!$L$58</f>
        <v>0</v>
      </c>
      <c r="M38" s="25">
        <f>'TUSD BE'!$M$38*'TUSD BE'!$M$58</f>
        <v>-8.5069361706406763E-2</v>
      </c>
      <c r="N38" s="25">
        <f ca="1">'TUSD BE'!$N$38*'TUSD BE'!$N$58</f>
        <v>0</v>
      </c>
      <c r="O38" s="25">
        <f>'TUSD BE'!$O$38*'TUSD BE'!$O$58</f>
        <v>0</v>
      </c>
      <c r="P38" s="25">
        <f>'TUSD BE'!$P$38*'TUSD BE'!$P$58</f>
        <v>0</v>
      </c>
      <c r="Q38" s="25">
        <f>'TUSD BE'!$Q$38*'TUSD BE'!$Q$58</f>
        <v>-0.33709659390910035</v>
      </c>
      <c r="R38" s="25">
        <f>'TUSD BE'!$R$38*'TUSD BE'!$R$58</f>
        <v>-0.14627084762213108</v>
      </c>
      <c r="S38" s="25">
        <f>'TUSD BE'!$R$38*'TUSD BE'!$S$58</f>
        <v>0</v>
      </c>
      <c r="T38" s="25">
        <f ca="1">SUM($L$38:$S$38)</f>
        <v>-0.56843680323763823</v>
      </c>
      <c r="U38" s="25">
        <f>'TUSD BE'!$U$38*'TUSD BE'!$U$58</f>
        <v>0</v>
      </c>
      <c r="V38" s="25">
        <f>'TUSD BE'!$V$38*'TUSD BE'!$V$58</f>
        <v>0</v>
      </c>
      <c r="W38" s="25">
        <f>'TUSD BE'!$W$38*'TUSD BE'!$W$58</f>
        <v>0</v>
      </c>
      <c r="X38" s="25">
        <f>'TUSD BE'!$X$38*'TUSD BE'!$X$58</f>
        <v>0</v>
      </c>
      <c r="Y38" s="25">
        <f>'TUSD BE'!$Y$38*'TUSD BE'!$Y$58</f>
        <v>13.442612660270399</v>
      </c>
      <c r="Z38" s="25">
        <f>'TUSD BE'!$Z$38*'TUSD BE'!$Z$58</f>
        <v>0</v>
      </c>
      <c r="AA38" s="25">
        <f>'TUSD BE'!$AA$38*'TUSD BE'!$AA$58</f>
        <v>0</v>
      </c>
      <c r="AB38" s="25">
        <f>SUM($U$38:$AA$38)</f>
        <v>13.442612660270399</v>
      </c>
      <c r="AC38" s="25">
        <f>'TUSD BE'!$AC$38*'TUSD BE'!$AC$58</f>
        <v>-266.10878246958754</v>
      </c>
      <c r="AD38" s="25">
        <f>SUM($AC$38:$AC$38)</f>
        <v>-266.10878246958754</v>
      </c>
      <c r="AE38" s="25">
        <f ca="1">$AO$38*$AO$55</f>
        <v>-2.2220184178477842</v>
      </c>
      <c r="AF38" s="25">
        <f ca="1">$AP$38*$AP$55</f>
        <v>0</v>
      </c>
      <c r="AG38" s="25">
        <f ca="1">SUM($AE$38:$AF$38)</f>
        <v>-2.2220184178477842</v>
      </c>
      <c r="AH38" s="25">
        <f>'TUSD BE'!$AH$38*'TUSD BE'!$AH$58</f>
        <v>-1.8948665405653644</v>
      </c>
      <c r="AI38" s="25">
        <f>'TUSD BE'!$AI$38*'TUSD BE'!$AI$58</f>
        <v>0</v>
      </c>
      <c r="AJ38" s="25">
        <f ca="1">'TUSD BE'!$AJ$38*'TUSD BE'!$AJ$58</f>
        <v>0</v>
      </c>
      <c r="AK38" s="25">
        <f ca="1">'TUSD BE'!$AK$38*'TUSD BE'!$AK$58</f>
        <v>0</v>
      </c>
      <c r="AL38" s="25">
        <f ca="1">SUM($AH$38:$AK$38)</f>
        <v>-1.8948665405653644</v>
      </c>
      <c r="AM38" s="25">
        <f ca="1">SUMIF($L$4:$AL$4,"SUBTOTAL",$L$38:$AL$38)</f>
        <v>-257.35149157096794</v>
      </c>
      <c r="AO38" s="30">
        <f ca="1">+'TUSD BE'!$T$38+'TUSD BE'!$AB$38+'TUSD BE'!$AD$38+'TUSD BE'!$AL$38</f>
        <v>1853.1463170540346</v>
      </c>
      <c r="AP38" s="30">
        <f ca="1">+'TUSD BE'!$T$38+'TUSD BE'!$AB$38+'TUSD BE'!$AD$38+'TUSD BE'!$AL$38</f>
        <v>1853.1463170540346</v>
      </c>
    </row>
    <row r="39" spans="1:42" ht="11.25" customHeight="1" x14ac:dyDescent="0.25">
      <c r="A39" s="132"/>
      <c r="B39" s="132"/>
      <c r="C39" s="132"/>
      <c r="D39" s="132"/>
      <c r="E39" s="132"/>
      <c r="F39" s="132"/>
      <c r="G39" s="21" t="s">
        <v>83</v>
      </c>
      <c r="H39" s="21" t="s">
        <v>69</v>
      </c>
      <c r="I39" s="21">
        <f>'MERCADO TUSD'!$U$36</f>
        <v>0</v>
      </c>
      <c r="J39" s="17"/>
      <c r="L39" s="25">
        <f>'TUSD BE'!$L$39*'TUSD BE'!$L$58</f>
        <v>0</v>
      </c>
      <c r="M39" s="25">
        <f>'TUSD BE'!$M$39*'TUSD BE'!$M$58</f>
        <v>-8.5069361706406763E-2</v>
      </c>
      <c r="N39" s="25">
        <f ca="1">'TUSD BE'!$N$39*'TUSD BE'!$N$58</f>
        <v>0</v>
      </c>
      <c r="O39" s="25">
        <f>'TUSD BE'!$O$39*'TUSD BE'!$O$58</f>
        <v>0</v>
      </c>
      <c r="P39" s="25">
        <f>'TUSD BE'!$P$39*'TUSD BE'!$P$58</f>
        <v>0</v>
      </c>
      <c r="Q39" s="25">
        <f>'TUSD BE'!$Q$39*'TUSD BE'!$Q$58</f>
        <v>-0.33709659390910035</v>
      </c>
      <c r="R39" s="25">
        <f>'TUSD BE'!$R$39*'TUSD BE'!$R$58</f>
        <v>-0.14627084762213108</v>
      </c>
      <c r="S39" s="25">
        <f>'TUSD BE'!$R$39*'TUSD BE'!$S$58</f>
        <v>0</v>
      </c>
      <c r="T39" s="25">
        <f ca="1">SUM($L$39:$S$39)</f>
        <v>-0.56843680323763823</v>
      </c>
      <c r="U39" s="25">
        <f>'TUSD BE'!$U$39*'TUSD BE'!$U$58</f>
        <v>0</v>
      </c>
      <c r="V39" s="25">
        <f>'TUSD BE'!$V$39*'TUSD BE'!$V$58</f>
        <v>0</v>
      </c>
      <c r="W39" s="25">
        <f>'TUSD BE'!$W$39*'TUSD BE'!$W$58</f>
        <v>0</v>
      </c>
      <c r="X39" s="25">
        <f>'TUSD BE'!$X$39*'TUSD BE'!$X$58</f>
        <v>0</v>
      </c>
      <c r="Y39" s="25">
        <f>'TUSD BE'!$Y$39*'TUSD BE'!$Y$58</f>
        <v>8.0656037314545515</v>
      </c>
      <c r="Z39" s="25">
        <f>'TUSD BE'!$Z$39*'TUSD BE'!$Z$58</f>
        <v>0</v>
      </c>
      <c r="AA39" s="25">
        <f>'TUSD BE'!$AA$39*'TUSD BE'!$AA$58</f>
        <v>0</v>
      </c>
      <c r="AB39" s="25">
        <f>SUM($U$39:$AA$39)</f>
        <v>8.0656037314545515</v>
      </c>
      <c r="AC39" s="25">
        <f>'TUSD BE'!$AC$39*'TUSD BE'!$AC$58</f>
        <v>-159.66521593727859</v>
      </c>
      <c r="AD39" s="25">
        <f>SUM($AC$39:$AC$39)</f>
        <v>-159.66521593727859</v>
      </c>
      <c r="AE39" s="25">
        <f ca="1">$AO$39*$AO$55</f>
        <v>-1.3801040907116302</v>
      </c>
      <c r="AF39" s="25">
        <f ca="1">$AP$39*$AP$55</f>
        <v>0</v>
      </c>
      <c r="AG39" s="25">
        <f ca="1">SUM($AE$39:$AF$39)</f>
        <v>-1.3801040907116302</v>
      </c>
      <c r="AH39" s="25">
        <f>'TUSD BE'!$AH$39*'TUSD BE'!$AH$58</f>
        <v>-1.8948665405653644</v>
      </c>
      <c r="AI39" s="25">
        <f>'TUSD BE'!$AI$39*'TUSD BE'!$AI$58</f>
        <v>0</v>
      </c>
      <c r="AJ39" s="25">
        <f ca="1">'TUSD BE'!$AJ$39*'TUSD BE'!$AJ$58</f>
        <v>0</v>
      </c>
      <c r="AK39" s="25">
        <f ca="1">'TUSD BE'!$AK$39*'TUSD BE'!$AK$58</f>
        <v>0</v>
      </c>
      <c r="AL39" s="25">
        <f ca="1">SUM($AH$39:$AK$39)</f>
        <v>-1.8948665405653644</v>
      </c>
      <c r="AM39" s="25">
        <f ca="1">SUMIF($L$4:$AL$4,"SUBTOTAL",$L$39:$AL$39)</f>
        <v>-155.44301964033869</v>
      </c>
      <c r="AO39" s="30">
        <f ca="1">+'TUSD BE'!$T$39+'TUSD BE'!$AB$39+'TUSD BE'!$AD$39+'TUSD BE'!$AL$39</f>
        <v>1150.9962259136705</v>
      </c>
      <c r="AP39" s="30">
        <f ca="1">+'TUSD BE'!$T$39+'TUSD BE'!$AB$39+'TUSD BE'!$AD$39+'TUSD BE'!$AL$39</f>
        <v>1150.9962259136705</v>
      </c>
    </row>
    <row r="40" spans="1:42" ht="11.25" customHeight="1" x14ac:dyDescent="0.25">
      <c r="A40" s="132"/>
      <c r="B40" s="132"/>
      <c r="C40" s="132"/>
      <c r="D40" s="132"/>
      <c r="E40" s="132"/>
      <c r="F40" s="132"/>
      <c r="G40" s="21" t="s">
        <v>71</v>
      </c>
      <c r="H40" s="21" t="s">
        <v>69</v>
      </c>
      <c r="I40" s="21">
        <f>'MERCADO TUSD'!$U$37</f>
        <v>0</v>
      </c>
      <c r="J40" s="17"/>
      <c r="L40" s="25">
        <f>'TUSD BE'!$L$40*'TUSD BE'!$L$58</f>
        <v>0</v>
      </c>
      <c r="M40" s="25">
        <f>'TUSD BE'!$M$40*'TUSD BE'!$M$58</f>
        <v>-8.5069361706406763E-2</v>
      </c>
      <c r="N40" s="25">
        <f ca="1">'TUSD BE'!$N$40*'TUSD BE'!$N$58</f>
        <v>0</v>
      </c>
      <c r="O40" s="25">
        <f>'TUSD BE'!$O$40*'TUSD BE'!$O$58</f>
        <v>0</v>
      </c>
      <c r="P40" s="25">
        <f>'TUSD BE'!$P$40*'TUSD BE'!$P$58</f>
        <v>0</v>
      </c>
      <c r="Q40" s="25">
        <f>'TUSD BE'!$Q$40*'TUSD BE'!$Q$58</f>
        <v>-0.33709659390910035</v>
      </c>
      <c r="R40" s="25">
        <f>'TUSD BE'!$R$40*'TUSD BE'!$R$58</f>
        <v>-0.14627084762213108</v>
      </c>
      <c r="S40" s="25">
        <f>'TUSD BE'!$R$40*'TUSD BE'!$S$58</f>
        <v>0</v>
      </c>
      <c r="T40" s="25">
        <f ca="1">SUM($L$40:$S$40)</f>
        <v>-0.56843680323763823</v>
      </c>
      <c r="U40" s="25">
        <f>'TUSD BE'!$U$40*'TUSD BE'!$U$58</f>
        <v>0</v>
      </c>
      <c r="V40" s="25">
        <f>'TUSD BE'!$V$40*'TUSD BE'!$V$58</f>
        <v>0</v>
      </c>
      <c r="W40" s="25">
        <f>'TUSD BE'!$W$40*'TUSD BE'!$W$58</f>
        <v>0</v>
      </c>
      <c r="X40" s="25">
        <f>'TUSD BE'!$X$40*'TUSD BE'!$X$58</f>
        <v>0</v>
      </c>
      <c r="Y40" s="25">
        <f>'TUSD BE'!$Y$40*'TUSD BE'!$Y$58</f>
        <v>2.6885991044592177</v>
      </c>
      <c r="Z40" s="25">
        <f>'TUSD BE'!$Z$40*'TUSD BE'!$Z$58</f>
        <v>0</v>
      </c>
      <c r="AA40" s="25">
        <f>'TUSD BE'!$AA$40*'TUSD BE'!$AA$58</f>
        <v>0</v>
      </c>
      <c r="AB40" s="25">
        <f>SUM($U$40:$AA$40)</f>
        <v>2.6885991044592177</v>
      </c>
      <c r="AC40" s="25">
        <f>'TUSD BE'!$AC$40*'TUSD BE'!$AC$58</f>
        <v>-53.221795435353073</v>
      </c>
      <c r="AD40" s="25">
        <f>SUM($AC$40:$AC$40)</f>
        <v>-53.221795435353073</v>
      </c>
      <c r="AE40" s="25">
        <f ca="1">$AO$40*$AO$55</f>
        <v>-0.53819081801542956</v>
      </c>
      <c r="AF40" s="25">
        <f ca="1">$AP$40*$AP$55</f>
        <v>0</v>
      </c>
      <c r="AG40" s="25">
        <f ca="1">SUM($AE$40:$AF$40)</f>
        <v>-0.53819081801542956</v>
      </c>
      <c r="AH40" s="25">
        <f>'TUSD BE'!$AH$40*'TUSD BE'!$AH$58</f>
        <v>-1.8948665405653644</v>
      </c>
      <c r="AI40" s="25">
        <f>'TUSD BE'!$AI$40*'TUSD BE'!$AI$58</f>
        <v>0</v>
      </c>
      <c r="AJ40" s="25">
        <f ca="1">'TUSD BE'!$AJ$40*'TUSD BE'!$AJ$58</f>
        <v>0</v>
      </c>
      <c r="AK40" s="25">
        <f ca="1">'TUSD BE'!$AK$40*'TUSD BE'!$AK$58</f>
        <v>0</v>
      </c>
      <c r="AL40" s="25">
        <f ca="1">SUM($AH$40:$AK$40)</f>
        <v>-1.8948665405653644</v>
      </c>
      <c r="AM40" s="25">
        <f ca="1">SUMIF($L$4:$AL$4,"SUBTOTAL",$L$40:$AL$40)</f>
        <v>-53.534690492712294</v>
      </c>
      <c r="AO40" s="30">
        <f ca="1">+'TUSD BE'!$T$40+'TUSD BE'!$AB$40+'TUSD BE'!$AD$40+'TUSD BE'!$AL$40</f>
        <v>448.84701416813954</v>
      </c>
      <c r="AP40" s="30">
        <f ca="1">+'TUSD BE'!$T$40+'TUSD BE'!$AB$40+'TUSD BE'!$AD$40+'TUSD BE'!$AL$40</f>
        <v>448.84701416813954</v>
      </c>
    </row>
    <row r="41" spans="1:42" ht="11.25" customHeight="1" x14ac:dyDescent="0.25">
      <c r="A41" s="132"/>
      <c r="B41" s="28" t="s">
        <v>23</v>
      </c>
      <c r="C41" s="28" t="s">
        <v>42</v>
      </c>
      <c r="D41" s="28" t="s">
        <v>87</v>
      </c>
      <c r="E41" s="28" t="s">
        <v>25</v>
      </c>
      <c r="F41" s="28" t="s">
        <v>25</v>
      </c>
      <c r="G41" s="21" t="s">
        <v>73</v>
      </c>
      <c r="H41" s="21" t="s">
        <v>69</v>
      </c>
      <c r="I41" s="21">
        <f>'MERCADO TUSD'!$U$38</f>
        <v>0</v>
      </c>
      <c r="J41" s="17"/>
      <c r="L41" s="25">
        <f>'TUSD BE'!$L$41*'TUSD BE'!$L$58</f>
        <v>0</v>
      </c>
      <c r="M41" s="25">
        <f>'TUSD BE'!$M$41*'TUSD BE'!$M$58</f>
        <v>-8.5069361706406763E-2</v>
      </c>
      <c r="N41" s="25">
        <f ca="1">'TUSD BE'!$N$41*'TUSD BE'!$N$58</f>
        <v>0</v>
      </c>
      <c r="O41" s="25">
        <f>'TUSD BE'!$O$41*'TUSD BE'!$O$58</f>
        <v>0</v>
      </c>
      <c r="P41" s="25">
        <f>'TUSD BE'!$P$41*'TUSD BE'!$P$58</f>
        <v>0</v>
      </c>
      <c r="Q41" s="25">
        <f>'TUSD BE'!$Q$41*'TUSD BE'!$Q$58</f>
        <v>-0.33709659390910035</v>
      </c>
      <c r="R41" s="25">
        <f>'TUSD BE'!$R$41*'TUSD BE'!$R$58</f>
        <v>-0.14627084762213108</v>
      </c>
      <c r="S41" s="25">
        <f>'TUSD BE'!$R$41*'TUSD BE'!$S$58</f>
        <v>0</v>
      </c>
      <c r="T41" s="25">
        <f ca="1">SUM($L$41:$S$41)</f>
        <v>-0.56843680323763823</v>
      </c>
      <c r="U41" s="25">
        <f>'TUSD BE'!$U$41*'TUSD BE'!$U$58</f>
        <v>0</v>
      </c>
      <c r="V41" s="25">
        <f>'TUSD BE'!$V$41*'TUSD BE'!$V$58</f>
        <v>0</v>
      </c>
      <c r="W41" s="25">
        <f>'TUSD BE'!$W$41*'TUSD BE'!$W$58</f>
        <v>0</v>
      </c>
      <c r="X41" s="25">
        <f>'TUSD BE'!$X$41*'TUSD BE'!$X$58</f>
        <v>0</v>
      </c>
      <c r="Y41" s="25">
        <f>'TUSD BE'!$Y$41*'TUSD BE'!$Y$58</f>
        <v>5.0412647432104087</v>
      </c>
      <c r="Z41" s="25">
        <f>'TUSD BE'!$Z$41*'TUSD BE'!$Z$58</f>
        <v>0</v>
      </c>
      <c r="AA41" s="25">
        <f>'TUSD BE'!$AA$41*'TUSD BE'!$AA$58</f>
        <v>0</v>
      </c>
      <c r="AB41" s="25">
        <f>SUM($U$41:$AA$41)</f>
        <v>5.0412647432104087</v>
      </c>
      <c r="AC41" s="25">
        <f>'TUSD BE'!$AC$41*'TUSD BE'!$AC$58</f>
        <v>-99.796798925611782</v>
      </c>
      <c r="AD41" s="25">
        <f>SUM($AC$41:$AC$41)</f>
        <v>-99.796798925611782</v>
      </c>
      <c r="AE41" s="25">
        <f ca="1">$AO$41*$AO$55</f>
        <v>-0.9065728576646378</v>
      </c>
      <c r="AF41" s="25">
        <f ca="1">$AP$41*$AP$55</f>
        <v>0</v>
      </c>
      <c r="AG41" s="25">
        <f ca="1">SUM($AE$41:$AF$41)</f>
        <v>-0.9065728576646378</v>
      </c>
      <c r="AH41" s="25">
        <f>'TUSD BE'!$AH$41*'TUSD BE'!$AH$58</f>
        <v>-1.8948665405653644</v>
      </c>
      <c r="AI41" s="25">
        <f>'TUSD BE'!$AI$41*'TUSD BE'!$AI$58</f>
        <v>0</v>
      </c>
      <c r="AJ41" s="25">
        <f ca="1">'TUSD BE'!$AJ$41*'TUSD BE'!$AJ$58</f>
        <v>0</v>
      </c>
      <c r="AK41" s="25">
        <f ca="1">'TUSD BE'!$AK$41*'TUSD BE'!$AK$58</f>
        <v>0</v>
      </c>
      <c r="AL41" s="25">
        <f ca="1">SUM($AH$41:$AK$41)</f>
        <v>-1.8948665405653644</v>
      </c>
      <c r="AM41" s="25">
        <f ca="1">SUMIF($L$4:$AL$4,"SUBTOTAL",$L$41:$AL$41)</f>
        <v>-98.12541038386901</v>
      </c>
      <c r="AO41" s="30">
        <f ca="1">+'TUSD BE'!$T$41+'TUSD BE'!$AB$41+'TUSD BE'!$AD$41+'TUSD BE'!$AL$41</f>
        <v>756.07480965419325</v>
      </c>
      <c r="AP41" s="30">
        <f ca="1">+'TUSD BE'!$T$41+'TUSD BE'!$AB$41+'TUSD BE'!$AD$41+'TUSD BE'!$AL$41</f>
        <v>756.07480965419325</v>
      </c>
    </row>
    <row r="42" spans="1:42" ht="11.25" customHeight="1" x14ac:dyDescent="0.25">
      <c r="A42" s="132"/>
      <c r="B42" s="132" t="s">
        <v>85</v>
      </c>
      <c r="C42" s="132" t="s">
        <v>42</v>
      </c>
      <c r="D42" s="28" t="s">
        <v>25</v>
      </c>
      <c r="E42" s="28" t="s">
        <v>25</v>
      </c>
      <c r="F42" s="28" t="s">
        <v>25</v>
      </c>
      <c r="G42" s="21" t="s">
        <v>73</v>
      </c>
      <c r="H42" s="21" t="s">
        <v>69</v>
      </c>
      <c r="I42" s="21">
        <f>'MERCADO TUSD'!$U$39</f>
        <v>0</v>
      </c>
      <c r="J42" s="17"/>
      <c r="L42" s="25">
        <f>'TUSD BE'!$L$42*'TUSD BE'!$L$58</f>
        <v>0</v>
      </c>
      <c r="M42" s="25">
        <f>'TUSD BE'!$M$42*'TUSD BE'!$M$58</f>
        <v>-8.5069361706406763E-2</v>
      </c>
      <c r="N42" s="25">
        <f ca="1">'TUSD BE'!$N$42*'TUSD BE'!$N$58</f>
        <v>0</v>
      </c>
      <c r="O42" s="25">
        <f>'TUSD BE'!$O$42*'TUSD BE'!$O$58</f>
        <v>0</v>
      </c>
      <c r="P42" s="25">
        <f>'TUSD BE'!$P$42*'TUSD BE'!$P$58</f>
        <v>0</v>
      </c>
      <c r="Q42" s="25">
        <f>'TUSD BE'!$Q$42*'TUSD BE'!$Q$58</f>
        <v>-0.33709659390910035</v>
      </c>
      <c r="R42" s="25">
        <f>'TUSD BE'!$R$42*'TUSD BE'!$R$58</f>
        <v>-0.14627084762213108</v>
      </c>
      <c r="S42" s="25">
        <f>'TUSD BE'!$R$42*'TUSD BE'!$S$58</f>
        <v>0</v>
      </c>
      <c r="T42" s="25">
        <f ca="1">SUM($L$42:$S$42)</f>
        <v>-0.56843680323763823</v>
      </c>
      <c r="U42" s="25">
        <f>'TUSD BE'!$U$42*'TUSD BE'!$U$58</f>
        <v>0</v>
      </c>
      <c r="V42" s="25">
        <f>'TUSD BE'!$V$42*'TUSD BE'!$V$58</f>
        <v>0</v>
      </c>
      <c r="W42" s="25">
        <f>'TUSD BE'!$W$42*'TUSD BE'!$W$58</f>
        <v>0</v>
      </c>
      <c r="X42" s="25">
        <f>'TUSD BE'!$X$42*'TUSD BE'!$X$58</f>
        <v>0</v>
      </c>
      <c r="Y42" s="25">
        <f>'TUSD BE'!$Y$42*'TUSD BE'!$Y$58</f>
        <v>5.0412647432104087</v>
      </c>
      <c r="Z42" s="25">
        <f>'TUSD BE'!$Z$42*'TUSD BE'!$Z$58</f>
        <v>0</v>
      </c>
      <c r="AA42" s="25">
        <f>'TUSD BE'!$AA$42*'TUSD BE'!$AA$58</f>
        <v>0</v>
      </c>
      <c r="AB42" s="25">
        <f>SUM($U$42:$AA$42)</f>
        <v>5.0412647432104087</v>
      </c>
      <c r="AC42" s="25">
        <f>'TUSD BE'!$AC$42*'TUSD BE'!$AC$58</f>
        <v>-99.796798925611782</v>
      </c>
      <c r="AD42" s="25">
        <f>SUM($AC$42:$AC$42)</f>
        <v>-99.796798925611782</v>
      </c>
      <c r="AE42" s="25">
        <f ca="1">$AO$42*$AO$55</f>
        <v>-0.9065728576646378</v>
      </c>
      <c r="AF42" s="25">
        <f ca="1">$AP$42*$AP$55</f>
        <v>0</v>
      </c>
      <c r="AG42" s="25">
        <f ca="1">SUM($AE$42:$AF$42)</f>
        <v>-0.9065728576646378</v>
      </c>
      <c r="AH42" s="25">
        <f>'TUSD BE'!$AH$42*'TUSD BE'!$AH$58</f>
        <v>-1.8948665405653644</v>
      </c>
      <c r="AI42" s="25">
        <f>'TUSD BE'!$AI$42*'TUSD BE'!$AI$58</f>
        <v>0</v>
      </c>
      <c r="AJ42" s="25">
        <f ca="1">'TUSD BE'!$AJ$42*'TUSD BE'!$AJ$58</f>
        <v>0</v>
      </c>
      <c r="AK42" s="25">
        <f ca="1">'TUSD BE'!$AK$42*'TUSD BE'!$AK$58</f>
        <v>0</v>
      </c>
      <c r="AL42" s="25">
        <f ca="1">SUM($AH$42:$AK$42)</f>
        <v>-1.8948665405653644</v>
      </c>
      <c r="AM42" s="25">
        <f ca="1">SUMIF($L$4:$AL$4,"SUBTOTAL",$L$42:$AL$42)</f>
        <v>-98.12541038386901</v>
      </c>
      <c r="AO42" s="30">
        <f ca="1">+'TUSD BE'!$T$42+'TUSD BE'!$AB$42+'TUSD BE'!$AD$42+'TUSD BE'!$AL$42</f>
        <v>756.07480965419325</v>
      </c>
      <c r="AP42" s="30">
        <f ca="1">+'TUSD BE'!$T$42+'TUSD BE'!$AB$42+'TUSD BE'!$AD$42+'TUSD BE'!$AL$42</f>
        <v>756.07480965419325</v>
      </c>
    </row>
    <row r="43" spans="1:42" ht="11.25" customHeight="1" x14ac:dyDescent="0.25">
      <c r="A43" s="132"/>
      <c r="B43" s="132"/>
      <c r="C43" s="132"/>
      <c r="D43" s="28" t="s">
        <v>86</v>
      </c>
      <c r="E43" s="28" t="s">
        <v>25</v>
      </c>
      <c r="F43" s="28" t="s">
        <v>25</v>
      </c>
      <c r="G43" s="21" t="s">
        <v>73</v>
      </c>
      <c r="H43" s="21" t="s">
        <v>69</v>
      </c>
      <c r="I43" s="21">
        <f>'MERCADO TUSD'!$U$40</f>
        <v>0</v>
      </c>
      <c r="J43" s="17"/>
      <c r="L43" s="25">
        <f>'TUSD BE'!$L$43*'TUSD BE'!$L$58</f>
        <v>0</v>
      </c>
      <c r="M43" s="25">
        <f>'TUSD BE'!$M$43*'TUSD BE'!$M$58</f>
        <v>-8.5069361706406763E-2</v>
      </c>
      <c r="N43" s="25">
        <f ca="1">'TUSD BE'!$N$43*'TUSD BE'!$N$58</f>
        <v>0</v>
      </c>
      <c r="O43" s="25">
        <f>'TUSD BE'!$O$43*'TUSD BE'!$O$58</f>
        <v>0</v>
      </c>
      <c r="P43" s="25">
        <f>'TUSD BE'!$P$43*'TUSD BE'!$P$58</f>
        <v>0</v>
      </c>
      <c r="Q43" s="25">
        <f>'TUSD BE'!$Q$43*'TUSD BE'!$Q$58</f>
        <v>-0.33709659390910035</v>
      </c>
      <c r="R43" s="25">
        <f>'TUSD BE'!$R$43*'TUSD BE'!$R$58</f>
        <v>-0.14627084762213108</v>
      </c>
      <c r="S43" s="25">
        <f>'TUSD BE'!$R$43*'TUSD BE'!$S$58</f>
        <v>0</v>
      </c>
      <c r="T43" s="25">
        <f ca="1">SUM($L$43:$S$43)</f>
        <v>-0.56843680323763823</v>
      </c>
      <c r="U43" s="25">
        <f>'TUSD BE'!$U$43*'TUSD BE'!$U$58</f>
        <v>0</v>
      </c>
      <c r="V43" s="25">
        <f>'TUSD BE'!$V$43*'TUSD BE'!$V$58</f>
        <v>0</v>
      </c>
      <c r="W43" s="25">
        <f>'TUSD BE'!$W$43*'TUSD BE'!$W$58</f>
        <v>0</v>
      </c>
      <c r="X43" s="25">
        <f>'TUSD BE'!$X$43*'TUSD BE'!$X$58</f>
        <v>0</v>
      </c>
      <c r="Y43" s="25">
        <f>'TUSD BE'!$Y$43*'TUSD BE'!$Y$58</f>
        <v>5.0412647432104087</v>
      </c>
      <c r="Z43" s="25">
        <f>'TUSD BE'!$Z$43*'TUSD BE'!$Z$58</f>
        <v>0</v>
      </c>
      <c r="AA43" s="25">
        <f>'TUSD BE'!$AA$43*'TUSD BE'!$AA$58</f>
        <v>0</v>
      </c>
      <c r="AB43" s="25">
        <f>SUM($U$43:$AA$43)</f>
        <v>5.0412647432104087</v>
      </c>
      <c r="AC43" s="25">
        <f>'TUSD BE'!$AC$43*'TUSD BE'!$AC$58</f>
        <v>-99.796798925611782</v>
      </c>
      <c r="AD43" s="25">
        <f>SUM($AC$43:$AC$43)</f>
        <v>-99.796798925611782</v>
      </c>
      <c r="AE43" s="25">
        <f ca="1">$AO$43*$AO$55</f>
        <v>-0.9065728576646378</v>
      </c>
      <c r="AF43" s="25">
        <f ca="1">$AP$43*$AP$55</f>
        <v>0</v>
      </c>
      <c r="AG43" s="25">
        <f ca="1">SUM($AE$43:$AF$43)</f>
        <v>-0.9065728576646378</v>
      </c>
      <c r="AH43" s="25">
        <f>'TUSD BE'!$AH$43*'TUSD BE'!$AH$58</f>
        <v>-1.8948665405653644</v>
      </c>
      <c r="AI43" s="25">
        <f>'TUSD BE'!$AI$43*'TUSD BE'!$AI$58</f>
        <v>0</v>
      </c>
      <c r="AJ43" s="25">
        <f ca="1">'TUSD BE'!$AJ$43*'TUSD BE'!$AJ$58</f>
        <v>0</v>
      </c>
      <c r="AK43" s="25">
        <f ca="1">'TUSD BE'!$AK$43*'TUSD BE'!$AK$58</f>
        <v>0</v>
      </c>
      <c r="AL43" s="25">
        <f ca="1">SUM($AH$43:$AK$43)</f>
        <v>-1.8948665405653644</v>
      </c>
      <c r="AM43" s="25">
        <f ca="1">SUMIF($L$4:$AL$4,"SUBTOTAL",$L$43:$AL$43)</f>
        <v>-98.12541038386901</v>
      </c>
      <c r="AO43" s="30">
        <f ca="1">+'TUSD BE'!$T$43+'TUSD BE'!$AB$43+'TUSD BE'!$AD$43+'TUSD BE'!$AL$43</f>
        <v>756.07480965419325</v>
      </c>
      <c r="AP43" s="30">
        <f ca="1">+'TUSD BE'!$T$43+'TUSD BE'!$AB$43+'TUSD BE'!$AD$43+'TUSD BE'!$AL$43</f>
        <v>756.07480965419325</v>
      </c>
    </row>
    <row r="44" spans="1:42" ht="11.25" customHeight="1" x14ac:dyDescent="0.25">
      <c r="A44" s="132"/>
      <c r="B44" s="132"/>
      <c r="C44" s="132"/>
      <c r="D44" s="28" t="s">
        <v>87</v>
      </c>
      <c r="E44" s="28" t="s">
        <v>25</v>
      </c>
      <c r="F44" s="28" t="s">
        <v>25</v>
      </c>
      <c r="G44" s="21" t="s">
        <v>73</v>
      </c>
      <c r="H44" s="21" t="s">
        <v>69</v>
      </c>
      <c r="I44" s="21">
        <f>'MERCADO TUSD'!$U$41</f>
        <v>0</v>
      </c>
      <c r="J44" s="17"/>
      <c r="L44" s="25">
        <f>'TUSD BE'!$L$44*'TUSD BE'!$L$58</f>
        <v>0</v>
      </c>
      <c r="M44" s="25">
        <f>'TUSD BE'!$M$44*'TUSD BE'!$M$58</f>
        <v>-8.5069361706406763E-2</v>
      </c>
      <c r="N44" s="25">
        <f ca="1">'TUSD BE'!$N$44*'TUSD BE'!$N$58</f>
        <v>0</v>
      </c>
      <c r="O44" s="25">
        <f>'TUSD BE'!$O$44*'TUSD BE'!$O$58</f>
        <v>0</v>
      </c>
      <c r="P44" s="25">
        <f>'TUSD BE'!$P$44*'TUSD BE'!$P$58</f>
        <v>0</v>
      </c>
      <c r="Q44" s="25">
        <f>'TUSD BE'!$Q$44*'TUSD BE'!$Q$58</f>
        <v>-0.33709659390910035</v>
      </c>
      <c r="R44" s="25">
        <f>'TUSD BE'!$R$44*'TUSD BE'!$R$58</f>
        <v>-0.14627084762213108</v>
      </c>
      <c r="S44" s="25">
        <f>'TUSD BE'!$R$44*'TUSD BE'!$S$58</f>
        <v>0</v>
      </c>
      <c r="T44" s="25">
        <f ca="1">SUM($L$44:$S$44)</f>
        <v>-0.56843680323763823</v>
      </c>
      <c r="U44" s="25">
        <f>'TUSD BE'!$U$44*'TUSD BE'!$U$58</f>
        <v>0</v>
      </c>
      <c r="V44" s="25">
        <f>'TUSD BE'!$V$44*'TUSD BE'!$V$58</f>
        <v>0</v>
      </c>
      <c r="W44" s="25">
        <f>'TUSD BE'!$W$44*'TUSD BE'!$W$58</f>
        <v>0</v>
      </c>
      <c r="X44" s="25">
        <f>'TUSD BE'!$X$44*'TUSD BE'!$X$58</f>
        <v>0</v>
      </c>
      <c r="Y44" s="25">
        <f>'TUSD BE'!$Y$44*'TUSD BE'!$Y$58</f>
        <v>5.0412647432104087</v>
      </c>
      <c r="Z44" s="25">
        <f>'TUSD BE'!$Z$44*'TUSD BE'!$Z$58</f>
        <v>0</v>
      </c>
      <c r="AA44" s="25">
        <f>'TUSD BE'!$AA$44*'TUSD BE'!$AA$58</f>
        <v>0</v>
      </c>
      <c r="AB44" s="25">
        <f>SUM($U$44:$AA$44)</f>
        <v>5.0412647432104087</v>
      </c>
      <c r="AC44" s="25">
        <f>'TUSD BE'!$AC$44*'TUSD BE'!$AC$58</f>
        <v>-99.796798925611782</v>
      </c>
      <c r="AD44" s="25">
        <f>SUM($AC$44:$AC$44)</f>
        <v>-99.796798925611782</v>
      </c>
      <c r="AE44" s="25">
        <f ca="1">$AO$44*$AO$55</f>
        <v>-0.9065728576646378</v>
      </c>
      <c r="AF44" s="25">
        <f ca="1">$AP$44*$AP$55</f>
        <v>0</v>
      </c>
      <c r="AG44" s="25">
        <f ca="1">SUM($AE$44:$AF$44)</f>
        <v>-0.9065728576646378</v>
      </c>
      <c r="AH44" s="25">
        <f>'TUSD BE'!$AH$44*'TUSD BE'!$AH$58</f>
        <v>-1.8948665405653644</v>
      </c>
      <c r="AI44" s="25">
        <f>'TUSD BE'!$AI$44*'TUSD BE'!$AI$58</f>
        <v>0</v>
      </c>
      <c r="AJ44" s="25">
        <f ca="1">'TUSD BE'!$AJ$44*'TUSD BE'!$AJ$58</f>
        <v>0</v>
      </c>
      <c r="AK44" s="25">
        <f ca="1">'TUSD BE'!$AK$44*'TUSD BE'!$AK$58</f>
        <v>0</v>
      </c>
      <c r="AL44" s="25">
        <f ca="1">SUM($AH$44:$AK$44)</f>
        <v>-1.8948665405653644</v>
      </c>
      <c r="AM44" s="25">
        <f ca="1">SUMIF($L$4:$AL$4,"SUBTOTAL",$L$44:$AL$44)</f>
        <v>-98.12541038386901</v>
      </c>
      <c r="AO44" s="30">
        <f ca="1">+'TUSD BE'!$T$44+'TUSD BE'!$AB$44+'TUSD BE'!$AD$44+'TUSD BE'!$AL$44</f>
        <v>756.07480965419325</v>
      </c>
      <c r="AP44" s="30">
        <f ca="1">+'TUSD BE'!$T$44+'TUSD BE'!$AB$44+'TUSD BE'!$AD$44+'TUSD BE'!$AL$44</f>
        <v>756.07480965419325</v>
      </c>
    </row>
    <row r="45" spans="1:42" ht="11.25" customHeight="1" x14ac:dyDescent="0.25">
      <c r="A45" s="132" t="s">
        <v>32</v>
      </c>
      <c r="B45" s="132" t="s">
        <v>39</v>
      </c>
      <c r="C45" s="132" t="s">
        <v>25</v>
      </c>
      <c r="D45" s="132" t="s">
        <v>25</v>
      </c>
      <c r="E45" s="132" t="s">
        <v>25</v>
      </c>
      <c r="F45" s="132" t="s">
        <v>25</v>
      </c>
      <c r="G45" s="21" t="s">
        <v>70</v>
      </c>
      <c r="H45" s="21" t="s">
        <v>69</v>
      </c>
      <c r="I45" s="21">
        <f>'MERCADO TUSD'!$U$42</f>
        <v>0.13600000000000001</v>
      </c>
      <c r="J45" s="17"/>
      <c r="L45" s="25">
        <f>'TUSD BE'!$L$45*'TUSD BE'!$L$58</f>
        <v>0</v>
      </c>
      <c r="M45" s="25">
        <f>'TUSD BE'!$M$45*'TUSD BE'!$M$58</f>
        <v>-8.5069361706406763E-2</v>
      </c>
      <c r="N45" s="25">
        <f ca="1">'TUSD BE'!$N$45*'TUSD BE'!$N$58</f>
        <v>0</v>
      </c>
      <c r="O45" s="25">
        <f>'TUSD BE'!$O$45*'TUSD BE'!$O$58</f>
        <v>0</v>
      </c>
      <c r="P45" s="25">
        <f>'TUSD BE'!$P$45*'TUSD BE'!$P$58</f>
        <v>0</v>
      </c>
      <c r="Q45" s="25">
        <f>'TUSD BE'!$Q$45*'TUSD BE'!$Q$58</f>
        <v>-0.33709659390910035</v>
      </c>
      <c r="R45" s="25">
        <f>'TUSD BE'!$R$45*'TUSD BE'!$R$58</f>
        <v>-0.14627084762213108</v>
      </c>
      <c r="S45" s="25">
        <f>'TUSD BE'!$R$45*'TUSD BE'!$S$58</f>
        <v>0</v>
      </c>
      <c r="T45" s="25">
        <f ca="1">SUM($L$45:$S$45)</f>
        <v>-0.56843680323763823</v>
      </c>
      <c r="U45" s="25">
        <f>'TUSD BE'!$U$45*'TUSD BE'!$U$58</f>
        <v>0</v>
      </c>
      <c r="V45" s="25">
        <f>'TUSD BE'!$V$45*'TUSD BE'!$V$58</f>
        <v>0</v>
      </c>
      <c r="W45" s="25">
        <f>'TUSD BE'!$W$45*'TUSD BE'!$W$58</f>
        <v>0</v>
      </c>
      <c r="X45" s="25">
        <f>'TUSD BE'!$X$45*'TUSD BE'!$X$58</f>
        <v>0</v>
      </c>
      <c r="Y45" s="25">
        <f>'TUSD BE'!$Y$45*'TUSD BE'!$Y$58</f>
        <v>16.384115792709473</v>
      </c>
      <c r="Z45" s="25">
        <f>'TUSD BE'!$Z$45*'TUSD BE'!$Z$58</f>
        <v>0</v>
      </c>
      <c r="AA45" s="25">
        <f>'TUSD BE'!$AA$45*'TUSD BE'!$AA$58</f>
        <v>0</v>
      </c>
      <c r="AB45" s="25">
        <f>SUM($U$45:$AA$45)</f>
        <v>16.384115792709473</v>
      </c>
      <c r="AC45" s="25">
        <f>'TUSD BE'!$AC$45*'TUSD BE'!$AC$58</f>
        <v>-324.33973645402239</v>
      </c>
      <c r="AD45" s="25">
        <f>SUM($AC$45:$AC$45)</f>
        <v>-324.33973645402239</v>
      </c>
      <c r="AE45" s="25">
        <f ca="1">$AO$45*$AO$55</f>
        <v>-2.6825942534084519</v>
      </c>
      <c r="AF45" s="25">
        <f ca="1">$AP$45*$AP$55</f>
        <v>0</v>
      </c>
      <c r="AG45" s="25">
        <f ca="1">SUM($AE$45:$AF$45)</f>
        <v>-2.6825942534084519</v>
      </c>
      <c r="AH45" s="25">
        <f>'TUSD BE'!$AH$45*'TUSD BE'!$AH$58</f>
        <v>-1.8948665405653644</v>
      </c>
      <c r="AI45" s="25">
        <f>'TUSD BE'!$AI$45*'TUSD BE'!$AI$58</f>
        <v>0</v>
      </c>
      <c r="AJ45" s="25">
        <f ca="1">'TUSD BE'!$AJ$45*'TUSD BE'!$AJ$58</f>
        <v>0</v>
      </c>
      <c r="AK45" s="25">
        <f ca="1">'TUSD BE'!$AK$45*'TUSD BE'!$AK$58</f>
        <v>0</v>
      </c>
      <c r="AL45" s="25">
        <f ca="1">SUM($AH$45:$AK$45)</f>
        <v>-1.8948665405653644</v>
      </c>
      <c r="AM45" s="25">
        <f ca="1">SUMIF($L$4:$AL$4,"SUBTOTAL",$L$45:$AL$45)</f>
        <v>-313.10151825852438</v>
      </c>
      <c r="AO45" s="30">
        <f ca="1">+'TUSD BE'!$T$45+'TUSD BE'!$AB$45+'TUSD BE'!$AD$45+'TUSD BE'!$AL$45</f>
        <v>2237.2630311810212</v>
      </c>
      <c r="AP45" s="30">
        <f ca="1">+'TUSD BE'!$T$45+'TUSD BE'!$AB$45+'TUSD BE'!$AD$45+'TUSD BE'!$AL$45</f>
        <v>2237.2630311810212</v>
      </c>
    </row>
    <row r="46" spans="1:42" ht="11.25" customHeight="1" x14ac:dyDescent="0.25">
      <c r="A46" s="132"/>
      <c r="B46" s="132"/>
      <c r="C46" s="132"/>
      <c r="D46" s="132"/>
      <c r="E46" s="132"/>
      <c r="F46" s="132"/>
      <c r="G46" s="21" t="s">
        <v>83</v>
      </c>
      <c r="H46" s="21" t="s">
        <v>69</v>
      </c>
      <c r="I46" s="21">
        <f>'MERCADO TUSD'!$U$43</f>
        <v>0.16400000000000003</v>
      </c>
      <c r="J46" s="17"/>
      <c r="L46" s="25">
        <f>'TUSD BE'!$L$46*'TUSD BE'!$L$58</f>
        <v>0</v>
      </c>
      <c r="M46" s="25">
        <f>'TUSD BE'!$M$46*'TUSD BE'!$M$58</f>
        <v>-8.5069361706406763E-2</v>
      </c>
      <c r="N46" s="25">
        <f ca="1">'TUSD BE'!$N$46*'TUSD BE'!$N$58</f>
        <v>0</v>
      </c>
      <c r="O46" s="25">
        <f>'TUSD BE'!$O$46*'TUSD BE'!$O$58</f>
        <v>0</v>
      </c>
      <c r="P46" s="25">
        <f>'TUSD BE'!$P$46*'TUSD BE'!$P$58</f>
        <v>0</v>
      </c>
      <c r="Q46" s="25">
        <f>'TUSD BE'!$Q$46*'TUSD BE'!$Q$58</f>
        <v>-0.33709659390910035</v>
      </c>
      <c r="R46" s="25">
        <f>'TUSD BE'!$R$46*'TUSD BE'!$R$58</f>
        <v>-0.14627084762213108</v>
      </c>
      <c r="S46" s="25">
        <f>'TUSD BE'!$R$46*'TUSD BE'!$S$58</f>
        <v>0</v>
      </c>
      <c r="T46" s="25">
        <f ca="1">SUM($L$46:$S$46)</f>
        <v>-0.56843680323763823</v>
      </c>
      <c r="U46" s="25">
        <f>'TUSD BE'!$U$46*'TUSD BE'!$U$58</f>
        <v>0</v>
      </c>
      <c r="V46" s="25">
        <f>'TUSD BE'!$V$46*'TUSD BE'!$V$58</f>
        <v>0</v>
      </c>
      <c r="W46" s="25">
        <f>'TUSD BE'!$W$46*'TUSD BE'!$W$58</f>
        <v>0</v>
      </c>
      <c r="X46" s="25">
        <f>'TUSD BE'!$X$46*'TUSD BE'!$X$58</f>
        <v>0</v>
      </c>
      <c r="Y46" s="25">
        <f>'TUSD BE'!$Y$46*'TUSD BE'!$Y$58</f>
        <v>9.8305460480308202</v>
      </c>
      <c r="Z46" s="25">
        <f>'TUSD BE'!$Z$46*'TUSD BE'!$Z$58</f>
        <v>0</v>
      </c>
      <c r="AA46" s="25">
        <f>'TUSD BE'!$AA$46*'TUSD BE'!$AA$58</f>
        <v>0</v>
      </c>
      <c r="AB46" s="25">
        <f>SUM($U$46:$AA$46)</f>
        <v>9.8305460480308202</v>
      </c>
      <c r="AC46" s="25">
        <f>'TUSD BE'!$AC$46*'TUSD BE'!$AC$58</f>
        <v>-194.60381266633675</v>
      </c>
      <c r="AD46" s="25">
        <f>SUM($AC$46:$AC$46)</f>
        <v>-194.60381266633675</v>
      </c>
      <c r="AE46" s="25">
        <f ca="1">$AO$46*$AO$55</f>
        <v>-1.6564510671015997</v>
      </c>
      <c r="AF46" s="25">
        <f ca="1">$AP$46*$AP$55</f>
        <v>0</v>
      </c>
      <c r="AG46" s="25">
        <f ca="1">SUM($AE$46:$AF$46)</f>
        <v>-1.6564510671015997</v>
      </c>
      <c r="AH46" s="25">
        <f>'TUSD BE'!$AH$46*'TUSD BE'!$AH$58</f>
        <v>-1.8948665405653644</v>
      </c>
      <c r="AI46" s="25">
        <f>'TUSD BE'!$AI$46*'TUSD BE'!$AI$58</f>
        <v>0</v>
      </c>
      <c r="AJ46" s="25">
        <f ca="1">'TUSD BE'!$AJ$46*'TUSD BE'!$AJ$58</f>
        <v>0</v>
      </c>
      <c r="AK46" s="25">
        <f ca="1">'TUSD BE'!$AK$46*'TUSD BE'!$AK$58</f>
        <v>0</v>
      </c>
      <c r="AL46" s="25">
        <f ca="1">SUM($AH$46:$AK$46)</f>
        <v>-1.8948665405653644</v>
      </c>
      <c r="AM46" s="25">
        <f ca="1">SUMIF($L$4:$AL$4,"SUBTOTAL",$L$46:$AL$46)</f>
        <v>-188.89302102921056</v>
      </c>
      <c r="AO46" s="30">
        <f ca="1">+'TUSD BE'!$T$46+'TUSD BE'!$AB$46+'TUSD BE'!$AD$46+'TUSD BE'!$AL$46</f>
        <v>1381.4674845732247</v>
      </c>
      <c r="AP46" s="30">
        <f ca="1">+'TUSD BE'!$T$46+'TUSD BE'!$AB$46+'TUSD BE'!$AD$46+'TUSD BE'!$AL$46</f>
        <v>1381.4674845732247</v>
      </c>
    </row>
    <row r="47" spans="1:42" ht="11.25" customHeight="1" x14ac:dyDescent="0.25">
      <c r="A47" s="132"/>
      <c r="B47" s="132"/>
      <c r="C47" s="132"/>
      <c r="D47" s="132"/>
      <c r="E47" s="132"/>
      <c r="F47" s="132"/>
      <c r="G47" s="21" t="s">
        <v>71</v>
      </c>
      <c r="H47" s="21" t="s">
        <v>69</v>
      </c>
      <c r="I47" s="21">
        <f>'MERCADO TUSD'!$U$44</f>
        <v>5.0719999999999992</v>
      </c>
      <c r="J47" s="17"/>
      <c r="L47" s="25">
        <f>'TUSD BE'!$L$47*'TUSD BE'!$L$58</f>
        <v>0</v>
      </c>
      <c r="M47" s="25">
        <f>'TUSD BE'!$M$47*'TUSD BE'!$M$58</f>
        <v>-8.5069361706406763E-2</v>
      </c>
      <c r="N47" s="25">
        <f ca="1">'TUSD BE'!$N$47*'TUSD BE'!$N$58</f>
        <v>0</v>
      </c>
      <c r="O47" s="25">
        <f>'TUSD BE'!$O$47*'TUSD BE'!$O$58</f>
        <v>0</v>
      </c>
      <c r="P47" s="25">
        <f>'TUSD BE'!$P$47*'TUSD BE'!$P$58</f>
        <v>0</v>
      </c>
      <c r="Q47" s="25">
        <f>'TUSD BE'!$Q$47*'TUSD BE'!$Q$58</f>
        <v>-0.33709659390910035</v>
      </c>
      <c r="R47" s="25">
        <f>'TUSD BE'!$R$47*'TUSD BE'!$R$58</f>
        <v>-0.14627084762213108</v>
      </c>
      <c r="S47" s="25">
        <f>'TUSD BE'!$R$47*'TUSD BE'!$S$58</f>
        <v>0</v>
      </c>
      <c r="T47" s="25">
        <f ca="1">SUM($L$47:$S$47)</f>
        <v>-0.56843680323763823</v>
      </c>
      <c r="U47" s="25">
        <f>'TUSD BE'!$U$47*'TUSD BE'!$U$58</f>
        <v>0</v>
      </c>
      <c r="V47" s="25">
        <f>'TUSD BE'!$V$47*'TUSD BE'!$V$58</f>
        <v>0</v>
      </c>
      <c r="W47" s="25">
        <f>'TUSD BE'!$W$47*'TUSD BE'!$W$58</f>
        <v>0</v>
      </c>
      <c r="X47" s="25">
        <f>'TUSD BE'!$X$47*'TUSD BE'!$X$58</f>
        <v>0</v>
      </c>
      <c r="Y47" s="25">
        <f>'TUSD BE'!$Y$47*'TUSD BE'!$Y$58</f>
        <v>3.2768730596598492</v>
      </c>
      <c r="Z47" s="25">
        <f>'TUSD BE'!$Z$47*'TUSD BE'!$Z$58</f>
        <v>0</v>
      </c>
      <c r="AA47" s="25">
        <f>'TUSD BE'!$AA$47*'TUSD BE'!$AA$58</f>
        <v>0</v>
      </c>
      <c r="AB47" s="25">
        <f>SUM($U$47:$AA$47)</f>
        <v>3.2768730596598492</v>
      </c>
      <c r="AC47" s="25">
        <f>'TUSD BE'!$AC$47*'TUSD BE'!$AC$58</f>
        <v>-64.867986232240057</v>
      </c>
      <c r="AD47" s="25">
        <f>SUM($AC$47:$AC$47)</f>
        <v>-64.867986232240057</v>
      </c>
      <c r="AE47" s="25">
        <f ca="1">$AO$47*$AO$55</f>
        <v>-0.63030511266429512</v>
      </c>
      <c r="AF47" s="25">
        <f ca="1">$AP$47*$AP$55</f>
        <v>0</v>
      </c>
      <c r="AG47" s="25">
        <f ca="1">SUM($AE$47:$AF$47)</f>
        <v>-0.63030511266429512</v>
      </c>
      <c r="AH47" s="25">
        <f>'TUSD BE'!$AH$47*'TUSD BE'!$AH$58</f>
        <v>-1.8948665405653644</v>
      </c>
      <c r="AI47" s="25">
        <f>'TUSD BE'!$AI$47*'TUSD BE'!$AI$58</f>
        <v>0</v>
      </c>
      <c r="AJ47" s="25">
        <f ca="1">'TUSD BE'!$AJ$47*'TUSD BE'!$AJ$58</f>
        <v>0</v>
      </c>
      <c r="AK47" s="25">
        <f ca="1">'TUSD BE'!$AK$47*'TUSD BE'!$AK$58</f>
        <v>0</v>
      </c>
      <c r="AL47" s="25">
        <f ca="1">SUM($AH$47:$AK$47)</f>
        <v>-1.8948665405653644</v>
      </c>
      <c r="AM47" s="25">
        <f ca="1">SUMIF($L$4:$AL$4,"SUBTOTAL",$L$47:$AL$47)</f>
        <v>-64.684721629047502</v>
      </c>
      <c r="AO47" s="30">
        <f ca="1">+'TUSD BE'!$T$47+'TUSD BE'!$AB$47+'TUSD BE'!$AD$47+'TUSD BE'!$AL$47</f>
        <v>525.66962936586333</v>
      </c>
      <c r="AP47" s="30">
        <f ca="1">+'TUSD BE'!$T$47+'TUSD BE'!$AB$47+'TUSD BE'!$AD$47+'TUSD BE'!$AL$47</f>
        <v>525.66962936586333</v>
      </c>
    </row>
    <row r="48" spans="1:42" ht="11.25" customHeight="1" x14ac:dyDescent="0.25">
      <c r="A48" s="132"/>
      <c r="B48" s="28" t="s">
        <v>23</v>
      </c>
      <c r="C48" s="28" t="s">
        <v>25</v>
      </c>
      <c r="D48" s="28" t="s">
        <v>25</v>
      </c>
      <c r="E48" s="28" t="s">
        <v>25</v>
      </c>
      <c r="F48" s="28" t="s">
        <v>25</v>
      </c>
      <c r="G48" s="21" t="s">
        <v>73</v>
      </c>
      <c r="H48" s="21" t="s">
        <v>69</v>
      </c>
      <c r="I48" s="21">
        <f>'MERCADO TUSD'!$U$45</f>
        <v>1791.422</v>
      </c>
      <c r="J48" s="17"/>
      <c r="L48" s="25">
        <f>'TUSD BE'!$L$48*'TUSD BE'!$L$58</f>
        <v>0</v>
      </c>
      <c r="M48" s="25">
        <f>'TUSD BE'!$M$48*'TUSD BE'!$M$58</f>
        <v>-8.5069361706406763E-2</v>
      </c>
      <c r="N48" s="25">
        <f ca="1">'TUSD BE'!$N$48*'TUSD BE'!$N$58</f>
        <v>0</v>
      </c>
      <c r="O48" s="25">
        <f>'TUSD BE'!$O$48*'TUSD BE'!$O$58</f>
        <v>0</v>
      </c>
      <c r="P48" s="25">
        <f>'TUSD BE'!$P$48*'TUSD BE'!$P$58</f>
        <v>0</v>
      </c>
      <c r="Q48" s="25">
        <f>'TUSD BE'!$Q$48*'TUSD BE'!$Q$58</f>
        <v>-0.33709659390910035</v>
      </c>
      <c r="R48" s="25">
        <f>'TUSD BE'!$R$48*'TUSD BE'!$R$58</f>
        <v>-0.14627084762213108</v>
      </c>
      <c r="S48" s="25">
        <f>'TUSD BE'!$R$48*'TUSD BE'!$S$58</f>
        <v>0</v>
      </c>
      <c r="T48" s="25">
        <f ca="1">SUM($L$48:$S$48)</f>
        <v>-0.56843680323763823</v>
      </c>
      <c r="U48" s="25">
        <f>'TUSD BE'!$U$48*'TUSD BE'!$U$58</f>
        <v>0</v>
      </c>
      <c r="V48" s="25">
        <f>'TUSD BE'!$V$48*'TUSD BE'!$V$58</f>
        <v>0</v>
      </c>
      <c r="W48" s="25">
        <f>'TUSD BE'!$W$48*'TUSD BE'!$W$58</f>
        <v>0</v>
      </c>
      <c r="X48" s="25">
        <f>'TUSD BE'!$X$48*'TUSD BE'!$X$58</f>
        <v>0</v>
      </c>
      <c r="Y48" s="25">
        <f>'TUSD BE'!$Y$48*'TUSD BE'!$Y$58</f>
        <v>5.0412647432104087</v>
      </c>
      <c r="Z48" s="25">
        <f>'TUSD BE'!$Z$48*'TUSD BE'!$Z$58</f>
        <v>0</v>
      </c>
      <c r="AA48" s="25">
        <f>'TUSD BE'!$AA$48*'TUSD BE'!$AA$58</f>
        <v>0</v>
      </c>
      <c r="AB48" s="25">
        <f>SUM($U$48:$AA$48)</f>
        <v>5.0412647432104087</v>
      </c>
      <c r="AC48" s="25">
        <f>'TUSD BE'!$AC$48*'TUSD BE'!$AC$58</f>
        <v>-99.796798925611782</v>
      </c>
      <c r="AD48" s="25">
        <f>SUM($AC$48:$AC$48)</f>
        <v>-99.796798925611782</v>
      </c>
      <c r="AE48" s="25">
        <f ca="1">$AO$48*$AO$55</f>
        <v>-0.9065728576646378</v>
      </c>
      <c r="AF48" s="25">
        <f ca="1">$AP$48*$AP$55</f>
        <v>0</v>
      </c>
      <c r="AG48" s="25">
        <f ca="1">SUM($AE$48:$AF$48)</f>
        <v>-0.9065728576646378</v>
      </c>
      <c r="AH48" s="25">
        <f>'TUSD BE'!$AH$48*'TUSD BE'!$AH$58</f>
        <v>-1.8948665405653644</v>
      </c>
      <c r="AI48" s="25">
        <f>'TUSD BE'!$AI$48*'TUSD BE'!$AI$58</f>
        <v>0</v>
      </c>
      <c r="AJ48" s="25">
        <f ca="1">'TUSD BE'!$AJ$48*'TUSD BE'!$AJ$58</f>
        <v>0</v>
      </c>
      <c r="AK48" s="25">
        <f ca="1">'TUSD BE'!$AK$48*'TUSD BE'!$AK$58</f>
        <v>0</v>
      </c>
      <c r="AL48" s="25">
        <f ca="1">SUM($AH$48:$AK$48)</f>
        <v>-1.8948665405653644</v>
      </c>
      <c r="AM48" s="25">
        <f ca="1">SUMIF($L$4:$AL$4,"SUBTOTAL",$L$48:$AL$48)</f>
        <v>-98.12541038386901</v>
      </c>
      <c r="AO48" s="30">
        <f ca="1">+'TUSD BE'!$T$48+'TUSD BE'!$AB$48+'TUSD BE'!$AD$48+'TUSD BE'!$AL$48</f>
        <v>756.07480965419325</v>
      </c>
      <c r="AP48" s="30">
        <f ca="1">+'TUSD BE'!$T$48+'TUSD BE'!$AB$48+'TUSD BE'!$AD$48+'TUSD BE'!$AL$48</f>
        <v>756.07480965419325</v>
      </c>
    </row>
    <row r="49" spans="1:42" ht="11.25" customHeight="1" x14ac:dyDescent="0.25">
      <c r="A49" s="132"/>
      <c r="B49" s="28" t="s">
        <v>85</v>
      </c>
      <c r="C49" s="28" t="s">
        <v>25</v>
      </c>
      <c r="D49" s="28" t="s">
        <v>25</v>
      </c>
      <c r="E49" s="28" t="s">
        <v>25</v>
      </c>
      <c r="F49" s="28" t="s">
        <v>25</v>
      </c>
      <c r="G49" s="21" t="s">
        <v>73</v>
      </c>
      <c r="H49" s="21" t="s">
        <v>69</v>
      </c>
      <c r="I49" s="21">
        <f>'MERCADO TUSD'!$U$46</f>
        <v>0</v>
      </c>
      <c r="J49" s="17"/>
      <c r="L49" s="25">
        <f>'TUSD BE'!$L$49*'TUSD BE'!$L$58</f>
        <v>0</v>
      </c>
      <c r="M49" s="25">
        <f>'TUSD BE'!$M$49*'TUSD BE'!$M$58</f>
        <v>-8.5069361706406763E-2</v>
      </c>
      <c r="N49" s="25">
        <f ca="1">'TUSD BE'!$N$49*'TUSD BE'!$N$58</f>
        <v>0</v>
      </c>
      <c r="O49" s="25">
        <f>'TUSD BE'!$O$49*'TUSD BE'!$O$58</f>
        <v>0</v>
      </c>
      <c r="P49" s="25">
        <f>'TUSD BE'!$P$49*'TUSD BE'!$P$58</f>
        <v>0</v>
      </c>
      <c r="Q49" s="25">
        <f>'TUSD BE'!$Q$49*'TUSD BE'!$Q$58</f>
        <v>-0.33709659390910035</v>
      </c>
      <c r="R49" s="25">
        <f>'TUSD BE'!$R$49*'TUSD BE'!$R$58</f>
        <v>-0.14627084762213108</v>
      </c>
      <c r="S49" s="25">
        <f>'TUSD BE'!$R$49*'TUSD BE'!$S$58</f>
        <v>0</v>
      </c>
      <c r="T49" s="25">
        <f ca="1">SUM($L$49:$S$49)</f>
        <v>-0.56843680323763823</v>
      </c>
      <c r="U49" s="25">
        <f>'TUSD BE'!$U$49*'TUSD BE'!$U$58</f>
        <v>0</v>
      </c>
      <c r="V49" s="25">
        <f>'TUSD BE'!$V$49*'TUSD BE'!$V$58</f>
        <v>0</v>
      </c>
      <c r="W49" s="25">
        <f>'TUSD BE'!$W$49*'TUSD BE'!$W$58</f>
        <v>0</v>
      </c>
      <c r="X49" s="25">
        <f>'TUSD BE'!$X$49*'TUSD BE'!$X$58</f>
        <v>0</v>
      </c>
      <c r="Y49" s="25">
        <f>'TUSD BE'!$Y$49*'TUSD BE'!$Y$58</f>
        <v>5.0412647432104087</v>
      </c>
      <c r="Z49" s="25">
        <f>'TUSD BE'!$Z$49*'TUSD BE'!$Z$58</f>
        <v>0</v>
      </c>
      <c r="AA49" s="25">
        <f>'TUSD BE'!$AA$49*'TUSD BE'!$AA$58</f>
        <v>0</v>
      </c>
      <c r="AB49" s="25">
        <f>SUM($U$49:$AA$49)</f>
        <v>5.0412647432104087</v>
      </c>
      <c r="AC49" s="25">
        <f>'TUSD BE'!$AC$49*'TUSD BE'!$AC$58</f>
        <v>-99.796798925611782</v>
      </c>
      <c r="AD49" s="25">
        <f>SUM($AC$49:$AC$49)</f>
        <v>-99.796798925611782</v>
      </c>
      <c r="AE49" s="25">
        <f ca="1">$AO$49*$AO$55</f>
        <v>-0.9065728576646378</v>
      </c>
      <c r="AF49" s="25">
        <f ca="1">$AP$49*$AP$55</f>
        <v>0</v>
      </c>
      <c r="AG49" s="25">
        <f ca="1">SUM($AE$49:$AF$49)</f>
        <v>-0.9065728576646378</v>
      </c>
      <c r="AH49" s="25">
        <f>'TUSD BE'!$AH$49*'TUSD BE'!$AH$58</f>
        <v>-1.8948665405653644</v>
      </c>
      <c r="AI49" s="25">
        <f>'TUSD BE'!$AI$49*'TUSD BE'!$AI$58</f>
        <v>0</v>
      </c>
      <c r="AJ49" s="25">
        <f ca="1">'TUSD BE'!$AJ$49*'TUSD BE'!$AJ$58</f>
        <v>0</v>
      </c>
      <c r="AK49" s="25">
        <f ca="1">'TUSD BE'!$AK$49*'TUSD BE'!$AK$58</f>
        <v>0</v>
      </c>
      <c r="AL49" s="25">
        <f ca="1">SUM($AH$49:$AK$49)</f>
        <v>-1.8948665405653644</v>
      </c>
      <c r="AM49" s="25">
        <f ca="1">SUMIF($L$4:$AL$4,"SUBTOTAL",$L$49:$AL$49)</f>
        <v>-98.12541038386901</v>
      </c>
      <c r="AO49" s="30">
        <f ca="1">+'TUSD BE'!$T$49+'TUSD BE'!$AB$49+'TUSD BE'!$AD$49+'TUSD BE'!$AL$49</f>
        <v>756.07480965419325</v>
      </c>
      <c r="AP49" s="30">
        <f ca="1">+'TUSD BE'!$T$49+'TUSD BE'!$AB$49+'TUSD BE'!$AD$49+'TUSD BE'!$AL$49</f>
        <v>756.07480965419325</v>
      </c>
    </row>
    <row r="50" spans="1:42" ht="11.25" customHeight="1" x14ac:dyDescent="0.25">
      <c r="A50" s="132" t="s">
        <v>44</v>
      </c>
      <c r="B50" s="132" t="s">
        <v>23</v>
      </c>
      <c r="C50" s="132" t="s">
        <v>45</v>
      </c>
      <c r="D50" s="28" t="s">
        <v>46</v>
      </c>
      <c r="E50" s="28" t="s">
        <v>25</v>
      </c>
      <c r="F50" s="28" t="s">
        <v>25</v>
      </c>
      <c r="G50" s="21" t="s">
        <v>73</v>
      </c>
      <c r="H50" s="21" t="s">
        <v>69</v>
      </c>
      <c r="I50" s="21">
        <f>'MERCADO TUSD'!$U$47</f>
        <v>1518.0680000000002</v>
      </c>
      <c r="J50" s="17"/>
      <c r="L50" s="25">
        <f>'TUSD BE'!$L$50*'TUSD BE'!$L$58</f>
        <v>0</v>
      </c>
      <c r="M50" s="25">
        <f>'TUSD BE'!$M$50*'TUSD BE'!$M$58</f>
        <v>-4.6788148938523719E-2</v>
      </c>
      <c r="N50" s="25">
        <f ca="1">'TUSD BE'!$N$50*'TUSD BE'!$N$58</f>
        <v>0</v>
      </c>
      <c r="O50" s="25">
        <f>'TUSD BE'!$O$50*'TUSD BE'!$O$58</f>
        <v>0</v>
      </c>
      <c r="P50" s="25">
        <f>'TUSD BE'!$P$50*'TUSD BE'!$P$58</f>
        <v>0</v>
      </c>
      <c r="Q50" s="25">
        <f>'TUSD BE'!$Q$50*'TUSD BE'!$Q$58</f>
        <v>-0.18540312665000519</v>
      </c>
      <c r="R50" s="25">
        <f>'TUSD BE'!$R$50*'TUSD BE'!$R$58</f>
        <v>-8.0448966192172094E-2</v>
      </c>
      <c r="S50" s="25">
        <f>'TUSD BE'!$R$50*'TUSD BE'!$S$58</f>
        <v>0</v>
      </c>
      <c r="T50" s="25">
        <f ca="1">SUM($L$50:$S$50)</f>
        <v>-0.31264024178070104</v>
      </c>
      <c r="U50" s="25">
        <f>'TUSD BE'!$U$50*'TUSD BE'!$U$58</f>
        <v>0</v>
      </c>
      <c r="V50" s="25">
        <f>'TUSD BE'!$V$50*'TUSD BE'!$V$58</f>
        <v>0</v>
      </c>
      <c r="W50" s="25">
        <f>'TUSD BE'!$W$50*'TUSD BE'!$W$58</f>
        <v>0</v>
      </c>
      <c r="X50" s="25">
        <f>'TUSD BE'!$X$50*'TUSD BE'!$X$58</f>
        <v>0</v>
      </c>
      <c r="Y50" s="25">
        <f>'TUSD BE'!$Y$50*'TUSD BE'!$Y$58</f>
        <v>2.7726956087657255</v>
      </c>
      <c r="Z50" s="25">
        <f>'TUSD BE'!$Z$50*'TUSD BE'!$Z$58</f>
        <v>0</v>
      </c>
      <c r="AA50" s="25">
        <f>'TUSD BE'!$AA$50*'TUSD BE'!$AA$58</f>
        <v>0</v>
      </c>
      <c r="AB50" s="25">
        <f>SUM($U$50:$AA$50)</f>
        <v>2.7726956087657255</v>
      </c>
      <c r="AC50" s="25">
        <f>'TUSD BE'!$AC$50*'TUSD BE'!$AC$58</f>
        <v>-54.888239409086495</v>
      </c>
      <c r="AD50" s="25">
        <f>SUM($AC$50:$AC$50)</f>
        <v>-54.888239409086495</v>
      </c>
      <c r="AE50" s="25">
        <f ca="1">$AO$50*$AO$55</f>
        <v>-0.49861507171555092</v>
      </c>
      <c r="AF50" s="25">
        <f ca="1">$AP$50*$AP$55</f>
        <v>0</v>
      </c>
      <c r="AG50" s="25">
        <f ca="1">SUM($AE$50:$AF$50)</f>
        <v>-0.49861507171555092</v>
      </c>
      <c r="AH50" s="25">
        <f>'TUSD BE'!$AH$50*'TUSD BE'!$AH$58</f>
        <v>-1.0421765973109505</v>
      </c>
      <c r="AI50" s="25">
        <f>'TUSD BE'!$AI$50*'TUSD BE'!$AI$58</f>
        <v>0</v>
      </c>
      <c r="AJ50" s="25">
        <f ca="1">'TUSD BE'!$AJ$50*'TUSD BE'!$AJ$58</f>
        <v>0</v>
      </c>
      <c r="AK50" s="25">
        <f ca="1">'TUSD BE'!$AK$50*'TUSD BE'!$AK$58</f>
        <v>0</v>
      </c>
      <c r="AL50" s="25">
        <f ca="1">SUM($AH$50:$AK$50)</f>
        <v>-1.0421765973109505</v>
      </c>
      <c r="AM50" s="25">
        <f ca="1">SUMIF($L$4:$AL$4,"SUBTOTAL",$L$50:$AL$50)</f>
        <v>-53.968975711127968</v>
      </c>
      <c r="AO50" s="30">
        <f ca="1">+'TUSD BE'!$T$50+'TUSD BE'!$AB$50+'TUSD BE'!$AD$50+'TUSD BE'!$AL$50</f>
        <v>415.84114530980639</v>
      </c>
      <c r="AP50" s="30">
        <f ca="1">+'TUSD BE'!$T$50+'TUSD BE'!$AB$50+'TUSD BE'!$AD$50+'TUSD BE'!$AL$50</f>
        <v>415.84114530980639</v>
      </c>
    </row>
    <row r="51" spans="1:42" ht="11.25" customHeight="1" x14ac:dyDescent="0.25">
      <c r="A51" s="132"/>
      <c r="B51" s="132"/>
      <c r="C51" s="132"/>
      <c r="D51" s="21" t="s">
        <v>88</v>
      </c>
      <c r="E51" s="21" t="s">
        <v>25</v>
      </c>
      <c r="F51" s="21" t="s">
        <v>25</v>
      </c>
      <c r="G51" s="21" t="s">
        <v>73</v>
      </c>
      <c r="H51" s="21" t="s">
        <v>69</v>
      </c>
      <c r="I51" s="21">
        <f>'MERCADO TUSD'!$U$48</f>
        <v>0</v>
      </c>
      <c r="J51" s="17"/>
      <c r="L51" s="25">
        <f>'TUSD BE'!$L$51*'TUSD BE'!$L$58</f>
        <v>0</v>
      </c>
      <c r="M51" s="25">
        <f>'TUSD BE'!$M$51*'TUSD BE'!$M$58</f>
        <v>-5.1041617023844063E-2</v>
      </c>
      <c r="N51" s="25">
        <f ca="1">'TUSD BE'!$N$51*'TUSD BE'!$N$58</f>
        <v>0</v>
      </c>
      <c r="O51" s="25">
        <f>'TUSD BE'!$O$51*'TUSD BE'!$O$58</f>
        <v>0</v>
      </c>
      <c r="P51" s="25">
        <f>'TUSD BE'!$P$51*'TUSD BE'!$P$58</f>
        <v>0</v>
      </c>
      <c r="Q51" s="25">
        <f>'TUSD BE'!$Q$51*'TUSD BE'!$Q$58</f>
        <v>-0.2022579563454602</v>
      </c>
      <c r="R51" s="25">
        <f>'TUSD BE'!$R$51*'TUSD BE'!$R$58</f>
        <v>-8.7762508573278636E-2</v>
      </c>
      <c r="S51" s="25">
        <f>'TUSD BE'!$R$51*'TUSD BE'!$S$58</f>
        <v>0</v>
      </c>
      <c r="T51" s="25">
        <f ca="1">SUM($L$51:$S$51)</f>
        <v>-0.34106208194258292</v>
      </c>
      <c r="U51" s="25">
        <f>'TUSD BE'!$U$51*'TUSD BE'!$U$58</f>
        <v>0</v>
      </c>
      <c r="V51" s="25">
        <f>'TUSD BE'!$V$51*'TUSD BE'!$V$58</f>
        <v>0</v>
      </c>
      <c r="W51" s="25">
        <f>'TUSD BE'!$W$51*'TUSD BE'!$W$58</f>
        <v>0</v>
      </c>
      <c r="X51" s="25">
        <f>'TUSD BE'!$X$51*'TUSD BE'!$X$58</f>
        <v>0</v>
      </c>
      <c r="Y51" s="25">
        <f>'TUSD BE'!$Y$51*'TUSD BE'!$Y$58</f>
        <v>3.0247588459262453</v>
      </c>
      <c r="Z51" s="25">
        <f>'TUSD BE'!$Z$51*'TUSD BE'!$Z$58</f>
        <v>0</v>
      </c>
      <c r="AA51" s="25">
        <f>'TUSD BE'!$AA$51*'TUSD BE'!$AA$58</f>
        <v>0</v>
      </c>
      <c r="AB51" s="25">
        <f>SUM($U$51:$AA$51)</f>
        <v>3.0247588459262453</v>
      </c>
      <c r="AC51" s="25">
        <f>'TUSD BE'!$AC$51*'TUSD BE'!$AC$58</f>
        <v>-59.878079355367078</v>
      </c>
      <c r="AD51" s="25">
        <f>SUM($AC$51:$AC$51)</f>
        <v>-59.878079355367078</v>
      </c>
      <c r="AE51" s="25">
        <f ca="1">$AO$51*$AO$55</f>
        <v>-0.54394371459878277</v>
      </c>
      <c r="AF51" s="25">
        <f ca="1">$AP$51*$AP$55</f>
        <v>0</v>
      </c>
      <c r="AG51" s="25">
        <f ca="1">SUM($AE$51:$AF$51)</f>
        <v>-0.54394371459878277</v>
      </c>
      <c r="AH51" s="25">
        <f>'TUSD BE'!$AH$51*'TUSD BE'!$AH$58</f>
        <v>-1.1369199243392185</v>
      </c>
      <c r="AI51" s="25">
        <f>'TUSD BE'!$AI$51*'TUSD BE'!$AI$58</f>
        <v>0</v>
      </c>
      <c r="AJ51" s="25">
        <f ca="1">'TUSD BE'!$AJ$51*'TUSD BE'!$AJ$58</f>
        <v>0</v>
      </c>
      <c r="AK51" s="25">
        <f ca="1">'TUSD BE'!$AK$51*'TUSD BE'!$AK$58</f>
        <v>0</v>
      </c>
      <c r="AL51" s="25">
        <f ca="1">SUM($AH$51:$AK$51)</f>
        <v>-1.1369199243392185</v>
      </c>
      <c r="AM51" s="25">
        <f ca="1">SUMIF($L$4:$AL$4,"SUBTOTAL",$L$51:$AL$51)</f>
        <v>-58.875246230321416</v>
      </c>
      <c r="AO51" s="30">
        <f ca="1">+'TUSD BE'!$T$51+'TUSD BE'!$AB$51+'TUSD BE'!$AD$51+'TUSD BE'!$AL$51</f>
        <v>453.64488579251599</v>
      </c>
      <c r="AP51" s="30">
        <f ca="1">+'TUSD BE'!$T$51+'TUSD BE'!$AB$51+'TUSD BE'!$AD$51+'TUSD BE'!$AL$51</f>
        <v>453.64488579251599</v>
      </c>
    </row>
    <row r="53" spans="1:42" ht="11.25" customHeight="1" x14ac:dyDescent="0.25">
      <c r="K53" s="27" t="s">
        <v>617</v>
      </c>
      <c r="L53" s="25">
        <f>SUMPRODUCT($I$5:$I51,$L$5:$L51)</f>
        <v>0</v>
      </c>
      <c r="M53" s="25">
        <f>SUMPRODUCT($I$5:$I51,$M$5:$M51)</f>
        <v>-878.65841579449466</v>
      </c>
      <c r="N53" s="25">
        <f ca="1">SUMPRODUCT($I$5:$I51,$N$5:$N51)</f>
        <v>0</v>
      </c>
      <c r="O53" s="25">
        <f>SUMPRODUCT($I$5:$I51,$O$5:$O51)</f>
        <v>0</v>
      </c>
      <c r="P53" s="25">
        <f>SUMPRODUCT($I$5:$I51,$P$5:$P51)</f>
        <v>0</v>
      </c>
      <c r="Q53" s="25">
        <f>SUMPRODUCT($I$5:$I51,$Q$5:$Q51)</f>
        <v>-2691.1137489444859</v>
      </c>
      <c r="R53" s="25">
        <f>SUMPRODUCT($I$5:$I51,$R$5:$R51)</f>
        <v>-1175.0322466898426</v>
      </c>
      <c r="S53" s="25">
        <f>SUMPRODUCT($I$5:$I51,$S$5:$S51)</f>
        <v>0</v>
      </c>
      <c r="T53" s="25">
        <f ca="1">SUMPRODUCT($I$5:$I51,$T$5:$T51)</f>
        <v>-4744.8044114288232</v>
      </c>
      <c r="U53" s="25">
        <f>SUMPRODUCT($I$5:$I51,$U$5:$U51)</f>
        <v>0</v>
      </c>
      <c r="V53" s="25">
        <f>SUMPRODUCT($I$5:$I51,$V$5:$V51)</f>
        <v>0</v>
      </c>
      <c r="W53" s="25">
        <f>SUMPRODUCT($I$5:$I51,$W$5:$W51)</f>
        <v>0</v>
      </c>
      <c r="X53" s="25">
        <f>SUMPRODUCT($I$5:$I51,$X$5:$X51)</f>
        <v>0</v>
      </c>
      <c r="Y53" s="25">
        <f>SUMPRODUCT($I$5:$I51,$Y$5:$Y51)</f>
        <v>53063.032490582598</v>
      </c>
      <c r="Z53" s="25">
        <f>SUMPRODUCT($I$5:$I51,$Z$5:$Z51)</f>
        <v>0</v>
      </c>
      <c r="AA53" s="25">
        <f>SUMPRODUCT($I$5:$I51,$AA$5:$AA51)</f>
        <v>0</v>
      </c>
      <c r="AB53" s="25">
        <f>SUMPRODUCT($I$5:$I51,$AB$5:$AB51)</f>
        <v>53063.032490582598</v>
      </c>
      <c r="AC53" s="25">
        <f>SUMPRODUCT($I$5:$I51,$AC$5:$AC51)</f>
        <v>-1029915.1601314496</v>
      </c>
      <c r="AD53" s="25">
        <f>SUMPRODUCT($I$5:$I51,$AD$5:$AD51)</f>
        <v>-1029915.1601314496</v>
      </c>
      <c r="AE53" s="25">
        <f ca="1">SUMPRODUCT($I$5:$I51,$AE$5:$AE51)</f>
        <v>-9235.4301805769501</v>
      </c>
      <c r="AF53" s="25">
        <f ca="1">SUMPRODUCT($I$5:$I51,$AF$5:$AF51)</f>
        <v>0</v>
      </c>
      <c r="AG53" s="25">
        <f ca="1">SUMPRODUCT($I$5:$I51,$AG$5:$AG51)</f>
        <v>-9235.4301805769501</v>
      </c>
      <c r="AH53" s="25">
        <f>SUMPRODUCT($I$5:$I51,$AH$5:$AH51)</f>
        <v>-19646.636785082315</v>
      </c>
      <c r="AI53" s="25">
        <f>SUMPRODUCT($I$5:$I51,$AI$5:$AI51)</f>
        <v>0</v>
      </c>
      <c r="AJ53" s="25">
        <f ca="1">SUMPRODUCT($I$5:$I51,$AJ$5:$AJ51)</f>
        <v>0</v>
      </c>
      <c r="AK53" s="25">
        <f ca="1">SUMPRODUCT($I$5:$I51,$AK$5:$AK51)</f>
        <v>0</v>
      </c>
      <c r="AL53" s="25">
        <f ca="1">SUMPRODUCT($I$5:$I51,$AL$5:$AL51)</f>
        <v>-19646.636785082315</v>
      </c>
      <c r="AM53" s="25">
        <f ca="1">SUMPRODUCT($I$5:$I51,$AM$5:$AM51)</f>
        <v>-1010478.999017955</v>
      </c>
      <c r="AO53" s="21">
        <f ca="1">SUMPRODUCT($I$5:$I51,$AO$5:$AO51)</f>
        <v>7702277.9325667415</v>
      </c>
      <c r="AP53" s="21">
        <f ca="1">SUMPRODUCT($I$5:$I51,$AP$5:$AP51)</f>
        <v>7702277.9325667415</v>
      </c>
    </row>
    <row r="54" spans="1:42" ht="11.25" customHeight="1" x14ac:dyDescent="0.25">
      <c r="K54" s="27" t="s">
        <v>549</v>
      </c>
      <c r="L54" s="25">
        <f>'TR TUSD'!$L$56</f>
        <v>0</v>
      </c>
      <c r="M54" s="25">
        <f>'TR TUSD'!$M$56</f>
        <v>22294.131810006256</v>
      </c>
      <c r="N54" s="25">
        <f>'TR TUSD'!$N$56</f>
        <v>0</v>
      </c>
      <c r="O54" s="25">
        <f>'TR TUSD'!$O$56</f>
        <v>0</v>
      </c>
      <c r="P54" s="25">
        <f>'TR TUSD'!$P$56</f>
        <v>0</v>
      </c>
      <c r="Q54" s="25">
        <f>'TR TUSD'!$Q$56</f>
        <v>326721.76126000017</v>
      </c>
      <c r="R54" s="25">
        <f>'TR TUSD'!$R$56</f>
        <v>123162.64722000006</v>
      </c>
      <c r="S54" s="25">
        <f>'TR TUSD'!$S$56</f>
        <v>0</v>
      </c>
      <c r="T54" s="25">
        <f>'TR TUSD'!$T$56</f>
        <v>472178.54029000649</v>
      </c>
      <c r="U54" s="25">
        <f>'TR TUSD'!$U$56</f>
        <v>0</v>
      </c>
      <c r="V54" s="25">
        <f>'TR TUSD'!$V$56</f>
        <v>0</v>
      </c>
      <c r="W54" s="25">
        <f>'TR TUSD'!$W$56</f>
        <v>0</v>
      </c>
      <c r="X54" s="25">
        <f>'TR TUSD'!$X$56</f>
        <v>0</v>
      </c>
      <c r="Y54" s="25">
        <f>'TR TUSD'!$Y$56</f>
        <v>1447629.078219</v>
      </c>
      <c r="Z54" s="25">
        <f>'TR TUSD'!$Z$56</f>
        <v>0</v>
      </c>
      <c r="AA54" s="25">
        <f>'TR TUSD'!$AA$56</f>
        <v>0</v>
      </c>
      <c r="AB54" s="25">
        <f>'TR TUSD'!$AB$56</f>
        <v>1447629.078219</v>
      </c>
      <c r="AC54" s="25">
        <f>'TR TUSD'!$AC$56</f>
        <v>5374442.8200000003</v>
      </c>
      <c r="AD54" s="25">
        <f>'TR TUSD'!$AD$56</f>
        <v>5374442.8200000003</v>
      </c>
      <c r="AE54" s="25">
        <f>'TR TUSD'!$AE$56</f>
        <v>0</v>
      </c>
      <c r="AF54" s="25">
        <f>'TR TUSD'!$AF$56</f>
        <v>0</v>
      </c>
      <c r="AG54" s="25">
        <f>'TR TUSD'!$AG$56</f>
        <v>0</v>
      </c>
      <c r="AH54" s="25">
        <f>'TR TUSD'!$AH$56</f>
        <v>408027.49405773473</v>
      </c>
      <c r="AI54" s="25">
        <f>'TR TUSD'!$AI$56</f>
        <v>0</v>
      </c>
      <c r="AJ54" s="25">
        <f>'TR TUSD'!$AJ$56</f>
        <v>0</v>
      </c>
      <c r="AK54" s="25">
        <f>'TR TUSD'!$AK$56</f>
        <v>0</v>
      </c>
      <c r="AL54" s="25">
        <f>'TR TUSD'!$AL$56</f>
        <v>408027.49405773473</v>
      </c>
      <c r="AM54" s="25">
        <f>'TUSD BE'!$AM$54</f>
        <v>7702277.9325667415</v>
      </c>
      <c r="AO54" s="21">
        <f>$AE$55</f>
        <v>-9235.4301805769501</v>
      </c>
      <c r="AP54" s="21">
        <f>$AF$55</f>
        <v>0</v>
      </c>
    </row>
    <row r="55" spans="1:42" ht="11.25" customHeight="1" x14ac:dyDescent="0.25">
      <c r="K55" s="27" t="s">
        <v>550</v>
      </c>
      <c r="L55" s="25">
        <f>CUSTOS!$E$2</f>
        <v>0</v>
      </c>
      <c r="M55" s="25">
        <f>CUSTOS!$E$3</f>
        <v>-878.65841579449477</v>
      </c>
      <c r="N55" s="25">
        <f>CUSTOS!$E$4</f>
        <v>0</v>
      </c>
      <c r="O55" s="25">
        <f>CUSTOS!$E$5</f>
        <v>0</v>
      </c>
      <c r="P55" s="25">
        <f>CUSTOS!$E$6</f>
        <v>0</v>
      </c>
      <c r="Q55" s="25">
        <f>CUSTOS!$E$7</f>
        <v>-2691.1137489444864</v>
      </c>
      <c r="R55" s="25">
        <f>CUSTOS!$E$8</f>
        <v>-1175.0322466898426</v>
      </c>
      <c r="S55" s="25">
        <f>CUSTOS!$E$9</f>
        <v>0</v>
      </c>
      <c r="T55" s="25">
        <f>CUSTOS!$E$10</f>
        <v>-4744.8044114288241</v>
      </c>
      <c r="U55" s="25">
        <f>CUSTOS!$E$11</f>
        <v>0</v>
      </c>
      <c r="V55" s="25">
        <f>CUSTOS!$E$12</f>
        <v>0</v>
      </c>
      <c r="W55" s="25">
        <f>CUSTOS!$E$13</f>
        <v>0</v>
      </c>
      <c r="X55" s="25">
        <f>CUSTOS!$E$14</f>
        <v>0</v>
      </c>
      <c r="Y55" s="25">
        <f>CUSTOS!$E$15</f>
        <v>53063.032490582591</v>
      </c>
      <c r="Z55" s="25">
        <f>CUSTOS!$E$16</f>
        <v>0</v>
      </c>
      <c r="AA55" s="25">
        <f>CUSTOS!$E$17</f>
        <v>0</v>
      </c>
      <c r="AB55" s="25">
        <f>CUSTOS!$E$18</f>
        <v>53063.032490582591</v>
      </c>
      <c r="AC55" s="25">
        <f>CUSTOS!$E$19</f>
        <v>-1029915.1601314496</v>
      </c>
      <c r="AD55" s="25">
        <f>CUSTOS!$E$20</f>
        <v>-1029915.1601314496</v>
      </c>
      <c r="AE55" s="25">
        <f>CUSTOS!$E$21</f>
        <v>-9235.4301805769501</v>
      </c>
      <c r="AF55" s="25">
        <f>CUSTOS!$E$22</f>
        <v>0</v>
      </c>
      <c r="AG55" s="25">
        <f>CUSTOS!$E$23</f>
        <v>-9235.4301805769501</v>
      </c>
      <c r="AH55" s="25">
        <f>CUSTOS!$E$24</f>
        <v>-19646.636785082319</v>
      </c>
      <c r="AI55" s="25">
        <f>CUSTOS!$E$25</f>
        <v>0</v>
      </c>
      <c r="AJ55" s="25">
        <f>CUSTOS!$E$26</f>
        <v>0</v>
      </c>
      <c r="AK55" s="25">
        <f>CUSTOS!$E$27</f>
        <v>0</v>
      </c>
      <c r="AL55" s="25">
        <f>CUSTOS!$E$28</f>
        <v>-19646.636785082319</v>
      </c>
      <c r="AM55" s="25">
        <f>CUSTOS!$E$29</f>
        <v>-1010478.999017955</v>
      </c>
      <c r="AO55" s="21">
        <f ca="1">IF(AO53&lt;&gt;0,AO54/AO53,0)</f>
        <v>-1.1990517949927177E-3</v>
      </c>
      <c r="AP55" s="21">
        <f ca="1">IF(AP53&lt;&gt;0,AP54/AP53,0)</f>
        <v>0</v>
      </c>
    </row>
    <row r="56" spans="1:42" ht="11.25" customHeight="1" x14ac:dyDescent="0.25">
      <c r="K56" s="27" t="s">
        <v>551</v>
      </c>
      <c r="L56" s="25">
        <f>CUSTOS!$F$2</f>
        <v>0</v>
      </c>
      <c r="M56" s="25">
        <f>CUSTOS!$F$3</f>
        <v>0</v>
      </c>
      <c r="N56" s="25">
        <f>CUSTOS!$F$4</f>
        <v>0</v>
      </c>
      <c r="O56" s="25">
        <f>CUSTOS!$F$5</f>
        <v>0</v>
      </c>
      <c r="P56" s="25">
        <f>CUSTOS!$F$6</f>
        <v>0</v>
      </c>
      <c r="Q56" s="25">
        <f>CUSTOS!$F$7</f>
        <v>0</v>
      </c>
      <c r="R56" s="25">
        <f>CUSTOS!$F$8</f>
        <v>0</v>
      </c>
      <c r="S56" s="25">
        <f>CUSTOS!$F$9</f>
        <v>0</v>
      </c>
      <c r="T56" s="25">
        <f>CUSTOS!$F$10</f>
        <v>0</v>
      </c>
      <c r="U56" s="25">
        <f>CUSTOS!$F$11</f>
        <v>0</v>
      </c>
      <c r="V56" s="25">
        <f>CUSTOS!$F$12</f>
        <v>0</v>
      </c>
      <c r="W56" s="25">
        <f>CUSTOS!$F$13</f>
        <v>0</v>
      </c>
      <c r="X56" s="25">
        <f>CUSTOS!$F$14</f>
        <v>0</v>
      </c>
      <c r="Y56" s="25">
        <f>CUSTOS!$F$15</f>
        <v>0</v>
      </c>
      <c r="Z56" s="25">
        <f>CUSTOS!$F$16</f>
        <v>0</v>
      </c>
      <c r="AA56" s="25">
        <f>CUSTOS!$F$17</f>
        <v>0</v>
      </c>
      <c r="AB56" s="25">
        <f>CUSTOS!$F$18</f>
        <v>0</v>
      </c>
      <c r="AC56" s="25">
        <f>CUSTOS!$F$19</f>
        <v>0</v>
      </c>
      <c r="AD56" s="25">
        <f>CUSTOS!$F$20</f>
        <v>0</v>
      </c>
      <c r="AE56" s="25">
        <f>CUSTOS!$F$21</f>
        <v>0</v>
      </c>
      <c r="AF56" s="25">
        <f>CUSTOS!$F$22</f>
        <v>0</v>
      </c>
      <c r="AG56" s="25">
        <f>CUSTOS!$F$23</f>
        <v>0</v>
      </c>
      <c r="AH56" s="25">
        <f>CUSTOS!$F$24</f>
        <v>0</v>
      </c>
      <c r="AI56" s="25">
        <f>CUSTOS!$F$25</f>
        <v>0</v>
      </c>
      <c r="AJ56" s="25">
        <f>CUSTOS!$F$26</f>
        <v>0</v>
      </c>
      <c r="AK56" s="25">
        <f>CUSTOS!$F$27</f>
        <v>0</v>
      </c>
      <c r="AL56" s="25">
        <f>CUSTOS!$F$28</f>
        <v>0</v>
      </c>
      <c r="AM56" s="25">
        <f>CUSTOS!$F$29</f>
        <v>0</v>
      </c>
    </row>
    <row r="57" spans="1:42" ht="11.25" customHeight="1" x14ac:dyDescent="0.25">
      <c r="K57" s="27" t="s">
        <v>614</v>
      </c>
      <c r="L57" s="25">
        <v>0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5">
        <f>SUM($L$57:$S$57)</f>
        <v>0</v>
      </c>
      <c r="U57" s="25">
        <v>0</v>
      </c>
      <c r="V57" s="25">
        <v>0</v>
      </c>
      <c r="W57" s="25">
        <v>0</v>
      </c>
      <c r="X57" s="25">
        <v>0</v>
      </c>
      <c r="Y57" s="25">
        <v>0</v>
      </c>
      <c r="Z57" s="25">
        <v>0</v>
      </c>
      <c r="AA57" s="25">
        <v>0</v>
      </c>
      <c r="AB57" s="25">
        <f>SUM($U$57:$AA$57)</f>
        <v>0</v>
      </c>
      <c r="AC57" s="25">
        <v>0</v>
      </c>
      <c r="AD57" s="25">
        <f>SUM($AC$57:$AC$57)</f>
        <v>0</v>
      </c>
      <c r="AE57" s="25">
        <v>0</v>
      </c>
      <c r="AF57" s="25">
        <v>0</v>
      </c>
      <c r="AG57" s="25">
        <f>SUM($AE$57:$AF$57)</f>
        <v>0</v>
      </c>
      <c r="AH57" s="25">
        <v>0</v>
      </c>
      <c r="AI57" s="25">
        <v>0</v>
      </c>
      <c r="AJ57" s="25">
        <v>0</v>
      </c>
      <c r="AK57" s="25">
        <v>0</v>
      </c>
      <c r="AL57" s="25">
        <f>SUM($AH$57:$AK$57)</f>
        <v>0</v>
      </c>
      <c r="AM57" s="25"/>
    </row>
    <row r="58" spans="1:42" ht="11.25" customHeight="1" x14ac:dyDescent="0.25">
      <c r="K58" s="27" t="s">
        <v>626</v>
      </c>
      <c r="L58" s="25">
        <f t="shared" ref="L58:R58" si="0">IF((L54-(0))&lt;&gt;0,(L56)/(L54-(0)),0)</f>
        <v>0</v>
      </c>
      <c r="M58" s="25">
        <f t="shared" si="0"/>
        <v>0</v>
      </c>
      <c r="N58" s="25">
        <f t="shared" si="0"/>
        <v>0</v>
      </c>
      <c r="O58" s="25">
        <f t="shared" si="0"/>
        <v>0</v>
      </c>
      <c r="P58" s="25">
        <f t="shared" si="0"/>
        <v>0</v>
      </c>
      <c r="Q58" s="25">
        <f t="shared" si="0"/>
        <v>0</v>
      </c>
      <c r="R58" s="25">
        <f t="shared" si="0"/>
        <v>0</v>
      </c>
      <c r="S58" s="25">
        <f>IF((R53-(0)&lt;&gt;0),(S55)/(R53-(0)),0)</f>
        <v>0</v>
      </c>
      <c r="T58" s="25"/>
      <c r="U58" s="25">
        <f t="shared" ref="U58:AA58" si="1">IF((U54-(0))&lt;&gt;0,(U56)/(U54-(0)),0)</f>
        <v>0</v>
      </c>
      <c r="V58" s="25">
        <f t="shared" si="1"/>
        <v>0</v>
      </c>
      <c r="W58" s="25">
        <f t="shared" si="1"/>
        <v>0</v>
      </c>
      <c r="X58" s="25">
        <f t="shared" si="1"/>
        <v>0</v>
      </c>
      <c r="Y58" s="25">
        <f t="shared" si="1"/>
        <v>0</v>
      </c>
      <c r="Z58" s="25">
        <f t="shared" si="1"/>
        <v>0</v>
      </c>
      <c r="AA58" s="25">
        <f t="shared" si="1"/>
        <v>0</v>
      </c>
      <c r="AB58" s="25"/>
      <c r="AC58" s="25">
        <f>IF((AC54-(0))&lt;&gt;0,(AC56)/(AC54-(0)),0)</f>
        <v>0</v>
      </c>
      <c r="AD58" s="25"/>
      <c r="AE58" s="25">
        <f ca="1">IF(($AM53-(0))&lt;&gt;0,(AE55)/($AM53-(0)),0)</f>
        <v>9.1396557370836042E-3</v>
      </c>
      <c r="AF58" s="25">
        <f ca="1">IF(($AM53-(0))&lt;&gt;0,(AF55)/($AM53-(0)),0)</f>
        <v>0</v>
      </c>
      <c r="AG58" s="25"/>
      <c r="AH58" s="25">
        <f>IF((AH54-(0))&lt;&gt;0,(AH56)/(AH54-(0)),0)</f>
        <v>0</v>
      </c>
      <c r="AI58" s="25">
        <f>IF((AI54-(0))&lt;&gt;0,(AI56)/(AI54-(0)),0)</f>
        <v>0</v>
      </c>
      <c r="AJ58" s="25">
        <f>IF((AJ54-(0))&lt;&gt;0,(AJ56)/(AJ54-(0)),0)</f>
        <v>0</v>
      </c>
      <c r="AK58" s="25">
        <f>IF((AK54-(0))&lt;&gt;0,(AK56)/(AK54-(0)),0)</f>
        <v>0</v>
      </c>
      <c r="AL58" s="25"/>
      <c r="AM58" s="25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783" priority="55" operator="notEqual">
      <formula>$L$55</formula>
    </cfRule>
    <cfRule type="cellIs" dxfId="782" priority="56" operator="equal">
      <formula>$L$55</formula>
    </cfRule>
  </conditionalFormatting>
  <conditionalFormatting sqref="M53">
    <cfRule type="cellIs" dxfId="781" priority="53" operator="notEqual">
      <formula>$M$55</formula>
    </cfRule>
    <cfRule type="cellIs" dxfId="780" priority="54" operator="equal">
      <formula>$M$55</formula>
    </cfRule>
  </conditionalFormatting>
  <conditionalFormatting sqref="N53">
    <cfRule type="cellIs" dxfId="779" priority="51" operator="notEqual">
      <formula>$N$55</formula>
    </cfRule>
    <cfRule type="cellIs" dxfId="778" priority="52" operator="equal">
      <formula>$N$55</formula>
    </cfRule>
  </conditionalFormatting>
  <conditionalFormatting sqref="O53">
    <cfRule type="cellIs" dxfId="777" priority="49" operator="notEqual">
      <formula>$O$55</formula>
    </cfRule>
    <cfRule type="cellIs" dxfId="776" priority="50" operator="equal">
      <formula>$O$55</formula>
    </cfRule>
  </conditionalFormatting>
  <conditionalFormatting sqref="P53">
    <cfRule type="cellIs" dxfId="775" priority="47" operator="notEqual">
      <formula>$P$55</formula>
    </cfRule>
    <cfRule type="cellIs" dxfId="774" priority="48" operator="equal">
      <formula>$P$55</formula>
    </cfRule>
  </conditionalFormatting>
  <conditionalFormatting sqref="Q53">
    <cfRule type="cellIs" dxfId="773" priority="45" operator="notEqual">
      <formula>$Q$55</formula>
    </cfRule>
    <cfRule type="cellIs" dxfId="772" priority="46" operator="equal">
      <formula>$Q$55</formula>
    </cfRule>
  </conditionalFormatting>
  <conditionalFormatting sqref="R53">
    <cfRule type="cellIs" dxfId="771" priority="43" operator="notEqual">
      <formula>$R$55</formula>
    </cfRule>
    <cfRule type="cellIs" dxfId="770" priority="44" operator="equal">
      <formula>$R$55</formula>
    </cfRule>
  </conditionalFormatting>
  <conditionalFormatting sqref="S53">
    <cfRule type="cellIs" dxfId="769" priority="41" operator="notEqual">
      <formula>$S$55</formula>
    </cfRule>
    <cfRule type="cellIs" dxfId="768" priority="42" operator="equal">
      <formula>$S$55</formula>
    </cfRule>
  </conditionalFormatting>
  <conditionalFormatting sqref="T53">
    <cfRule type="cellIs" dxfId="767" priority="39" operator="notEqual">
      <formula>$T$55</formula>
    </cfRule>
    <cfRule type="cellIs" dxfId="766" priority="40" operator="equal">
      <formula>$T$55</formula>
    </cfRule>
  </conditionalFormatting>
  <conditionalFormatting sqref="U53">
    <cfRule type="cellIs" dxfId="765" priority="37" operator="notEqual">
      <formula>$U$55</formula>
    </cfRule>
    <cfRule type="cellIs" dxfId="764" priority="38" operator="equal">
      <formula>$U$55</formula>
    </cfRule>
  </conditionalFormatting>
  <conditionalFormatting sqref="V53">
    <cfRule type="cellIs" dxfId="763" priority="35" operator="notEqual">
      <formula>$V$55</formula>
    </cfRule>
    <cfRule type="cellIs" dxfId="762" priority="36" operator="equal">
      <formula>$V$55</formula>
    </cfRule>
  </conditionalFormatting>
  <conditionalFormatting sqref="W53">
    <cfRule type="cellIs" dxfId="761" priority="33" operator="notEqual">
      <formula>$W$55</formula>
    </cfRule>
    <cfRule type="cellIs" dxfId="760" priority="34" operator="equal">
      <formula>$W$55</formula>
    </cfRule>
  </conditionalFormatting>
  <conditionalFormatting sqref="X53">
    <cfRule type="cellIs" dxfId="759" priority="31" operator="notEqual">
      <formula>$X$55</formula>
    </cfRule>
    <cfRule type="cellIs" dxfId="758" priority="32" operator="equal">
      <formula>$X$55</formula>
    </cfRule>
  </conditionalFormatting>
  <conditionalFormatting sqref="Y53">
    <cfRule type="cellIs" dxfId="757" priority="29" operator="notEqual">
      <formula>$Y$55</formula>
    </cfRule>
    <cfRule type="cellIs" dxfId="756" priority="30" operator="equal">
      <formula>$Y$55</formula>
    </cfRule>
  </conditionalFormatting>
  <conditionalFormatting sqref="Z53">
    <cfRule type="cellIs" dxfId="755" priority="27" operator="notEqual">
      <formula>$Z$55</formula>
    </cfRule>
    <cfRule type="cellIs" dxfId="754" priority="28" operator="equal">
      <formula>$Z$55</formula>
    </cfRule>
  </conditionalFormatting>
  <conditionalFormatting sqref="AA53">
    <cfRule type="cellIs" dxfId="753" priority="25" operator="notEqual">
      <formula>$AA$55</formula>
    </cfRule>
    <cfRule type="cellIs" dxfId="752" priority="26" operator="equal">
      <formula>$AA$55</formula>
    </cfRule>
  </conditionalFormatting>
  <conditionalFormatting sqref="AB53">
    <cfRule type="cellIs" dxfId="751" priority="23" operator="notEqual">
      <formula>$AB$55</formula>
    </cfRule>
    <cfRule type="cellIs" dxfId="750" priority="24" operator="equal">
      <formula>$AB$55</formula>
    </cfRule>
  </conditionalFormatting>
  <conditionalFormatting sqref="AC53">
    <cfRule type="cellIs" dxfId="749" priority="21" operator="notEqual">
      <formula>$AC$55</formula>
    </cfRule>
    <cfRule type="cellIs" dxfId="748" priority="22" operator="equal">
      <formula>$AC$55</formula>
    </cfRule>
  </conditionalFormatting>
  <conditionalFormatting sqref="AD53">
    <cfRule type="cellIs" dxfId="747" priority="19" operator="notEqual">
      <formula>$AD$55</formula>
    </cfRule>
    <cfRule type="cellIs" dxfId="746" priority="20" operator="equal">
      <formula>$AD$55</formula>
    </cfRule>
  </conditionalFormatting>
  <conditionalFormatting sqref="AE53">
    <cfRule type="cellIs" dxfId="745" priority="17" operator="notEqual">
      <formula>$AE$55</formula>
    </cfRule>
    <cfRule type="cellIs" dxfId="744" priority="18" operator="equal">
      <formula>$AE$55</formula>
    </cfRule>
  </conditionalFormatting>
  <conditionalFormatting sqref="AF53">
    <cfRule type="cellIs" dxfId="743" priority="16" operator="equal">
      <formula>$AF$55</formula>
    </cfRule>
  </conditionalFormatting>
  <conditionalFormatting sqref="AF53">
    <cfRule type="cellIs" dxfId="742" priority="15" operator="notEqual">
      <formula>$AF$55</formula>
    </cfRule>
  </conditionalFormatting>
  <conditionalFormatting sqref="AG53">
    <cfRule type="cellIs" dxfId="741" priority="14" operator="equal">
      <formula>$AG$55</formula>
    </cfRule>
  </conditionalFormatting>
  <conditionalFormatting sqref="AG53">
    <cfRule type="cellIs" dxfId="740" priority="13" operator="notEqual">
      <formula>$AG$55</formula>
    </cfRule>
  </conditionalFormatting>
  <conditionalFormatting sqref="AH53">
    <cfRule type="cellIs" dxfId="739" priority="12" operator="equal">
      <formula>$AH$55</formula>
    </cfRule>
  </conditionalFormatting>
  <conditionalFormatting sqref="AH53">
    <cfRule type="cellIs" dxfId="738" priority="11" operator="notEqual">
      <formula>$AH$55</formula>
    </cfRule>
  </conditionalFormatting>
  <conditionalFormatting sqref="AI53">
    <cfRule type="cellIs" dxfId="737" priority="10" operator="equal">
      <formula>$AI$55</formula>
    </cfRule>
  </conditionalFormatting>
  <conditionalFormatting sqref="AI53">
    <cfRule type="cellIs" dxfId="736" priority="9" operator="notEqual">
      <formula>$AI$55</formula>
    </cfRule>
  </conditionalFormatting>
  <conditionalFormatting sqref="AJ53">
    <cfRule type="cellIs" dxfId="735" priority="8" operator="equal">
      <formula>$AJ$55</formula>
    </cfRule>
  </conditionalFormatting>
  <conditionalFormatting sqref="AJ53">
    <cfRule type="cellIs" dxfId="734" priority="7" operator="notEqual">
      <formula>$AJ$55</formula>
    </cfRule>
  </conditionalFormatting>
  <conditionalFormatting sqref="AK53">
    <cfRule type="cellIs" dxfId="733" priority="6" operator="equal">
      <formula>$AK$55</formula>
    </cfRule>
  </conditionalFormatting>
  <conditionalFormatting sqref="AK53">
    <cfRule type="cellIs" dxfId="732" priority="5" operator="notEqual">
      <formula>$AK$55</formula>
    </cfRule>
  </conditionalFormatting>
  <conditionalFormatting sqref="AL53">
    <cfRule type="cellIs" dxfId="731" priority="4" operator="equal">
      <formula>$AL$55</formula>
    </cfRule>
  </conditionalFormatting>
  <conditionalFormatting sqref="AL53">
    <cfRule type="cellIs" dxfId="730" priority="3" operator="notEqual">
      <formula>$AL$55</formula>
    </cfRule>
  </conditionalFormatting>
  <conditionalFormatting sqref="AM53">
    <cfRule type="cellIs" dxfId="729" priority="2" operator="equal">
      <formula>$AM$55</formula>
    </cfRule>
  </conditionalFormatting>
  <conditionalFormatting sqref="AM53">
    <cfRule type="cellIs" dxfId="728" priority="1" operator="notEqual">
      <formula>$AM$55</formula>
    </cfRule>
  </conditionalFormatting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BBB6-3939-43A4-9269-488C02DCD10A}">
  <dimension ref="A1:AP57"/>
  <sheetViews>
    <sheetView showGridLines="0" topLeftCell="AC29" workbookViewId="0">
      <selection activeCell="AO53" sqref="AO53:AP55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4" width="4.140625" style="9" bestFit="1" customWidth="1"/>
    <col min="15" max="16" width="4.85546875" style="9" bestFit="1" customWidth="1"/>
    <col min="17" max="19" width="8.7109375" style="9" bestFit="1" customWidth="1"/>
    <col min="20" max="20" width="9.28515625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7.85546875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5703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5703125" style="9" bestFit="1" customWidth="1"/>
    <col min="40" max="40" width="9.140625" style="9"/>
    <col min="41" max="42" width="10.42578125" style="9" bestFit="1" customWidth="1"/>
    <col min="43" max="16384" width="9.140625" style="9"/>
  </cols>
  <sheetData>
    <row r="1" spans="1:42" ht="11.25" customHeight="1" x14ac:dyDescent="0.25">
      <c r="A1" s="128" t="s">
        <v>59</v>
      </c>
      <c r="B1" s="128" t="s">
        <v>60</v>
      </c>
      <c r="C1" s="128" t="s">
        <v>61</v>
      </c>
      <c r="D1" s="128" t="s">
        <v>62</v>
      </c>
      <c r="E1" s="128" t="s">
        <v>63</v>
      </c>
      <c r="F1" s="128" t="s">
        <v>15</v>
      </c>
      <c r="G1" s="128" t="s">
        <v>65</v>
      </c>
      <c r="H1" s="128" t="s">
        <v>66</v>
      </c>
      <c r="I1" s="128" t="s">
        <v>608</v>
      </c>
      <c r="J1" s="119"/>
      <c r="L1" s="129" t="s">
        <v>628</v>
      </c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O1" s="30"/>
      <c r="AP1" s="133" t="s">
        <v>610</v>
      </c>
    </row>
    <row r="2" spans="1:42" ht="11.25" customHeight="1" x14ac:dyDescent="0.25">
      <c r="A2" s="128"/>
      <c r="B2" s="128"/>
      <c r="C2" s="128"/>
      <c r="D2" s="128"/>
      <c r="E2" s="128"/>
      <c r="F2" s="128"/>
      <c r="G2" s="128"/>
      <c r="H2" s="128"/>
      <c r="I2" s="128"/>
      <c r="J2" s="119"/>
      <c r="L2" s="129" t="s">
        <v>508</v>
      </c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O2" s="30"/>
      <c r="AP2" s="134"/>
    </row>
    <row r="3" spans="1:42" ht="11.25" customHeight="1" x14ac:dyDescent="0.25">
      <c r="A3" s="128"/>
      <c r="B3" s="128"/>
      <c r="C3" s="128"/>
      <c r="D3" s="128"/>
      <c r="E3" s="128"/>
      <c r="F3" s="128"/>
      <c r="G3" s="128"/>
      <c r="H3" s="128"/>
      <c r="I3" s="128"/>
      <c r="J3" s="119"/>
      <c r="L3" s="129" t="s">
        <v>509</v>
      </c>
      <c r="M3" s="129"/>
      <c r="N3" s="129"/>
      <c r="O3" s="129"/>
      <c r="P3" s="129"/>
      <c r="Q3" s="129"/>
      <c r="R3" s="129"/>
      <c r="S3" s="129"/>
      <c r="T3" s="129"/>
      <c r="U3" s="129" t="s">
        <v>518</v>
      </c>
      <c r="V3" s="129"/>
      <c r="W3" s="129"/>
      <c r="X3" s="129"/>
      <c r="Y3" s="129"/>
      <c r="Z3" s="129"/>
      <c r="AA3" s="129"/>
      <c r="AB3" s="129"/>
      <c r="AC3" s="129" t="s">
        <v>526</v>
      </c>
      <c r="AD3" s="129"/>
      <c r="AE3" s="129" t="s">
        <v>528</v>
      </c>
      <c r="AF3" s="129"/>
      <c r="AG3" s="129"/>
      <c r="AH3" s="129" t="s">
        <v>531</v>
      </c>
      <c r="AI3" s="129"/>
      <c r="AJ3" s="129"/>
      <c r="AK3" s="129"/>
      <c r="AL3" s="129"/>
      <c r="AM3" s="129" t="s">
        <v>517</v>
      </c>
      <c r="AO3" s="30"/>
      <c r="AP3" s="134"/>
    </row>
    <row r="4" spans="1:42" ht="11.25" customHeight="1" x14ac:dyDescent="0.25">
      <c r="A4" s="128"/>
      <c r="B4" s="128"/>
      <c r="C4" s="128"/>
      <c r="D4" s="128"/>
      <c r="E4" s="128"/>
      <c r="F4" s="128"/>
      <c r="G4" s="128"/>
      <c r="H4" s="128"/>
      <c r="I4" s="128"/>
      <c r="J4" s="119"/>
      <c r="L4" s="26" t="s">
        <v>593</v>
      </c>
      <c r="M4" s="26" t="s">
        <v>510</v>
      </c>
      <c r="N4" s="26" t="s">
        <v>511</v>
      </c>
      <c r="O4" s="26" t="s">
        <v>512</v>
      </c>
      <c r="P4" s="26" t="s">
        <v>513</v>
      </c>
      <c r="Q4" s="26" t="s">
        <v>514</v>
      </c>
      <c r="R4" s="26" t="s">
        <v>515</v>
      </c>
      <c r="S4" s="26" t="s">
        <v>516</v>
      </c>
      <c r="T4" s="26" t="s">
        <v>517</v>
      </c>
      <c r="U4" s="26" t="s">
        <v>519</v>
      </c>
      <c r="V4" s="26" t="s">
        <v>520</v>
      </c>
      <c r="W4" s="26" t="s">
        <v>521</v>
      </c>
      <c r="X4" s="26" t="s">
        <v>522</v>
      </c>
      <c r="Y4" s="26" t="s">
        <v>523</v>
      </c>
      <c r="Z4" s="26" t="s">
        <v>524</v>
      </c>
      <c r="AA4" s="26" t="s">
        <v>525</v>
      </c>
      <c r="AB4" s="26" t="s">
        <v>517</v>
      </c>
      <c r="AC4" s="26" t="s">
        <v>527</v>
      </c>
      <c r="AD4" s="26" t="s">
        <v>517</v>
      </c>
      <c r="AE4" s="26" t="s">
        <v>529</v>
      </c>
      <c r="AF4" s="26" t="s">
        <v>530</v>
      </c>
      <c r="AG4" s="26" t="s">
        <v>517</v>
      </c>
      <c r="AH4" s="26" t="s">
        <v>532</v>
      </c>
      <c r="AI4" s="26" t="s">
        <v>533</v>
      </c>
      <c r="AJ4" s="26" t="s">
        <v>534</v>
      </c>
      <c r="AK4" s="26" t="s">
        <v>535</v>
      </c>
      <c r="AL4" s="26" t="s">
        <v>517</v>
      </c>
      <c r="AM4" s="131"/>
      <c r="AO4" s="31" t="s">
        <v>627</v>
      </c>
      <c r="AP4" s="135"/>
    </row>
    <row r="5" spans="1:42" ht="11.25" customHeight="1" x14ac:dyDescent="0.25">
      <c r="A5" s="132" t="s">
        <v>34</v>
      </c>
      <c r="B5" s="132" t="s">
        <v>74</v>
      </c>
      <c r="C5" s="132" t="s">
        <v>25</v>
      </c>
      <c r="D5" s="132" t="s">
        <v>25</v>
      </c>
      <c r="E5" s="132" t="s">
        <v>25</v>
      </c>
      <c r="F5" s="132" t="s">
        <v>25</v>
      </c>
      <c r="G5" s="21" t="s">
        <v>76</v>
      </c>
      <c r="H5" s="21" t="s">
        <v>75</v>
      </c>
      <c r="I5" s="21">
        <f>'MERCADO TUSD'!$U$2</f>
        <v>0</v>
      </c>
      <c r="J5" s="17"/>
      <c r="L5" s="25">
        <f>'TUSD BE'!$L$5*'TUSD BF'!$L$58</f>
        <v>0</v>
      </c>
      <c r="M5" s="25">
        <f>'TUSD BE'!$M$5*'TUSD BF'!$M$58</f>
        <v>0</v>
      </c>
      <c r="N5" s="25">
        <f ca="1">'TUSD BE'!$N$5*'TUSD BF'!$N$58</f>
        <v>0</v>
      </c>
      <c r="O5" s="25">
        <f>'TUSD BE'!$O$5*'TUSD BF'!$O$58</f>
        <v>0</v>
      </c>
      <c r="P5" s="25">
        <f>'TUSD BE'!$P$5*'TUSD BF'!$P$58</f>
        <v>0</v>
      </c>
      <c r="Q5" s="25">
        <f>'TUSD BE'!$Q$5*'TUSD BF'!$Q$58</f>
        <v>0</v>
      </c>
      <c r="R5" s="25">
        <f>'TUSD BE'!$R$5*'TUSD BF'!$R$58</f>
        <v>0</v>
      </c>
      <c r="S5" s="25">
        <f>'TUSD BE'!$R$5*'TUSD BF'!$S$58</f>
        <v>0</v>
      </c>
      <c r="T5" s="25">
        <f ca="1">SUM($L$5:$S$5)</f>
        <v>0</v>
      </c>
      <c r="U5" s="25">
        <f>'TUSD BE'!$U$5*'TUSD BF'!$U$58</f>
        <v>0</v>
      </c>
      <c r="V5" s="25">
        <f>'TUSD BE'!$V$5*'TUSD BF'!$V$58</f>
        <v>0</v>
      </c>
      <c r="W5" s="25">
        <f>'TUSD BE'!$W$5*'TUSD BF'!$W$58</f>
        <v>0</v>
      </c>
      <c r="X5" s="25">
        <f>'TUSD BE'!$X$5*'TUSD BF'!$X$58</f>
        <v>0</v>
      </c>
      <c r="Y5" s="25">
        <f>'TUSD BE'!$Y$5*'TUSD BF'!$Y$58</f>
        <v>0</v>
      </c>
      <c r="Z5" s="25">
        <f>'TUSD BE'!$Z$5*'TUSD BF'!$Z$58</f>
        <v>0</v>
      </c>
      <c r="AA5" s="25">
        <f>'TUSD BE'!$AA$5*'TUSD BF'!$AA$58</f>
        <v>0</v>
      </c>
      <c r="AB5" s="25">
        <f>SUM($U$5:$AA$5)</f>
        <v>0</v>
      </c>
      <c r="AC5" s="25">
        <f>'TUSD BE'!$AC$5*'TUSD BF'!$AC$58</f>
        <v>0</v>
      </c>
      <c r="AD5" s="25">
        <f>SUM($AC$5:$AC$5)</f>
        <v>0</v>
      </c>
      <c r="AE5" s="25">
        <f ca="1">$AO$5*$AO$55</f>
        <v>0</v>
      </c>
      <c r="AF5" s="25">
        <f ca="1">$AP$5*$AP$55</f>
        <v>0</v>
      </c>
      <c r="AG5" s="25">
        <f ca="1">SUM($AE$5:$AF$5)</f>
        <v>0</v>
      </c>
      <c r="AH5" s="25">
        <f>'TUSD BE'!$AH$5*'TUSD BF'!$AH$58</f>
        <v>0</v>
      </c>
      <c r="AI5" s="25">
        <f>'TUSD BE'!$AI$5*'TUSD BF'!$AI$58</f>
        <v>0</v>
      </c>
      <c r="AJ5" s="25">
        <f ca="1">'TUSD BE'!$AJ$5*'TUSD BF'!$AJ$58</f>
        <v>0</v>
      </c>
      <c r="AK5" s="25">
        <f ca="1">'TUSD BE'!$AK$5*'TUSD BF'!$AK$58</f>
        <v>0</v>
      </c>
      <c r="AL5" s="25">
        <f ca="1">SUM($AH$5:$AK$5)</f>
        <v>0</v>
      </c>
      <c r="AM5" s="25">
        <f ca="1">SUMIF($L$4:$AL$4,"SUBTOTAL",$L$5:$AL$5)</f>
        <v>0</v>
      </c>
      <c r="AO5" s="30">
        <f ca="1">+'TUSD BE'!$T$5+'TUSD BE'!$AB$5+'TUSD BE'!$AD$5+'TUSD BE'!$AL$5</f>
        <v>195.07035722886513</v>
      </c>
      <c r="AP5" s="30">
        <f ca="1">+'TUSD BE'!$T$5+'TUSD BE'!$AB$5+'TUSD BE'!$AD$5+'TUSD BE'!$AL$5</f>
        <v>195.07035722886513</v>
      </c>
    </row>
    <row r="6" spans="1:42" ht="11.25" customHeight="1" x14ac:dyDescent="0.25">
      <c r="A6" s="132"/>
      <c r="B6" s="132"/>
      <c r="C6" s="132"/>
      <c r="D6" s="132"/>
      <c r="E6" s="132"/>
      <c r="F6" s="132"/>
      <c r="G6" s="21" t="s">
        <v>77</v>
      </c>
      <c r="H6" s="21" t="s">
        <v>75</v>
      </c>
      <c r="I6" s="21">
        <f>'MERCADO TUSD'!$U$3</f>
        <v>0</v>
      </c>
      <c r="J6" s="17"/>
      <c r="L6" s="25">
        <f>'TUSD BE'!$L$6*'TUSD BF'!$L$58</f>
        <v>0</v>
      </c>
      <c r="M6" s="25">
        <f>'TUSD BE'!$M$6*'TUSD BF'!$M$58</f>
        <v>0</v>
      </c>
      <c r="N6" s="25">
        <f ca="1">'TUSD BE'!$N$6*'TUSD BF'!$N$58</f>
        <v>0</v>
      </c>
      <c r="O6" s="25">
        <f>'TUSD BE'!$O$6*'TUSD BF'!$O$58</f>
        <v>0</v>
      </c>
      <c r="P6" s="25">
        <f>'TUSD BE'!$P$6*'TUSD BF'!$P$58</f>
        <v>0</v>
      </c>
      <c r="Q6" s="25">
        <f>'TUSD BE'!$Q$6*'TUSD BF'!$Q$58</f>
        <v>0</v>
      </c>
      <c r="R6" s="25">
        <f>'TUSD BE'!$R$6*'TUSD BF'!$R$58</f>
        <v>0</v>
      </c>
      <c r="S6" s="25">
        <f>'TUSD BE'!$R$6*'TUSD BF'!$S$58</f>
        <v>0</v>
      </c>
      <c r="T6" s="25">
        <f ca="1">SUM($L$6:$S$6)</f>
        <v>0</v>
      </c>
      <c r="U6" s="25">
        <f>'TUSD BE'!$U$6*'TUSD BF'!$U$58</f>
        <v>0</v>
      </c>
      <c r="V6" s="25">
        <f>'TUSD BE'!$V$6*'TUSD BF'!$V$58</f>
        <v>0</v>
      </c>
      <c r="W6" s="25">
        <f>'TUSD BE'!$W$6*'TUSD BF'!$W$58</f>
        <v>0</v>
      </c>
      <c r="X6" s="25">
        <f>'TUSD BE'!$X$6*'TUSD BF'!$X$58</f>
        <v>0</v>
      </c>
      <c r="Y6" s="25">
        <f>'TUSD BE'!$Y$6*'TUSD BF'!$Y$58</f>
        <v>0</v>
      </c>
      <c r="Z6" s="25">
        <f>'TUSD BE'!$Z$6*'TUSD BF'!$Z$58</f>
        <v>0</v>
      </c>
      <c r="AA6" s="25">
        <f>'TUSD BE'!$AA$6*'TUSD BF'!$AA$58</f>
        <v>0</v>
      </c>
      <c r="AB6" s="25">
        <f>SUM($U$6:$AA$6)</f>
        <v>0</v>
      </c>
      <c r="AC6" s="25">
        <f>'TUSD BE'!$AC$6*'TUSD BF'!$AC$58</f>
        <v>0</v>
      </c>
      <c r="AD6" s="25">
        <f>SUM($AC$6:$AC$6)</f>
        <v>0</v>
      </c>
      <c r="AE6" s="25">
        <f ca="1">$AO$6*$AO$55</f>
        <v>0</v>
      </c>
      <c r="AF6" s="25">
        <f ca="1">$AP$6*$AP$55</f>
        <v>0</v>
      </c>
      <c r="AG6" s="25">
        <f ca="1">SUM($AE$6:$AF$6)</f>
        <v>0</v>
      </c>
      <c r="AH6" s="25">
        <f>'TUSD BE'!$AH$6*'TUSD BF'!$AH$58</f>
        <v>0</v>
      </c>
      <c r="AI6" s="25">
        <f>'TUSD BE'!$AI$6*'TUSD BF'!$AI$58</f>
        <v>0</v>
      </c>
      <c r="AJ6" s="25">
        <f ca="1">'TUSD BE'!$AJ$6*'TUSD BF'!$AJ$58</f>
        <v>0</v>
      </c>
      <c r="AK6" s="25">
        <f ca="1">'TUSD BE'!$AK$6*'TUSD BF'!$AK$58</f>
        <v>0</v>
      </c>
      <c r="AL6" s="25">
        <f ca="1">SUM($AH$6:$AK$6)</f>
        <v>0</v>
      </c>
      <c r="AM6" s="25">
        <f ca="1">SUMIF($L$4:$AL$4,"SUBTOTAL",$L$6:$AL$6)</f>
        <v>0</v>
      </c>
      <c r="AO6" s="30">
        <f ca="1">+'TUSD BE'!$T$6+'TUSD BE'!$AB$6+'TUSD BE'!$AD$6+'TUSD BE'!$AL$6</f>
        <v>61.528714189365026</v>
      </c>
      <c r="AP6" s="30">
        <f ca="1">+'TUSD BE'!$T$6+'TUSD BE'!$AB$6+'TUSD BE'!$AD$6+'TUSD BE'!$AL$6</f>
        <v>61.528714189365026</v>
      </c>
    </row>
    <row r="7" spans="1:42" ht="11.25" customHeight="1" x14ac:dyDescent="0.25">
      <c r="A7" s="132"/>
      <c r="B7" s="132"/>
      <c r="C7" s="132"/>
      <c r="D7" s="132"/>
      <c r="E7" s="132"/>
      <c r="F7" s="132"/>
      <c r="G7" s="21" t="s">
        <v>73</v>
      </c>
      <c r="H7" s="21" t="s">
        <v>69</v>
      </c>
      <c r="I7" s="21">
        <f>'MERCADO TUSD'!$U$4</f>
        <v>0</v>
      </c>
      <c r="J7" s="17"/>
      <c r="L7" s="25">
        <f>'TUSD BE'!$L$7*'TUSD BF'!$L$58</f>
        <v>0</v>
      </c>
      <c r="M7" s="25">
        <f>'TUSD BE'!$M$7*'TUSD BF'!$M$58</f>
        <v>0</v>
      </c>
      <c r="N7" s="25">
        <f ca="1">'TUSD BE'!$N$7*'TUSD BF'!$N$58</f>
        <v>0</v>
      </c>
      <c r="O7" s="25">
        <f>'TUSD BE'!$O$7*'TUSD BF'!$O$58</f>
        <v>0</v>
      </c>
      <c r="P7" s="25">
        <f>'TUSD BE'!$P$7*'TUSD BF'!$P$58</f>
        <v>0</v>
      </c>
      <c r="Q7" s="25">
        <f>'TUSD BE'!$Q$7*'TUSD BF'!$Q$58</f>
        <v>0</v>
      </c>
      <c r="R7" s="25">
        <f>'TUSD BE'!$R$7*'TUSD BF'!$R$58</f>
        <v>0</v>
      </c>
      <c r="S7" s="25">
        <f>'TUSD BE'!$R$7*'TUSD BF'!$S$58</f>
        <v>0</v>
      </c>
      <c r="T7" s="25">
        <f ca="1">SUM($L$7:$S$7)</f>
        <v>0</v>
      </c>
      <c r="U7" s="25">
        <f>'TUSD BE'!$U$7*'TUSD BF'!$U$58</f>
        <v>0</v>
      </c>
      <c r="V7" s="25">
        <f>'TUSD BE'!$V$7*'TUSD BF'!$V$58</f>
        <v>0</v>
      </c>
      <c r="W7" s="25">
        <f>'TUSD BE'!$W$7*'TUSD BF'!$W$58</f>
        <v>0</v>
      </c>
      <c r="X7" s="25">
        <f>'TUSD BE'!$X$7*'TUSD BF'!$X$58</f>
        <v>0</v>
      </c>
      <c r="Y7" s="25">
        <f>'TUSD BE'!$Y$7*'TUSD BF'!$Y$58</f>
        <v>0</v>
      </c>
      <c r="Z7" s="25">
        <f>'TUSD BE'!$Z$7*'TUSD BF'!$Z$58</f>
        <v>0</v>
      </c>
      <c r="AA7" s="25">
        <f>'TUSD BE'!$AA$7*'TUSD BF'!$AA$58</f>
        <v>0</v>
      </c>
      <c r="AB7" s="25">
        <f>SUM($U$7:$AA$7)</f>
        <v>0</v>
      </c>
      <c r="AC7" s="25">
        <f>'TUSD BE'!$AC$7*'TUSD BF'!$AC$58</f>
        <v>0</v>
      </c>
      <c r="AD7" s="25">
        <f>SUM($AC$7:$AC$7)</f>
        <v>0</v>
      </c>
      <c r="AE7" s="25">
        <f ca="1">$AO$7*$AO$55</f>
        <v>0</v>
      </c>
      <c r="AF7" s="25">
        <f ca="1">$AP$7*$AP$55</f>
        <v>0</v>
      </c>
      <c r="AG7" s="25">
        <f ca="1">SUM($AE$7:$AF$7)</f>
        <v>0</v>
      </c>
      <c r="AH7" s="25">
        <f>'TUSD BE'!$AH$7*'TUSD BF'!$AH$58</f>
        <v>0</v>
      </c>
      <c r="AI7" s="25">
        <f>'TUSD BE'!$AI$7*'TUSD BF'!$AI$58</f>
        <v>0</v>
      </c>
      <c r="AJ7" s="25">
        <f ca="1">'TUSD BE'!$AJ$7*'TUSD BF'!$AJ$58</f>
        <v>0</v>
      </c>
      <c r="AK7" s="25">
        <f ca="1">'TUSD BE'!$AK$7*'TUSD BF'!$AK$58</f>
        <v>0</v>
      </c>
      <c r="AL7" s="25">
        <f ca="1">SUM($AH$7:$AK$7)</f>
        <v>0</v>
      </c>
      <c r="AM7" s="25">
        <f ca="1">SUMIF($L$4:$AL$4,"SUBTOTAL",$L$7:$AL$7)</f>
        <v>0</v>
      </c>
      <c r="AO7" s="30">
        <f ca="1">+'TUSD BE'!$T$7+'TUSD BE'!$AB$7+'TUSD BE'!$AD$7+'TUSD BE'!$AL$7</f>
        <v>68.49405113783574</v>
      </c>
      <c r="AP7" s="30">
        <f ca="1">+'TUSD BE'!$T$7+'TUSD BE'!$AB$7+'TUSD BE'!$AD$7+'TUSD BE'!$AL$7</f>
        <v>68.49405113783574</v>
      </c>
    </row>
    <row r="8" spans="1:42" ht="11.25" customHeight="1" x14ac:dyDescent="0.25">
      <c r="A8" s="132"/>
      <c r="B8" s="132"/>
      <c r="C8" s="132"/>
      <c r="D8" s="132"/>
      <c r="E8" s="28" t="s">
        <v>78</v>
      </c>
      <c r="F8" s="28" t="s">
        <v>25</v>
      </c>
      <c r="G8" s="21" t="s">
        <v>73</v>
      </c>
      <c r="H8" s="21" t="s">
        <v>69</v>
      </c>
      <c r="I8" s="21">
        <f>'MERCADO TUSD'!$U$5</f>
        <v>0</v>
      </c>
      <c r="J8" s="17"/>
      <c r="L8" s="25">
        <f>'TUSD BE'!$L$8*'TUSD BF'!$L$58</f>
        <v>0</v>
      </c>
      <c r="M8" s="25">
        <f>'TUSD BE'!$M$8*'TUSD BF'!$M$58</f>
        <v>0</v>
      </c>
      <c r="N8" s="25">
        <f ca="1">'TUSD BE'!$N$8*'TUSD BF'!$N$58</f>
        <v>0</v>
      </c>
      <c r="O8" s="25">
        <f>'TUSD BE'!$O$8*'TUSD BF'!$O$58</f>
        <v>0</v>
      </c>
      <c r="P8" s="25">
        <f>'TUSD BE'!$P$8*'TUSD BF'!$P$58</f>
        <v>0</v>
      </c>
      <c r="Q8" s="25">
        <f>'TUSD BE'!$Q$8*'TUSD BF'!$Q$58</f>
        <v>0</v>
      </c>
      <c r="R8" s="25">
        <f>'TUSD BE'!$R$8*'TUSD BF'!$R$58</f>
        <v>0</v>
      </c>
      <c r="S8" s="25">
        <f>'TUSD BE'!$R$8*'TUSD BF'!$S$58</f>
        <v>0</v>
      </c>
      <c r="T8" s="25">
        <f ca="1">SUM($L$8:$S$8)</f>
        <v>0</v>
      </c>
      <c r="U8" s="25">
        <f>'TUSD BE'!$U$8*'TUSD BF'!$U$58</f>
        <v>0</v>
      </c>
      <c r="V8" s="25">
        <f>'TUSD BE'!$V$8*'TUSD BF'!$V$58</f>
        <v>0</v>
      </c>
      <c r="W8" s="25">
        <f>'TUSD BE'!$W$8*'TUSD BF'!$W$58</f>
        <v>0</v>
      </c>
      <c r="X8" s="25">
        <f>'TUSD BE'!$X$8*'TUSD BF'!$X$58</f>
        <v>0</v>
      </c>
      <c r="Y8" s="25">
        <f>'TUSD BE'!$Y$8*'TUSD BF'!$Y$58</f>
        <v>0</v>
      </c>
      <c r="Z8" s="25">
        <f>'TUSD BE'!$Z$8*'TUSD BF'!$Z$58</f>
        <v>0</v>
      </c>
      <c r="AA8" s="25">
        <f>'TUSD BE'!$AA$8*'TUSD BF'!$AA$58</f>
        <v>0</v>
      </c>
      <c r="AB8" s="25">
        <f>SUM($U$8:$AA$8)</f>
        <v>0</v>
      </c>
      <c r="AC8" s="25">
        <f>'TUSD BE'!$AC$8*'TUSD BF'!$AC$58</f>
        <v>0</v>
      </c>
      <c r="AD8" s="25">
        <f>SUM($AC$8:$AC$8)</f>
        <v>0</v>
      </c>
      <c r="AE8" s="25">
        <f ca="1">$AO$8*$AO$55</f>
        <v>0</v>
      </c>
      <c r="AF8" s="25">
        <f ca="1">$AP$8*$AP$55</f>
        <v>0</v>
      </c>
      <c r="AG8" s="25">
        <f ca="1">SUM($AE$8:$AF$8)</f>
        <v>0</v>
      </c>
      <c r="AH8" s="25">
        <f>'TUSD BE'!$AH$8*'TUSD BF'!$AH$58</f>
        <v>0</v>
      </c>
      <c r="AI8" s="25">
        <f>'TUSD BE'!$AI$8*'TUSD BF'!$AI$58</f>
        <v>0</v>
      </c>
      <c r="AJ8" s="25">
        <f ca="1">'TUSD BE'!$AJ$8*'TUSD BF'!$AJ$58</f>
        <v>0</v>
      </c>
      <c r="AK8" s="25">
        <f ca="1">'TUSD BE'!$AK$8*'TUSD BF'!$AK$58</f>
        <v>0</v>
      </c>
      <c r="AL8" s="25">
        <f ca="1">SUM($AH$8:$AK$8)</f>
        <v>0</v>
      </c>
      <c r="AM8" s="25">
        <f ca="1">SUMIF($L$4:$AL$4,"SUBTOTAL",$L$8:$AL$8)</f>
        <v>0</v>
      </c>
      <c r="AO8" s="30">
        <f ca="1">+'TUSD BE'!$T$8+'TUSD BE'!$AB$8+'TUSD BE'!$AD$8+'TUSD BE'!$AL$8</f>
        <v>18.784543036077711</v>
      </c>
      <c r="AP8" s="30">
        <f ca="1">+'TUSD BE'!$T$8+'TUSD BE'!$AB$8+'TUSD BE'!$AD$8+'TUSD BE'!$AL$8</f>
        <v>18.784543036077711</v>
      </c>
    </row>
    <row r="9" spans="1:42" ht="11.25" customHeight="1" x14ac:dyDescent="0.25">
      <c r="A9" s="132"/>
      <c r="B9" s="28" t="s">
        <v>79</v>
      </c>
      <c r="C9" s="28" t="s">
        <v>25</v>
      </c>
      <c r="D9" s="28" t="s">
        <v>25</v>
      </c>
      <c r="E9" s="28" t="s">
        <v>25</v>
      </c>
      <c r="F9" s="28" t="s">
        <v>25</v>
      </c>
      <c r="G9" s="21" t="s">
        <v>9</v>
      </c>
      <c r="H9" s="21" t="s">
        <v>75</v>
      </c>
      <c r="I9" s="21">
        <f>'MERCADO TUSD'!$U$6</f>
        <v>0</v>
      </c>
      <c r="J9" s="17"/>
      <c r="L9" s="25">
        <f>'TUSD BE'!$L$9*'TUSD BF'!$L$58</f>
        <v>0</v>
      </c>
      <c r="M9" s="25">
        <f>'TUSD BE'!$M$9*'TUSD BF'!$M$58</f>
        <v>0</v>
      </c>
      <c r="N9" s="25">
        <f ca="1">'TUSD BE'!$N$9*'TUSD BF'!$N$58</f>
        <v>0</v>
      </c>
      <c r="O9" s="25">
        <f>'TUSD BE'!$O$9*'TUSD BF'!$O$58</f>
        <v>0</v>
      </c>
      <c r="P9" s="25">
        <f>'TUSD BE'!$P$9*'TUSD BF'!$P$58</f>
        <v>0</v>
      </c>
      <c r="Q9" s="25">
        <f>'TUSD BE'!$Q$9*'TUSD BF'!$Q$58</f>
        <v>0</v>
      </c>
      <c r="R9" s="25">
        <f>'TUSD BE'!$R$9*'TUSD BF'!$R$58</f>
        <v>0</v>
      </c>
      <c r="S9" s="25">
        <f>'TUSD BE'!$R$9*'TUSD BF'!$S$58</f>
        <v>0</v>
      </c>
      <c r="T9" s="25">
        <f ca="1">SUM($L$9:$S$9)</f>
        <v>0</v>
      </c>
      <c r="U9" s="25">
        <f>'TUSD BE'!$U$9*'TUSD BF'!$U$58</f>
        <v>0</v>
      </c>
      <c r="V9" s="25">
        <f>'TUSD BE'!$V$9*'TUSD BF'!$V$58</f>
        <v>0</v>
      </c>
      <c r="W9" s="25">
        <f>'TUSD BE'!$W$9*'TUSD BF'!$W$58</f>
        <v>0</v>
      </c>
      <c r="X9" s="25">
        <f>'TUSD BE'!$X$9*'TUSD BF'!$X$58</f>
        <v>0</v>
      </c>
      <c r="Y9" s="25">
        <f>'TUSD BE'!$Y$9*'TUSD BF'!$Y$58</f>
        <v>0</v>
      </c>
      <c r="Z9" s="25">
        <f>'TUSD BE'!$Z$9*'TUSD BF'!$Z$58</f>
        <v>0</v>
      </c>
      <c r="AA9" s="25">
        <f>'TUSD BE'!$AA$9*'TUSD BF'!$AA$58</f>
        <v>0</v>
      </c>
      <c r="AB9" s="25">
        <f>SUM($U$9:$AA$9)</f>
        <v>0</v>
      </c>
      <c r="AC9" s="25">
        <f>'TUSD BE'!$AC$9*'TUSD BF'!$AC$58</f>
        <v>0</v>
      </c>
      <c r="AD9" s="25">
        <f>SUM($AC$9:$AC$9)</f>
        <v>0</v>
      </c>
      <c r="AE9" s="25">
        <f ca="1">$AO$9*$AO$55</f>
        <v>0</v>
      </c>
      <c r="AF9" s="25">
        <f ca="1">$AP$9*$AP$55</f>
        <v>0</v>
      </c>
      <c r="AG9" s="25">
        <f ca="1">SUM($AE$9:$AF$9)</f>
        <v>0</v>
      </c>
      <c r="AH9" s="25">
        <f>'TUSD BE'!$AH$9*'TUSD BF'!$AH$58</f>
        <v>0</v>
      </c>
      <c r="AI9" s="25">
        <f>'TUSD BE'!$AI$9*'TUSD BF'!$AI$58</f>
        <v>0</v>
      </c>
      <c r="AJ9" s="25">
        <f ca="1">'TUSD BE'!$AJ$9*'TUSD BF'!$AJ$58</f>
        <v>0</v>
      </c>
      <c r="AK9" s="25">
        <f ca="1">'TUSD BE'!$AK$9*'TUSD BF'!$AK$58</f>
        <v>0</v>
      </c>
      <c r="AL9" s="25">
        <f ca="1">SUM($AH$9:$AK$9)</f>
        <v>0</v>
      </c>
      <c r="AM9" s="25">
        <f ca="1">SUMIF($L$4:$AL$4,"SUBTOTAL",$L$9:$AL$9)</f>
        <v>0</v>
      </c>
      <c r="AO9" s="30">
        <f ca="1">+'TUSD BE'!$T$9+'TUSD BE'!$AB$9+'TUSD BE'!$AD$9+'TUSD BE'!$AL$9</f>
        <v>12.884242226262543</v>
      </c>
      <c r="AP9" s="30">
        <f ca="1">+'TUSD BE'!$T$9+'TUSD BE'!$AB$9+'TUSD BE'!$AD$9+'TUSD BE'!$AL$9</f>
        <v>12.884242226262543</v>
      </c>
    </row>
    <row r="10" spans="1:42" ht="11.25" customHeight="1" x14ac:dyDescent="0.25">
      <c r="A10" s="132"/>
      <c r="B10" s="132" t="s">
        <v>35</v>
      </c>
      <c r="C10" s="132" t="s">
        <v>25</v>
      </c>
      <c r="D10" s="132" t="s">
        <v>25</v>
      </c>
      <c r="E10" s="132" t="s">
        <v>25</v>
      </c>
      <c r="F10" s="132" t="s">
        <v>25</v>
      </c>
      <c r="G10" s="21" t="s">
        <v>9</v>
      </c>
      <c r="H10" s="21" t="s">
        <v>75</v>
      </c>
      <c r="I10" s="21">
        <f>'MERCADO TUSD'!$U$7</f>
        <v>1445</v>
      </c>
      <c r="J10" s="17"/>
      <c r="L10" s="25">
        <f>'TUSD BE'!$L$10*'TUSD BF'!$L$58</f>
        <v>0</v>
      </c>
      <c r="M10" s="25">
        <f>'TUSD BE'!$M$10*'TUSD BF'!$M$58</f>
        <v>0</v>
      </c>
      <c r="N10" s="25">
        <f ca="1">'TUSD BE'!$N$10*'TUSD BF'!$N$58</f>
        <v>0</v>
      </c>
      <c r="O10" s="25">
        <f>'TUSD BE'!$O$10*'TUSD BF'!$O$58</f>
        <v>0</v>
      </c>
      <c r="P10" s="25">
        <f>'TUSD BE'!$P$10*'TUSD BF'!$P$58</f>
        <v>0</v>
      </c>
      <c r="Q10" s="25">
        <f>'TUSD BE'!$Q$10*'TUSD BF'!$Q$58</f>
        <v>0</v>
      </c>
      <c r="R10" s="25">
        <f>'TUSD BE'!$R$10*'TUSD BF'!$R$58</f>
        <v>0</v>
      </c>
      <c r="S10" s="25">
        <f>'TUSD BE'!$R$10*'TUSD BF'!$S$58</f>
        <v>0</v>
      </c>
      <c r="T10" s="25">
        <f ca="1">SUM($L$10:$S$10)</f>
        <v>0</v>
      </c>
      <c r="U10" s="25">
        <f>'TUSD BE'!$U$10*'TUSD BF'!$U$58</f>
        <v>0</v>
      </c>
      <c r="V10" s="25">
        <f>'TUSD BE'!$V$10*'TUSD BF'!$V$58</f>
        <v>0</v>
      </c>
      <c r="W10" s="25">
        <f>'TUSD BE'!$W$10*'TUSD BF'!$W$58</f>
        <v>0</v>
      </c>
      <c r="X10" s="25">
        <f>'TUSD BE'!$X$10*'TUSD BF'!$X$58</f>
        <v>0</v>
      </c>
      <c r="Y10" s="25">
        <f>'TUSD BE'!$Y$10*'TUSD BF'!$Y$58</f>
        <v>0</v>
      </c>
      <c r="Z10" s="25">
        <f>'TUSD BE'!$Z$10*'TUSD BF'!$Z$58</f>
        <v>0</v>
      </c>
      <c r="AA10" s="25">
        <f>'TUSD BE'!$AA$10*'TUSD BF'!$AA$58</f>
        <v>0</v>
      </c>
      <c r="AB10" s="25">
        <f>SUM($U$10:$AA$10)</f>
        <v>0</v>
      </c>
      <c r="AC10" s="25">
        <f>'TUSD BE'!$AC$10*'TUSD BF'!$AC$58</f>
        <v>0</v>
      </c>
      <c r="AD10" s="25">
        <f>SUM($AC$10:$AC$10)</f>
        <v>0</v>
      </c>
      <c r="AE10" s="25">
        <f ca="1">$AO$10*$AO$55</f>
        <v>0</v>
      </c>
      <c r="AF10" s="25">
        <f ca="1">$AP$10*$AP$55</f>
        <v>0</v>
      </c>
      <c r="AG10" s="25">
        <f ca="1">SUM($AE$10:$AF$10)</f>
        <v>0</v>
      </c>
      <c r="AH10" s="25">
        <f>'TUSD BE'!$AH$10*'TUSD BF'!$AH$58</f>
        <v>0</v>
      </c>
      <c r="AI10" s="25">
        <f>'TUSD BE'!$AI$10*'TUSD BF'!$AI$58</f>
        <v>0</v>
      </c>
      <c r="AJ10" s="25">
        <f ca="1">'TUSD BE'!$AJ$10*'TUSD BF'!$AJ$58</f>
        <v>0</v>
      </c>
      <c r="AK10" s="25">
        <f ca="1">'TUSD BE'!$AK$10*'TUSD BF'!$AK$58</f>
        <v>0</v>
      </c>
      <c r="AL10" s="25">
        <f ca="1">SUM($AH$10:$AK$10)</f>
        <v>0</v>
      </c>
      <c r="AM10" s="25">
        <f ca="1">SUMIF($L$4:$AL$4,"SUBTOTAL",$L$10:$AL$10)</f>
        <v>0</v>
      </c>
      <c r="AO10" s="30">
        <f ca="1">+'TUSD BE'!$T$10+'TUSD BE'!$AB$10+'TUSD BE'!$AD$10+'TUSD BE'!$AL$10</f>
        <v>61.528714189365026</v>
      </c>
      <c r="AP10" s="30">
        <f ca="1">+'TUSD BE'!$T$10+'TUSD BE'!$AB$10+'TUSD BE'!$AD$10+'TUSD BE'!$AL$10</f>
        <v>61.528714189365026</v>
      </c>
    </row>
    <row r="11" spans="1:42" ht="11.25" customHeight="1" x14ac:dyDescent="0.25">
      <c r="A11" s="132"/>
      <c r="B11" s="132"/>
      <c r="C11" s="132"/>
      <c r="D11" s="132"/>
      <c r="E11" s="132"/>
      <c r="F11" s="132"/>
      <c r="G11" s="21" t="s">
        <v>70</v>
      </c>
      <c r="H11" s="21" t="s">
        <v>69</v>
      </c>
      <c r="I11" s="21">
        <f>'MERCADO TUSD'!$U$8</f>
        <v>2.2919999999999998</v>
      </c>
      <c r="J11" s="17"/>
      <c r="L11" s="25">
        <f>'TUSD BE'!$L$11*'TUSD BF'!$L$58</f>
        <v>0</v>
      </c>
      <c r="M11" s="25">
        <f>'TUSD BE'!$M$11*'TUSD BF'!$M$58</f>
        <v>0</v>
      </c>
      <c r="N11" s="25">
        <f ca="1">'TUSD BE'!$N$11*'TUSD BF'!$N$58</f>
        <v>0</v>
      </c>
      <c r="O11" s="25">
        <f>'TUSD BE'!$O$11*'TUSD BF'!$O$58</f>
        <v>0</v>
      </c>
      <c r="P11" s="25">
        <f>'TUSD BE'!$P$11*'TUSD BF'!$P$58</f>
        <v>0</v>
      </c>
      <c r="Q11" s="25">
        <f>'TUSD BE'!$Q$11*'TUSD BF'!$Q$58</f>
        <v>0</v>
      </c>
      <c r="R11" s="25">
        <f>'TUSD BE'!$R$11*'TUSD BF'!$R$58</f>
        <v>0</v>
      </c>
      <c r="S11" s="25">
        <f>'TUSD BE'!$R$11*'TUSD BF'!$S$58</f>
        <v>0</v>
      </c>
      <c r="T11" s="25">
        <f ca="1">SUM($L$11:$S$11)</f>
        <v>0</v>
      </c>
      <c r="U11" s="25">
        <f>'TUSD BE'!$U$11*'TUSD BF'!$U$58</f>
        <v>0</v>
      </c>
      <c r="V11" s="25">
        <f>'TUSD BE'!$V$11*'TUSD BF'!$V$58</f>
        <v>0</v>
      </c>
      <c r="W11" s="25">
        <f>'TUSD BE'!$W$11*'TUSD BF'!$W$58</f>
        <v>0</v>
      </c>
      <c r="X11" s="25">
        <f>'TUSD BE'!$X$11*'TUSD BF'!$X$58</f>
        <v>0</v>
      </c>
      <c r="Y11" s="25">
        <f>'TUSD BE'!$Y$11*'TUSD BF'!$Y$58</f>
        <v>0</v>
      </c>
      <c r="Z11" s="25">
        <f>'TUSD BE'!$Z$11*'TUSD BF'!$Z$58</f>
        <v>0</v>
      </c>
      <c r="AA11" s="25">
        <f>'TUSD BE'!$AA$11*'TUSD BF'!$AA$58</f>
        <v>0</v>
      </c>
      <c r="AB11" s="25">
        <f>SUM($U$11:$AA$11)</f>
        <v>0</v>
      </c>
      <c r="AC11" s="25">
        <f>'TUSD BE'!$AC$11*'TUSD BF'!$AC$58</f>
        <v>0</v>
      </c>
      <c r="AD11" s="25">
        <f>SUM($AC$11:$AC$11)</f>
        <v>0</v>
      </c>
      <c r="AE11" s="25">
        <f ca="1">$AO$11*$AO$55</f>
        <v>0</v>
      </c>
      <c r="AF11" s="25">
        <f ca="1">$AP$11*$AP$55</f>
        <v>0</v>
      </c>
      <c r="AG11" s="25">
        <f ca="1">SUM($AE$11:$AF$11)</f>
        <v>0</v>
      </c>
      <c r="AH11" s="25">
        <f>'TUSD BE'!$AH$11*'TUSD BF'!$AH$58</f>
        <v>0</v>
      </c>
      <c r="AI11" s="25">
        <f>'TUSD BE'!$AI$11*'TUSD BF'!$AI$58</f>
        <v>0</v>
      </c>
      <c r="AJ11" s="25">
        <f ca="1">'TUSD BE'!$AJ$11*'TUSD BF'!$AJ$58</f>
        <v>0</v>
      </c>
      <c r="AK11" s="25">
        <f ca="1">'TUSD BE'!$AK$11*'TUSD BF'!$AK$58</f>
        <v>0</v>
      </c>
      <c r="AL11" s="25">
        <f ca="1">SUM($AH$11:$AK$11)</f>
        <v>0</v>
      </c>
      <c r="AM11" s="25">
        <f ca="1">SUMIF($L$4:$AL$4,"SUBTOTAL",$L$11:$AL$11)</f>
        <v>0</v>
      </c>
      <c r="AO11" s="30">
        <f ca="1">+'TUSD BE'!$T$11+'TUSD BE'!$AB$11+'TUSD BE'!$AD$11+'TUSD BE'!$AL$11</f>
        <v>3461.4923126134695</v>
      </c>
      <c r="AP11" s="30">
        <f ca="1">+'TUSD BE'!$T$11+'TUSD BE'!$AB$11+'TUSD BE'!$AD$11+'TUSD BE'!$AL$11</f>
        <v>3461.4923126134695</v>
      </c>
    </row>
    <row r="12" spans="1:42" ht="11.25" customHeight="1" x14ac:dyDescent="0.25">
      <c r="A12" s="132"/>
      <c r="B12" s="132"/>
      <c r="C12" s="132"/>
      <c r="D12" s="132"/>
      <c r="E12" s="132"/>
      <c r="F12" s="132"/>
      <c r="G12" s="21" t="s">
        <v>71</v>
      </c>
      <c r="H12" s="21" t="s">
        <v>69</v>
      </c>
      <c r="I12" s="21">
        <f>'MERCADO TUSD'!$U$9</f>
        <v>310.52600000000001</v>
      </c>
      <c r="J12" s="17"/>
      <c r="L12" s="25">
        <f>'TUSD BE'!$L$12*'TUSD BF'!$L$58</f>
        <v>0</v>
      </c>
      <c r="M12" s="25">
        <f>'TUSD BE'!$M$12*'TUSD BF'!$M$58</f>
        <v>0</v>
      </c>
      <c r="N12" s="25">
        <f ca="1">'TUSD BE'!$N$12*'TUSD BF'!$N$58</f>
        <v>0</v>
      </c>
      <c r="O12" s="25">
        <f>'TUSD BE'!$O$12*'TUSD BF'!$O$58</f>
        <v>0</v>
      </c>
      <c r="P12" s="25">
        <f>'TUSD BE'!$P$12*'TUSD BF'!$P$58</f>
        <v>0</v>
      </c>
      <c r="Q12" s="25">
        <f>'TUSD BE'!$Q$12*'TUSD BF'!$Q$58</f>
        <v>0</v>
      </c>
      <c r="R12" s="25">
        <f>'TUSD BE'!$R$12*'TUSD BF'!$R$58</f>
        <v>0</v>
      </c>
      <c r="S12" s="25">
        <f>'TUSD BE'!$R$12*'TUSD BF'!$S$58</f>
        <v>0</v>
      </c>
      <c r="T12" s="25">
        <f ca="1">SUM($L$12:$S$12)</f>
        <v>0</v>
      </c>
      <c r="U12" s="25">
        <f>'TUSD BE'!$U$12*'TUSD BF'!$U$58</f>
        <v>0</v>
      </c>
      <c r="V12" s="25">
        <f>'TUSD BE'!$V$12*'TUSD BF'!$V$58</f>
        <v>0</v>
      </c>
      <c r="W12" s="25">
        <f>'TUSD BE'!$W$12*'TUSD BF'!$W$58</f>
        <v>0</v>
      </c>
      <c r="X12" s="25">
        <f>'TUSD BE'!$X$12*'TUSD BF'!$X$58</f>
        <v>0</v>
      </c>
      <c r="Y12" s="25">
        <f>'TUSD BE'!$Y$12*'TUSD BF'!$Y$58</f>
        <v>0</v>
      </c>
      <c r="Z12" s="25">
        <f>'TUSD BE'!$Z$12*'TUSD BF'!$Z$58</f>
        <v>0</v>
      </c>
      <c r="AA12" s="25">
        <f>'TUSD BE'!$AA$12*'TUSD BF'!$AA$58</f>
        <v>0</v>
      </c>
      <c r="AB12" s="25">
        <f>SUM($U$12:$AA$12)</f>
        <v>0</v>
      </c>
      <c r="AC12" s="25">
        <f>'TUSD BE'!$AC$12*'TUSD BF'!$AC$58</f>
        <v>0</v>
      </c>
      <c r="AD12" s="25">
        <f>SUM($AC$12:$AC$12)</f>
        <v>0</v>
      </c>
      <c r="AE12" s="25">
        <f ca="1">$AO$12*$AO$55</f>
        <v>0</v>
      </c>
      <c r="AF12" s="25">
        <f ca="1">$AP$12*$AP$55</f>
        <v>0</v>
      </c>
      <c r="AG12" s="25">
        <f ca="1">SUM($AE$12:$AF$12)</f>
        <v>0</v>
      </c>
      <c r="AH12" s="25">
        <f>'TUSD BE'!$AH$12*'TUSD BF'!$AH$58</f>
        <v>0</v>
      </c>
      <c r="AI12" s="25">
        <f>'TUSD BE'!$AI$12*'TUSD BF'!$AI$58</f>
        <v>0</v>
      </c>
      <c r="AJ12" s="25">
        <f ca="1">'TUSD BE'!$AJ$12*'TUSD BF'!$AJ$58</f>
        <v>0</v>
      </c>
      <c r="AK12" s="25">
        <f ca="1">'TUSD BE'!$AK$12*'TUSD BF'!$AK$58</f>
        <v>0</v>
      </c>
      <c r="AL12" s="25">
        <f ca="1">SUM($AH$12:$AK$12)</f>
        <v>0</v>
      </c>
      <c r="AM12" s="25">
        <f ca="1">SUMIF($L$4:$AL$4,"SUBTOTAL",$L$12:$AL$12)</f>
        <v>0</v>
      </c>
      <c r="AO12" s="30">
        <f ca="1">+'TUSD BE'!$T$12+'TUSD BE'!$AB$12+'TUSD BE'!$AD$12+'TUSD BE'!$AL$12</f>
        <v>68.49405113783574</v>
      </c>
      <c r="AP12" s="30">
        <f ca="1">+'TUSD BE'!$T$12+'TUSD BE'!$AB$12+'TUSD BE'!$AD$12+'TUSD BE'!$AL$12</f>
        <v>68.49405113783574</v>
      </c>
    </row>
    <row r="13" spans="1:42" ht="11.25" customHeight="1" x14ac:dyDescent="0.25">
      <c r="A13" s="132"/>
      <c r="B13" s="132"/>
      <c r="C13" s="132"/>
      <c r="D13" s="132"/>
      <c r="E13" s="132" t="s">
        <v>78</v>
      </c>
      <c r="F13" s="132" t="s">
        <v>25</v>
      </c>
      <c r="G13" s="21" t="s">
        <v>70</v>
      </c>
      <c r="H13" s="21" t="s">
        <v>69</v>
      </c>
      <c r="I13" s="21">
        <f>'MERCADO TUSD'!$U$10</f>
        <v>0</v>
      </c>
      <c r="J13" s="17"/>
      <c r="L13" s="25">
        <f>'TUSD BE'!$L$13*'TUSD BF'!$L$58</f>
        <v>0</v>
      </c>
      <c r="M13" s="25">
        <f>'TUSD BE'!$M$13*'TUSD BF'!$M$58</f>
        <v>0</v>
      </c>
      <c r="N13" s="25">
        <f ca="1">'TUSD BE'!$N$13*'TUSD BF'!$N$58</f>
        <v>0</v>
      </c>
      <c r="O13" s="25">
        <f>'TUSD BE'!$O$13*'TUSD BF'!$O$58</f>
        <v>0</v>
      </c>
      <c r="P13" s="25">
        <f>'TUSD BE'!$P$13*'TUSD BF'!$P$58</f>
        <v>0</v>
      </c>
      <c r="Q13" s="25">
        <f>'TUSD BE'!$Q$13*'TUSD BF'!$Q$58</f>
        <v>0</v>
      </c>
      <c r="R13" s="25">
        <f>'TUSD BE'!$R$13*'TUSD BF'!$R$58</f>
        <v>0</v>
      </c>
      <c r="S13" s="25">
        <f>'TUSD BE'!$R$13*'TUSD BF'!$S$58</f>
        <v>0</v>
      </c>
      <c r="T13" s="25">
        <f ca="1">SUM($L$13:$S$13)</f>
        <v>0</v>
      </c>
      <c r="U13" s="25">
        <f>'TUSD BE'!$U$13*'TUSD BF'!$U$58</f>
        <v>0</v>
      </c>
      <c r="V13" s="25">
        <f>'TUSD BE'!$V$13*'TUSD BF'!$V$58</f>
        <v>0</v>
      </c>
      <c r="W13" s="25">
        <f>'TUSD BE'!$W$13*'TUSD BF'!$W$58</f>
        <v>0</v>
      </c>
      <c r="X13" s="25">
        <f>'TUSD BE'!$X$13*'TUSD BF'!$X$58</f>
        <v>0</v>
      </c>
      <c r="Y13" s="25">
        <f>'TUSD BE'!$Y$13*'TUSD BF'!$Y$58</f>
        <v>0</v>
      </c>
      <c r="Z13" s="25">
        <f>'TUSD BE'!$Z$13*'TUSD BF'!$Z$58</f>
        <v>0</v>
      </c>
      <c r="AA13" s="25">
        <f>'TUSD BE'!$AA$13*'TUSD BF'!$AA$58</f>
        <v>0</v>
      </c>
      <c r="AB13" s="25">
        <f>SUM($U$13:$AA$13)</f>
        <v>0</v>
      </c>
      <c r="AC13" s="25">
        <f>'TUSD BE'!$AC$13*'TUSD BF'!$AC$58</f>
        <v>0</v>
      </c>
      <c r="AD13" s="25">
        <f>SUM($AC$13:$AC$13)</f>
        <v>0</v>
      </c>
      <c r="AE13" s="25">
        <f ca="1">$AO$13*$AO$55</f>
        <v>0</v>
      </c>
      <c r="AF13" s="25">
        <f ca="1">$AP$13*$AP$55</f>
        <v>0</v>
      </c>
      <c r="AG13" s="25">
        <f ca="1">SUM($AE$13:$AF$13)</f>
        <v>0</v>
      </c>
      <c r="AH13" s="25">
        <f>'TUSD BE'!$AH$13*'TUSD BF'!$AH$58</f>
        <v>0</v>
      </c>
      <c r="AI13" s="25">
        <f>'TUSD BE'!$AI$13*'TUSD BF'!$AI$58</f>
        <v>0</v>
      </c>
      <c r="AJ13" s="25">
        <f ca="1">'TUSD BE'!$AJ$13*'TUSD BF'!$AJ$58</f>
        <v>0</v>
      </c>
      <c r="AK13" s="25">
        <f ca="1">'TUSD BE'!$AK$13*'TUSD BF'!$AK$58</f>
        <v>0</v>
      </c>
      <c r="AL13" s="25">
        <f ca="1">SUM($AH$13:$AK$13)</f>
        <v>0</v>
      </c>
      <c r="AM13" s="25">
        <f ca="1">SUMIF($L$4:$AL$4,"SUBTOTAL",$L$13:$AL$13)</f>
        <v>0</v>
      </c>
      <c r="AO13" s="30">
        <f ca="1">+'TUSD BE'!$T$13+'TUSD BE'!$AB$13+'TUSD BE'!$AD$13+'TUSD BE'!$AL$13</f>
        <v>3411.7828045117112</v>
      </c>
      <c r="AP13" s="30">
        <f ca="1">+'TUSD BE'!$T$13+'TUSD BE'!$AB$13+'TUSD BE'!$AD$13+'TUSD BE'!$AL$13</f>
        <v>3411.7828045117112</v>
      </c>
    </row>
    <row r="14" spans="1:42" ht="11.25" customHeight="1" x14ac:dyDescent="0.25">
      <c r="A14" s="132"/>
      <c r="B14" s="132"/>
      <c r="C14" s="132"/>
      <c r="D14" s="132"/>
      <c r="E14" s="132"/>
      <c r="F14" s="132"/>
      <c r="G14" s="21" t="s">
        <v>71</v>
      </c>
      <c r="H14" s="21" t="s">
        <v>69</v>
      </c>
      <c r="I14" s="21">
        <f>'MERCADO TUSD'!$U$11</f>
        <v>0</v>
      </c>
      <c r="J14" s="17"/>
      <c r="L14" s="25">
        <f>'TUSD BE'!$L$14*'TUSD BF'!$L$58</f>
        <v>0</v>
      </c>
      <c r="M14" s="25">
        <f>'TUSD BE'!$M$14*'TUSD BF'!$M$58</f>
        <v>0</v>
      </c>
      <c r="N14" s="25">
        <f ca="1">'TUSD BE'!$N$14*'TUSD BF'!$N$58</f>
        <v>0</v>
      </c>
      <c r="O14" s="25">
        <f>'TUSD BE'!$O$14*'TUSD BF'!$O$58</f>
        <v>0</v>
      </c>
      <c r="P14" s="25">
        <f>'TUSD BE'!$P$14*'TUSD BF'!$P$58</f>
        <v>0</v>
      </c>
      <c r="Q14" s="25">
        <f>'TUSD BE'!$Q$14*'TUSD BF'!$Q$58</f>
        <v>0</v>
      </c>
      <c r="R14" s="25">
        <f>'TUSD BE'!$R$14*'TUSD BF'!$R$58</f>
        <v>0</v>
      </c>
      <c r="S14" s="25">
        <f>'TUSD BE'!$R$14*'TUSD BF'!$S$58</f>
        <v>0</v>
      </c>
      <c r="T14" s="25">
        <f ca="1">SUM($L$14:$S$14)</f>
        <v>0</v>
      </c>
      <c r="U14" s="25">
        <f>'TUSD BE'!$U$14*'TUSD BF'!$U$58</f>
        <v>0</v>
      </c>
      <c r="V14" s="25">
        <f>'TUSD BE'!$V$14*'TUSD BF'!$V$58</f>
        <v>0</v>
      </c>
      <c r="W14" s="25">
        <f>'TUSD BE'!$W$14*'TUSD BF'!$W$58</f>
        <v>0</v>
      </c>
      <c r="X14" s="25">
        <f>'TUSD BE'!$X$14*'TUSD BF'!$X$58</f>
        <v>0</v>
      </c>
      <c r="Y14" s="25">
        <f>'TUSD BE'!$Y$14*'TUSD BF'!$Y$58</f>
        <v>0</v>
      </c>
      <c r="Z14" s="25">
        <f>'TUSD BE'!$Z$14*'TUSD BF'!$Z$58</f>
        <v>0</v>
      </c>
      <c r="AA14" s="25">
        <f>'TUSD BE'!$AA$14*'TUSD BF'!$AA$58</f>
        <v>0</v>
      </c>
      <c r="AB14" s="25">
        <f>SUM($U$14:$AA$14)</f>
        <v>0</v>
      </c>
      <c r="AC14" s="25">
        <f>'TUSD BE'!$AC$14*'TUSD BF'!$AC$58</f>
        <v>0</v>
      </c>
      <c r="AD14" s="25">
        <f>SUM($AC$14:$AC$14)</f>
        <v>0</v>
      </c>
      <c r="AE14" s="25">
        <f ca="1">$AO$14*$AO$55</f>
        <v>0</v>
      </c>
      <c r="AF14" s="25">
        <f ca="1">$AP$14*$AP$55</f>
        <v>0</v>
      </c>
      <c r="AG14" s="25">
        <f ca="1">SUM($AE$14:$AF$14)</f>
        <v>0</v>
      </c>
      <c r="AH14" s="25">
        <f>'TUSD BE'!$AH$14*'TUSD BF'!$AH$58</f>
        <v>0</v>
      </c>
      <c r="AI14" s="25">
        <f>'TUSD BE'!$AI$14*'TUSD BF'!$AI$58</f>
        <v>0</v>
      </c>
      <c r="AJ14" s="25">
        <f ca="1">'TUSD BE'!$AJ$14*'TUSD BF'!$AJ$58</f>
        <v>0</v>
      </c>
      <c r="AK14" s="25">
        <f ca="1">'TUSD BE'!$AK$14*'TUSD BF'!$AK$58</f>
        <v>0</v>
      </c>
      <c r="AL14" s="25">
        <f ca="1">SUM($AH$14:$AK$14)</f>
        <v>0</v>
      </c>
      <c r="AM14" s="25">
        <f ca="1">SUMIF($L$4:$AL$4,"SUBTOTAL",$L$14:$AL$14)</f>
        <v>0</v>
      </c>
      <c r="AO14" s="30">
        <f ca="1">+'TUSD BE'!$T$14+'TUSD BE'!$AB$14+'TUSD BE'!$AD$14+'TUSD BE'!$AL$14</f>
        <v>18.784543036077711</v>
      </c>
      <c r="AP14" s="30">
        <f ca="1">+'TUSD BE'!$T$14+'TUSD BE'!$AB$14+'TUSD BE'!$AD$14+'TUSD BE'!$AL$14</f>
        <v>18.784543036077711</v>
      </c>
    </row>
    <row r="15" spans="1:42" ht="11.25" customHeight="1" x14ac:dyDescent="0.25">
      <c r="A15" s="132" t="s">
        <v>80</v>
      </c>
      <c r="B15" s="132" t="s">
        <v>79</v>
      </c>
      <c r="C15" s="132" t="s">
        <v>25</v>
      </c>
      <c r="D15" s="132" t="s">
        <v>25</v>
      </c>
      <c r="E15" s="28" t="s">
        <v>81</v>
      </c>
      <c r="F15" s="28" t="s">
        <v>25</v>
      </c>
      <c r="G15" s="21" t="s">
        <v>9</v>
      </c>
      <c r="H15" s="21" t="s">
        <v>75</v>
      </c>
      <c r="I15" s="21">
        <f>'MERCADO TUSD'!$U$12+0.00000001</f>
        <v>1E-8</v>
      </c>
      <c r="J15" s="17"/>
      <c r="L15" s="25">
        <f>'TUSD BE'!$L$15*'TUSD BF'!$L$58</f>
        <v>0</v>
      </c>
      <c r="M15" s="25">
        <f>'TUSD BE'!$M$15*'TUSD BF'!$M$58</f>
        <v>0</v>
      </c>
      <c r="N15" s="25">
        <f ca="1">'TUSD BE'!$N$15*'TUSD BF'!$N$58</f>
        <v>0</v>
      </c>
      <c r="O15" s="25">
        <f>'TUSD BE'!$O$15*'TUSD BF'!$O$58</f>
        <v>0</v>
      </c>
      <c r="P15" s="25">
        <f>'TUSD BE'!$P$15*'TUSD BF'!$P$58</f>
        <v>0</v>
      </c>
      <c r="Q15" s="25">
        <f>'TUSD BE'!$Q$15*'TUSD BF'!$Q$58</f>
        <v>0</v>
      </c>
      <c r="R15" s="25">
        <f>'TUSD BE'!$R$15*'TUSD BF'!$R$58</f>
        <v>0</v>
      </c>
      <c r="S15" s="25">
        <f>'TUSD BE'!$R$15*'TUSD BF'!$S$58</f>
        <v>0</v>
      </c>
      <c r="T15" s="25">
        <f ca="1">SUM($L$15:$S$15)</f>
        <v>0</v>
      </c>
      <c r="U15" s="25">
        <f>'TUSD BE'!$U$15*'TUSD BF'!$U$58</f>
        <v>0</v>
      </c>
      <c r="V15" s="25">
        <f>'TUSD BE'!$V$15*'TUSD BF'!$V$58</f>
        <v>0</v>
      </c>
      <c r="W15" s="25">
        <f>'TUSD BE'!$W$15*'TUSD BF'!$W$58</f>
        <v>0</v>
      </c>
      <c r="X15" s="25">
        <f>'TUSD BE'!$X$15*'TUSD BF'!$X$58</f>
        <v>0</v>
      </c>
      <c r="Y15" s="25">
        <f>'TUSD BE'!$Y$15*'TUSD BF'!$Y$58</f>
        <v>0</v>
      </c>
      <c r="Z15" s="25">
        <f>'TUSD BE'!$Z$15*'TUSD BF'!$Z$58</f>
        <v>0</v>
      </c>
      <c r="AA15" s="25">
        <f>'TUSD BE'!$AA$15*'TUSD BF'!$AA$58</f>
        <v>0</v>
      </c>
      <c r="AB15" s="25">
        <f>SUM($U$15:$AA$15)</f>
        <v>0</v>
      </c>
      <c r="AC15" s="25">
        <f>'TUSD BE'!$AC$15*'TUSD BF'!$AC$58</f>
        <v>0</v>
      </c>
      <c r="AD15" s="25">
        <f>SUM($AC$15:$AC$15)</f>
        <v>0</v>
      </c>
      <c r="AE15" s="25">
        <f ca="1">$AO$15*$AO$55</f>
        <v>0</v>
      </c>
      <c r="AF15" s="25">
        <f ca="1">$AP$15*$AP$55</f>
        <v>0</v>
      </c>
      <c r="AG15" s="25">
        <f ca="1">SUM($AE$15:$AF$15)</f>
        <v>0</v>
      </c>
      <c r="AH15" s="25">
        <f>'TUSD BE'!$AH$15*'TUSD BF'!$AH$58</f>
        <v>0</v>
      </c>
      <c r="AI15" s="25">
        <f>'TUSD BE'!$AI$15*'TUSD BF'!$AI$58</f>
        <v>0</v>
      </c>
      <c r="AJ15" s="25">
        <f ca="1">'TUSD BE'!$AJ$15*'TUSD BF'!$AJ$58</f>
        <v>0</v>
      </c>
      <c r="AK15" s="25">
        <f ca="1">'TUSD BE'!$AK$15*'TUSD BF'!$AK$58</f>
        <v>0</v>
      </c>
      <c r="AL15" s="25">
        <f ca="1">SUM($AH$15:$AK$15)</f>
        <v>0</v>
      </c>
      <c r="AM15" s="25">
        <f ca="1">SUMIF($L$4:$AL$4,"SUBTOTAL",$L$15:$AL$15)</f>
        <v>0</v>
      </c>
      <c r="AO15" s="30">
        <f ca="1">+'TUSD BE'!$T$15+'TUSD BE'!$AB$15+'TUSD BE'!$AD$15+'TUSD BE'!$AL$15</f>
        <v>6.3133120627176877</v>
      </c>
      <c r="AP15" s="30">
        <f ca="1">+'TUSD BE'!$T$15+'TUSD BE'!$AB$15+'TUSD BE'!$AD$15+'TUSD BE'!$AL$15</f>
        <v>6.3133120627176877</v>
      </c>
    </row>
    <row r="16" spans="1:42" ht="11.25" customHeight="1" x14ac:dyDescent="0.25">
      <c r="A16" s="132"/>
      <c r="B16" s="132"/>
      <c r="C16" s="132"/>
      <c r="D16" s="132"/>
      <c r="E16" s="28" t="s">
        <v>82</v>
      </c>
      <c r="F16" s="28" t="s">
        <v>25</v>
      </c>
      <c r="G16" s="21" t="s">
        <v>9</v>
      </c>
      <c r="H16" s="21" t="s">
        <v>75</v>
      </c>
      <c r="I16" s="21">
        <f>'MERCADO TUSD'!$U$13+0.00000001</f>
        <v>1E-8</v>
      </c>
      <c r="J16" s="17"/>
      <c r="L16" s="25">
        <f>'TUSD BE'!$L$16*'TUSD BF'!$L$58</f>
        <v>0</v>
      </c>
      <c r="M16" s="25">
        <f>'TUSD BE'!$M$16*'TUSD BF'!$M$58</f>
        <v>0</v>
      </c>
      <c r="N16" s="25">
        <f ca="1">'TUSD BE'!$N$16*'TUSD BF'!$N$58</f>
        <v>0</v>
      </c>
      <c r="O16" s="25">
        <f>'TUSD BE'!$O$16*'TUSD BF'!$O$58</f>
        <v>0</v>
      </c>
      <c r="P16" s="25">
        <f>'TUSD BE'!$P$16*'TUSD BF'!$P$58</f>
        <v>0</v>
      </c>
      <c r="Q16" s="25">
        <f>'TUSD BE'!$Q$16*'TUSD BF'!$Q$58</f>
        <v>0</v>
      </c>
      <c r="R16" s="25">
        <f>'TUSD BE'!$R$16*'TUSD BF'!$R$58</f>
        <v>0</v>
      </c>
      <c r="S16" s="25">
        <f>'TUSD BE'!$R$16*'TUSD BF'!$S$58</f>
        <v>0</v>
      </c>
      <c r="T16" s="25">
        <f ca="1">SUM($L$16:$S$16)</f>
        <v>0</v>
      </c>
      <c r="U16" s="25">
        <f>'TUSD BE'!$U$16*'TUSD BF'!$U$58</f>
        <v>0</v>
      </c>
      <c r="V16" s="25">
        <f>'TUSD BE'!$V$16*'TUSD BF'!$V$58</f>
        <v>0</v>
      </c>
      <c r="W16" s="25">
        <f>'TUSD BE'!$W$16*'TUSD BF'!$W$58</f>
        <v>0</v>
      </c>
      <c r="X16" s="25">
        <f>'TUSD BE'!$X$16*'TUSD BF'!$X$58</f>
        <v>0</v>
      </c>
      <c r="Y16" s="25">
        <f>'TUSD BE'!$Y$16*'TUSD BF'!$Y$58</f>
        <v>0</v>
      </c>
      <c r="Z16" s="25">
        <f>'TUSD BE'!$Z$16*'TUSD BF'!$Z$58</f>
        <v>0</v>
      </c>
      <c r="AA16" s="25">
        <f>'TUSD BE'!$AA$16*'TUSD BF'!$AA$58</f>
        <v>0</v>
      </c>
      <c r="AB16" s="25">
        <f>SUM($U$16:$AA$16)</f>
        <v>0</v>
      </c>
      <c r="AC16" s="25">
        <f>'TUSD BE'!$AC$16*'TUSD BF'!$AC$58</f>
        <v>0</v>
      </c>
      <c r="AD16" s="25">
        <f>SUM($AC$16:$AC$16)</f>
        <v>0</v>
      </c>
      <c r="AE16" s="25">
        <f ca="1">$AO$16*$AO$55</f>
        <v>0</v>
      </c>
      <c r="AF16" s="25">
        <f ca="1">$AP$16*$AP$55</f>
        <v>0</v>
      </c>
      <c r="AG16" s="25">
        <f ca="1">SUM($AE$16:$AF$16)</f>
        <v>0</v>
      </c>
      <c r="AH16" s="25">
        <f>'TUSD BE'!$AH$16*'TUSD BF'!$AH$58</f>
        <v>0</v>
      </c>
      <c r="AI16" s="25">
        <f>'TUSD BE'!$AI$16*'TUSD BF'!$AI$58</f>
        <v>0</v>
      </c>
      <c r="AJ16" s="25">
        <f ca="1">'TUSD BE'!$AJ$16*'TUSD BF'!$AJ$58</f>
        <v>0</v>
      </c>
      <c r="AK16" s="25">
        <f ca="1">'TUSD BE'!$AK$16*'TUSD BF'!$AK$58</f>
        <v>0</v>
      </c>
      <c r="AL16" s="25">
        <f ca="1">SUM($AH$16:$AK$16)</f>
        <v>0</v>
      </c>
      <c r="AM16" s="25">
        <f ca="1">SUMIF($L$4:$AL$4,"SUBTOTAL",$L$16:$AL$16)</f>
        <v>0</v>
      </c>
      <c r="AO16" s="30">
        <f ca="1">+'TUSD BE'!$T$16+'TUSD BE'!$AB$16+'TUSD BE'!$AD$16+'TUSD BE'!$AL$16</f>
        <v>19.018984475157485</v>
      </c>
      <c r="AP16" s="30">
        <f ca="1">+'TUSD BE'!$T$16+'TUSD BE'!$AB$16+'TUSD BE'!$AD$16+'TUSD BE'!$AL$16</f>
        <v>19.018984475157485</v>
      </c>
    </row>
    <row r="17" spans="1:42" ht="11.25" customHeight="1" x14ac:dyDescent="0.25">
      <c r="A17" s="132" t="s">
        <v>22</v>
      </c>
      <c r="B17" s="132" t="s">
        <v>39</v>
      </c>
      <c r="C17" s="132" t="s">
        <v>24</v>
      </c>
      <c r="D17" s="132" t="s">
        <v>24</v>
      </c>
      <c r="E17" s="132" t="s">
        <v>25</v>
      </c>
      <c r="F17" s="132" t="s">
        <v>25</v>
      </c>
      <c r="G17" s="21" t="s">
        <v>70</v>
      </c>
      <c r="H17" s="21" t="s">
        <v>69</v>
      </c>
      <c r="I17" s="21">
        <f>'MERCADO TUSD'!$U$14</f>
        <v>0</v>
      </c>
      <c r="J17" s="17"/>
      <c r="L17" s="25">
        <f>'TUSD BE'!$L$17*'TUSD BF'!$L$58</f>
        <v>0</v>
      </c>
      <c r="M17" s="25">
        <f>'TUSD BE'!$M$17*'TUSD BF'!$M$58</f>
        <v>0</v>
      </c>
      <c r="N17" s="25">
        <f ca="1">'TUSD BE'!$N$17*'TUSD BF'!$N$58</f>
        <v>0</v>
      </c>
      <c r="O17" s="25">
        <f>'TUSD BE'!$O$17*'TUSD BF'!$O$58</f>
        <v>0</v>
      </c>
      <c r="P17" s="25">
        <f>'TUSD BE'!$P$17*'TUSD BF'!$P$58</f>
        <v>0</v>
      </c>
      <c r="Q17" s="25">
        <f>'TUSD BE'!$Q$17*'TUSD BF'!$Q$58</f>
        <v>0</v>
      </c>
      <c r="R17" s="25">
        <f>'TUSD BE'!$R$17*'TUSD BF'!$R$58</f>
        <v>0</v>
      </c>
      <c r="S17" s="25">
        <f>'TUSD BE'!$R$17*'TUSD BF'!$S$58</f>
        <v>0</v>
      </c>
      <c r="T17" s="25">
        <f ca="1">SUM($L$17:$S$17)</f>
        <v>0</v>
      </c>
      <c r="U17" s="25">
        <f>'TUSD BE'!$U$17*'TUSD BF'!$U$58</f>
        <v>0</v>
      </c>
      <c r="V17" s="25">
        <f>'TUSD BE'!$V$17*'TUSD BF'!$V$58</f>
        <v>0</v>
      </c>
      <c r="W17" s="25">
        <f>'TUSD BE'!$W$17*'TUSD BF'!$W$58</f>
        <v>0</v>
      </c>
      <c r="X17" s="25">
        <f>'TUSD BE'!$X$17*'TUSD BF'!$X$58</f>
        <v>0</v>
      </c>
      <c r="Y17" s="25">
        <f>'TUSD BE'!$Y$17*'TUSD BF'!$Y$58</f>
        <v>0</v>
      </c>
      <c r="Z17" s="25">
        <f>'TUSD BE'!$Z$17*'TUSD BF'!$Z$58</f>
        <v>0</v>
      </c>
      <c r="AA17" s="25">
        <f>'TUSD BE'!$AA$17*'TUSD BF'!$AA$58</f>
        <v>0</v>
      </c>
      <c r="AB17" s="25">
        <f>SUM($U$17:$AA$17)</f>
        <v>0</v>
      </c>
      <c r="AC17" s="25">
        <f>'TUSD BE'!$AC$17*'TUSD BF'!$AC$58</f>
        <v>0</v>
      </c>
      <c r="AD17" s="25">
        <f>SUM($AC$17:$AC$17)</f>
        <v>0</v>
      </c>
      <c r="AE17" s="25">
        <f ca="1">$AO$17*$AO$55</f>
        <v>0</v>
      </c>
      <c r="AF17" s="25">
        <f ca="1">$AP$17*$AP$55</f>
        <v>0</v>
      </c>
      <c r="AG17" s="25">
        <f ca="1">SUM($AE$17:$AF$17)</f>
        <v>0</v>
      </c>
      <c r="AH17" s="25">
        <f>'TUSD BE'!$AH$17*'TUSD BF'!$AH$58</f>
        <v>0</v>
      </c>
      <c r="AI17" s="25">
        <f>'TUSD BE'!$AI$17*'TUSD BF'!$AI$58</f>
        <v>0</v>
      </c>
      <c r="AJ17" s="25">
        <f ca="1">'TUSD BE'!$AJ$17*'TUSD BF'!$AJ$58</f>
        <v>0</v>
      </c>
      <c r="AK17" s="25">
        <f ca="1">'TUSD BE'!$AK$17*'TUSD BF'!$AK$58</f>
        <v>0</v>
      </c>
      <c r="AL17" s="25">
        <f ca="1">SUM($AH$17:$AK$17)</f>
        <v>0</v>
      </c>
      <c r="AM17" s="25">
        <f ca="1">SUMIF($L$4:$AL$4,"SUBTOTAL",$L$17:$AL$17)</f>
        <v>0</v>
      </c>
      <c r="AO17" s="30">
        <f ca="1">+'TUSD BE'!$T$17+'TUSD BE'!$AB$17+'TUSD BE'!$AD$17+'TUSD BE'!$AL$17</f>
        <v>2072.6884223662473</v>
      </c>
      <c r="AP17" s="30">
        <f ca="1">+'TUSD BE'!$T$17+'TUSD BE'!$AB$17+'TUSD BE'!$AD$17+'TUSD BE'!$AL$17</f>
        <v>2072.6884223662473</v>
      </c>
    </row>
    <row r="18" spans="1:42" ht="11.25" customHeight="1" x14ac:dyDescent="0.25">
      <c r="A18" s="132"/>
      <c r="B18" s="132"/>
      <c r="C18" s="132"/>
      <c r="D18" s="132"/>
      <c r="E18" s="132"/>
      <c r="F18" s="132"/>
      <c r="G18" s="21" t="s">
        <v>83</v>
      </c>
      <c r="H18" s="21" t="s">
        <v>69</v>
      </c>
      <c r="I18" s="21">
        <f>'MERCADO TUSD'!$U$15</f>
        <v>5.0000000000000001E-3</v>
      </c>
      <c r="J18" s="17"/>
      <c r="L18" s="25">
        <f>'TUSD BE'!$L$18*'TUSD BF'!$L$58</f>
        <v>0</v>
      </c>
      <c r="M18" s="25">
        <f>'TUSD BE'!$M$18*'TUSD BF'!$M$58</f>
        <v>0</v>
      </c>
      <c r="N18" s="25">
        <f ca="1">'TUSD BE'!$N$18*'TUSD BF'!$N$58</f>
        <v>0</v>
      </c>
      <c r="O18" s="25">
        <f>'TUSD BE'!$O$18*'TUSD BF'!$O$58</f>
        <v>0</v>
      </c>
      <c r="P18" s="25">
        <f>'TUSD BE'!$P$18*'TUSD BF'!$P$58</f>
        <v>0</v>
      </c>
      <c r="Q18" s="25">
        <f>'TUSD BE'!$Q$18*'TUSD BF'!$Q$58</f>
        <v>0</v>
      </c>
      <c r="R18" s="25">
        <f>'TUSD BE'!$R$18*'TUSD BF'!$R$58</f>
        <v>0</v>
      </c>
      <c r="S18" s="25">
        <f>'TUSD BE'!$R$18*'TUSD BF'!$S$58</f>
        <v>0</v>
      </c>
      <c r="T18" s="25">
        <f ca="1">SUM($L$18:$S$18)</f>
        <v>0</v>
      </c>
      <c r="U18" s="25">
        <f>'TUSD BE'!$U$18*'TUSD BF'!$U$58</f>
        <v>0</v>
      </c>
      <c r="V18" s="25">
        <f>'TUSD BE'!$V$18*'TUSD BF'!$V$58</f>
        <v>0</v>
      </c>
      <c r="W18" s="25">
        <f>'TUSD BE'!$W$18*'TUSD BF'!$W$58</f>
        <v>0</v>
      </c>
      <c r="X18" s="25">
        <f>'TUSD BE'!$X$18*'TUSD BF'!$X$58</f>
        <v>0</v>
      </c>
      <c r="Y18" s="25">
        <f>'TUSD BE'!$Y$18*'TUSD BF'!$Y$58</f>
        <v>0</v>
      </c>
      <c r="Z18" s="25">
        <f>'TUSD BE'!$Z$18*'TUSD BF'!$Z$58</f>
        <v>0</v>
      </c>
      <c r="AA18" s="25">
        <f>'TUSD BE'!$AA$18*'TUSD BF'!$AA$58</f>
        <v>0</v>
      </c>
      <c r="AB18" s="25">
        <f>SUM($U$18:$AA$18)</f>
        <v>0</v>
      </c>
      <c r="AC18" s="25">
        <f>'TUSD BE'!$AC$18*'TUSD BF'!$AC$58</f>
        <v>0</v>
      </c>
      <c r="AD18" s="25">
        <f>SUM($AC$18:$AC$18)</f>
        <v>0</v>
      </c>
      <c r="AE18" s="25">
        <f ca="1">$AO$18*$AO$55</f>
        <v>0</v>
      </c>
      <c r="AF18" s="25">
        <f ca="1">$AP$18*$AP$55</f>
        <v>0</v>
      </c>
      <c r="AG18" s="25">
        <f ca="1">SUM($AE$18:$AF$18)</f>
        <v>0</v>
      </c>
      <c r="AH18" s="25">
        <f>'TUSD BE'!$AH$18*'TUSD BF'!$AH$58</f>
        <v>0</v>
      </c>
      <c r="AI18" s="25">
        <f>'TUSD BE'!$AI$18*'TUSD BF'!$AI$58</f>
        <v>0</v>
      </c>
      <c r="AJ18" s="25">
        <f ca="1">'TUSD BE'!$AJ$18*'TUSD BF'!$AJ$58</f>
        <v>0</v>
      </c>
      <c r="AK18" s="25">
        <f ca="1">'TUSD BE'!$AK$18*'TUSD BF'!$AK$58</f>
        <v>0</v>
      </c>
      <c r="AL18" s="25">
        <f ca="1">SUM($AH$18:$AK$18)</f>
        <v>0</v>
      </c>
      <c r="AM18" s="25">
        <f ca="1">SUMIF($L$4:$AL$4,"SUBTOTAL",$L$18:$AL$18)</f>
        <v>0</v>
      </c>
      <c r="AO18" s="30">
        <f ca="1">+'TUSD BE'!$T$18+'TUSD BE'!$AB$18+'TUSD BE'!$AD$18+'TUSD BE'!$AL$18</f>
        <v>1282.7182930693316</v>
      </c>
      <c r="AP18" s="30">
        <f ca="1">+'TUSD BE'!$T$18+'TUSD BE'!$AB$18+'TUSD BE'!$AD$18+'TUSD BE'!$AL$18</f>
        <v>1282.7182930693316</v>
      </c>
    </row>
    <row r="19" spans="1:42" ht="11.25" customHeight="1" x14ac:dyDescent="0.25">
      <c r="A19" s="132"/>
      <c r="B19" s="132"/>
      <c r="C19" s="132"/>
      <c r="D19" s="132"/>
      <c r="E19" s="132"/>
      <c r="F19" s="132"/>
      <c r="G19" s="21" t="s">
        <v>71</v>
      </c>
      <c r="H19" s="21" t="s">
        <v>69</v>
      </c>
      <c r="I19" s="21">
        <f>'MERCADO TUSD'!$U$16</f>
        <v>0.96600000000000008</v>
      </c>
      <c r="J19" s="17"/>
      <c r="L19" s="25">
        <f>'TUSD BE'!$L$19*'TUSD BF'!$L$58</f>
        <v>0</v>
      </c>
      <c r="M19" s="25">
        <f>'TUSD BE'!$M$19*'TUSD BF'!$M$58</f>
        <v>0</v>
      </c>
      <c r="N19" s="25">
        <f ca="1">'TUSD BE'!$N$19*'TUSD BF'!$N$58</f>
        <v>0</v>
      </c>
      <c r="O19" s="25">
        <f>'TUSD BE'!$O$19*'TUSD BF'!$O$58</f>
        <v>0</v>
      </c>
      <c r="P19" s="25">
        <f>'TUSD BE'!$P$19*'TUSD BF'!$P$58</f>
        <v>0</v>
      </c>
      <c r="Q19" s="25">
        <f>'TUSD BE'!$Q$19*'TUSD BF'!$Q$58</f>
        <v>0</v>
      </c>
      <c r="R19" s="25">
        <f>'TUSD BE'!$R$19*'TUSD BF'!$R$58</f>
        <v>0</v>
      </c>
      <c r="S19" s="25">
        <f>'TUSD BE'!$R$19*'TUSD BF'!$S$58</f>
        <v>0</v>
      </c>
      <c r="T19" s="25">
        <f ca="1">SUM($L$19:$S$19)</f>
        <v>0</v>
      </c>
      <c r="U19" s="25">
        <f>'TUSD BE'!$U$19*'TUSD BF'!$U$58</f>
        <v>0</v>
      </c>
      <c r="V19" s="25">
        <f>'TUSD BE'!$V$19*'TUSD BF'!$V$58</f>
        <v>0</v>
      </c>
      <c r="W19" s="25">
        <f>'TUSD BE'!$W$19*'TUSD BF'!$W$58</f>
        <v>0</v>
      </c>
      <c r="X19" s="25">
        <f>'TUSD BE'!$X$19*'TUSD BF'!$X$58</f>
        <v>0</v>
      </c>
      <c r="Y19" s="25">
        <f>'TUSD BE'!$Y$19*'TUSD BF'!$Y$58</f>
        <v>0</v>
      </c>
      <c r="Z19" s="25">
        <f>'TUSD BE'!$Z$19*'TUSD BF'!$Z$58</f>
        <v>0</v>
      </c>
      <c r="AA19" s="25">
        <f>'TUSD BE'!$AA$19*'TUSD BF'!$AA$58</f>
        <v>0</v>
      </c>
      <c r="AB19" s="25">
        <f>SUM($U$19:$AA$19)</f>
        <v>0</v>
      </c>
      <c r="AC19" s="25">
        <f>'TUSD BE'!$AC$19*'TUSD BF'!$AC$58</f>
        <v>0</v>
      </c>
      <c r="AD19" s="25">
        <f>SUM($AC$19:$AC$19)</f>
        <v>0</v>
      </c>
      <c r="AE19" s="25">
        <f ca="1">$AO$19*$AO$55</f>
        <v>0</v>
      </c>
      <c r="AF19" s="25">
        <f ca="1">$AP$19*$AP$55</f>
        <v>0</v>
      </c>
      <c r="AG19" s="25">
        <f ca="1">SUM($AE$19:$AF$19)</f>
        <v>0</v>
      </c>
      <c r="AH19" s="25">
        <f>'TUSD BE'!$AH$19*'TUSD BF'!$AH$58</f>
        <v>0</v>
      </c>
      <c r="AI19" s="25">
        <f>'TUSD BE'!$AI$19*'TUSD BF'!$AI$58</f>
        <v>0</v>
      </c>
      <c r="AJ19" s="25">
        <f ca="1">'TUSD BE'!$AJ$19*'TUSD BF'!$AJ$58</f>
        <v>0</v>
      </c>
      <c r="AK19" s="25">
        <f ca="1">'TUSD BE'!$AK$19*'TUSD BF'!$AK$58</f>
        <v>0</v>
      </c>
      <c r="AL19" s="25">
        <f ca="1">SUM($AH$19:$AK$19)</f>
        <v>0</v>
      </c>
      <c r="AM19" s="25">
        <f ca="1">SUMIF($L$4:$AL$4,"SUBTOTAL",$L$19:$AL$19)</f>
        <v>0</v>
      </c>
      <c r="AO19" s="30">
        <f ca="1">+'TUSD BE'!$T$19+'TUSD BE'!$AB$19+'TUSD BE'!$AD$19+'TUSD BE'!$AL$19</f>
        <v>492.75161542527638</v>
      </c>
      <c r="AP19" s="30">
        <f ca="1">+'TUSD BE'!$T$19+'TUSD BE'!$AB$19+'TUSD BE'!$AD$19+'TUSD BE'!$AL$19</f>
        <v>492.75161542527638</v>
      </c>
    </row>
    <row r="20" spans="1:42" ht="11.25" customHeight="1" x14ac:dyDescent="0.25">
      <c r="A20" s="132"/>
      <c r="B20" s="132" t="s">
        <v>23</v>
      </c>
      <c r="C20" s="132" t="s">
        <v>24</v>
      </c>
      <c r="D20" s="28" t="s">
        <v>24</v>
      </c>
      <c r="E20" s="28" t="s">
        <v>25</v>
      </c>
      <c r="F20" s="28" t="s">
        <v>25</v>
      </c>
      <c r="G20" s="21" t="s">
        <v>73</v>
      </c>
      <c r="H20" s="21" t="s">
        <v>69</v>
      </c>
      <c r="I20" s="21">
        <f>'MERCADO TUSD'!$U$17</f>
        <v>2520.6710000000003</v>
      </c>
      <c r="J20" s="17"/>
      <c r="L20" s="25">
        <f>'TUSD BE'!$L$20*'TUSD BF'!$L$58</f>
        <v>0</v>
      </c>
      <c r="M20" s="25">
        <f>'TUSD BE'!$M$20*'TUSD BF'!$M$58</f>
        <v>0</v>
      </c>
      <c r="N20" s="25">
        <f ca="1">'TUSD BE'!$N$20*'TUSD BF'!$N$58</f>
        <v>0</v>
      </c>
      <c r="O20" s="25">
        <f>'TUSD BE'!$O$20*'TUSD BF'!$O$58</f>
        <v>0</v>
      </c>
      <c r="P20" s="25">
        <f>'TUSD BE'!$P$20*'TUSD BF'!$P$58</f>
        <v>0</v>
      </c>
      <c r="Q20" s="25">
        <f>'TUSD BE'!$Q$20*'TUSD BF'!$Q$58</f>
        <v>0</v>
      </c>
      <c r="R20" s="25">
        <f>'TUSD BE'!$R$20*'TUSD BF'!$R$58</f>
        <v>0</v>
      </c>
      <c r="S20" s="25">
        <f>'TUSD BE'!$R$20*'TUSD BF'!$S$58</f>
        <v>0</v>
      </c>
      <c r="T20" s="25">
        <f ca="1">SUM($L$20:$S$20)</f>
        <v>0</v>
      </c>
      <c r="U20" s="25">
        <f>'TUSD BE'!$U$20*'TUSD BF'!$U$58</f>
        <v>0</v>
      </c>
      <c r="V20" s="25">
        <f>'TUSD BE'!$V$20*'TUSD BF'!$V$58</f>
        <v>0</v>
      </c>
      <c r="W20" s="25">
        <f>'TUSD BE'!$W$20*'TUSD BF'!$W$58</f>
        <v>0</v>
      </c>
      <c r="X20" s="25">
        <f>'TUSD BE'!$X$20*'TUSD BF'!$X$58</f>
        <v>0</v>
      </c>
      <c r="Y20" s="25">
        <f>'TUSD BE'!$Y$20*'TUSD BF'!$Y$58</f>
        <v>0</v>
      </c>
      <c r="Z20" s="25">
        <f>'TUSD BE'!$Z$20*'TUSD BF'!$Z$58</f>
        <v>0</v>
      </c>
      <c r="AA20" s="25">
        <f>'TUSD BE'!$AA$20*'TUSD BF'!$AA$58</f>
        <v>0</v>
      </c>
      <c r="AB20" s="25">
        <f>SUM($U$20:$AA$20)</f>
        <v>0</v>
      </c>
      <c r="AC20" s="25">
        <f>'TUSD BE'!$AC$20*'TUSD BF'!$AC$58</f>
        <v>0</v>
      </c>
      <c r="AD20" s="25">
        <f>SUM($AC$20:$AC$20)</f>
        <v>0</v>
      </c>
      <c r="AE20" s="25">
        <f ca="1">$AO$20*$AO$55</f>
        <v>0</v>
      </c>
      <c r="AF20" s="25">
        <f ca="1">$AP$20*$AP$55</f>
        <v>0</v>
      </c>
      <c r="AG20" s="25">
        <f ca="1">SUM($AE$20:$AF$20)</f>
        <v>0</v>
      </c>
      <c r="AH20" s="25">
        <f>'TUSD BE'!$AH$20*'TUSD BF'!$AH$58</f>
        <v>0</v>
      </c>
      <c r="AI20" s="25">
        <f>'TUSD BE'!$AI$20*'TUSD BF'!$AI$58</f>
        <v>0</v>
      </c>
      <c r="AJ20" s="25">
        <f ca="1">'TUSD BE'!$AJ$20*'TUSD BF'!$AJ$58</f>
        <v>0</v>
      </c>
      <c r="AK20" s="25">
        <f ca="1">'TUSD BE'!$AK$20*'TUSD BF'!$AK$58</f>
        <v>0</v>
      </c>
      <c r="AL20" s="25">
        <f ca="1">SUM($AH$20:$AK$20)</f>
        <v>0</v>
      </c>
      <c r="AM20" s="25">
        <f ca="1">SUMIF($L$4:$AL$4,"SUBTOTAL",$L$20:$AL$20)</f>
        <v>0</v>
      </c>
      <c r="AO20" s="30">
        <f ca="1">+'TUSD BE'!$T$20+'TUSD BE'!$AB$20+'TUSD BE'!$AD$20+'TUSD BE'!$AL$20</f>
        <v>756.07480965419325</v>
      </c>
      <c r="AP20" s="30">
        <f ca="1">+'TUSD BE'!$T$20+'TUSD BE'!$AB$20+'TUSD BE'!$AD$20+'TUSD BE'!$AL$20</f>
        <v>756.07480965419325</v>
      </c>
    </row>
    <row r="21" spans="1:42" ht="11.25" customHeight="1" x14ac:dyDescent="0.25">
      <c r="A21" s="132"/>
      <c r="B21" s="132"/>
      <c r="C21" s="132"/>
      <c r="D21" s="28" t="s">
        <v>28</v>
      </c>
      <c r="E21" s="28" t="s">
        <v>25</v>
      </c>
      <c r="F21" s="28" t="s">
        <v>25</v>
      </c>
      <c r="G21" s="21" t="s">
        <v>73</v>
      </c>
      <c r="H21" s="21" t="s">
        <v>69</v>
      </c>
      <c r="I21" s="21">
        <f>'MERCADO TUSD'!$U$18</f>
        <v>782.16</v>
      </c>
      <c r="J21" s="17"/>
      <c r="L21" s="25">
        <f>'TUSD BE'!$L$21*'TUSD BF'!$L$58</f>
        <v>0</v>
      </c>
      <c r="M21" s="25">
        <f>'TUSD BE'!$M$21*'TUSD BF'!$M$58</f>
        <v>0</v>
      </c>
      <c r="N21" s="25">
        <f ca="1">'TUSD BE'!$N$21*'TUSD BF'!$N$58</f>
        <v>0</v>
      </c>
      <c r="O21" s="25">
        <f>'TUSD BE'!$O$21*'TUSD BF'!$O$58</f>
        <v>0</v>
      </c>
      <c r="P21" s="25">
        <f>'TUSD BE'!$P$21*'TUSD BF'!$P$58</f>
        <v>0</v>
      </c>
      <c r="Q21" s="25">
        <f>'TUSD BE'!$Q$21*'TUSD BF'!$Q$58</f>
        <v>0</v>
      </c>
      <c r="R21" s="25">
        <f>'TUSD BE'!$R$21*'TUSD BF'!$R$58</f>
        <v>0</v>
      </c>
      <c r="S21" s="25">
        <f>'TUSD BE'!$R$21*'TUSD BF'!$S$58</f>
        <v>0</v>
      </c>
      <c r="T21" s="25">
        <f ca="1">SUM($L$21:$S$21)</f>
        <v>0</v>
      </c>
      <c r="U21" s="25">
        <f>'TUSD BE'!$U$21*'TUSD BF'!$U$58</f>
        <v>0</v>
      </c>
      <c r="V21" s="25">
        <f>'TUSD BE'!$V$21*'TUSD BF'!$V$58</f>
        <v>0</v>
      </c>
      <c r="W21" s="25">
        <f>'TUSD BE'!$W$21*'TUSD BF'!$W$58</f>
        <v>0</v>
      </c>
      <c r="X21" s="25">
        <f>'TUSD BE'!$X$21*'TUSD BF'!$X$58</f>
        <v>0</v>
      </c>
      <c r="Y21" s="25">
        <f>'TUSD BE'!$Y$21*'TUSD BF'!$Y$58</f>
        <v>0</v>
      </c>
      <c r="Z21" s="25">
        <f>'TUSD BE'!$Z$21*'TUSD BF'!$Z$58</f>
        <v>0</v>
      </c>
      <c r="AA21" s="25">
        <f>'TUSD BE'!$AA$21*'TUSD BF'!$AA$58</f>
        <v>0</v>
      </c>
      <c r="AB21" s="25">
        <f>SUM($U$21:$AA$21)</f>
        <v>0</v>
      </c>
      <c r="AC21" s="25">
        <f>'TUSD BE'!$AC$21*'TUSD BF'!$AC$58</f>
        <v>0</v>
      </c>
      <c r="AD21" s="25">
        <f>SUM($AC$21:$AC$21)</f>
        <v>0</v>
      </c>
      <c r="AE21" s="25">
        <f ca="1">$AO$21*$AO$55</f>
        <v>0</v>
      </c>
      <c r="AF21" s="25">
        <f ca="1">$AP$21*$AP$55</f>
        <v>0</v>
      </c>
      <c r="AG21" s="25">
        <f ca="1">SUM($AE$21:$AF$21)</f>
        <v>0</v>
      </c>
      <c r="AH21" s="25">
        <f>'TUSD BE'!$AH$21*'TUSD BF'!$AH$58</f>
        <v>0</v>
      </c>
      <c r="AI21" s="25">
        <f>'TUSD BE'!$AI$21*'TUSD BF'!$AI$58</f>
        <v>0</v>
      </c>
      <c r="AJ21" s="25">
        <f ca="1">'TUSD BE'!$AJ$21*'TUSD BF'!$AJ$58</f>
        <v>0</v>
      </c>
      <c r="AK21" s="25">
        <f ca="1">'TUSD BE'!$AK$21*'TUSD BF'!$AK$58</f>
        <v>0</v>
      </c>
      <c r="AL21" s="25">
        <f ca="1">SUM($AH$21:$AK$21)</f>
        <v>0</v>
      </c>
      <c r="AM21" s="25">
        <f ca="1">SUMIF($L$4:$AL$4,"SUBTOTAL",$L$21:$AL$21)</f>
        <v>0</v>
      </c>
      <c r="AO21" s="30">
        <f ca="1">+'TUSD BE'!$T$21+'TUSD BE'!$AB$21+'TUSD BE'!$AD$21+'TUSD BE'!$AL$21</f>
        <v>699.81712540522165</v>
      </c>
      <c r="AP21" s="30">
        <f ca="1">+'TUSD BE'!$T$21+'TUSD BE'!$AB$21+'TUSD BE'!$AD$21+'TUSD BE'!$AL$21</f>
        <v>699.81712540522165</v>
      </c>
    </row>
    <row r="22" spans="1:42" ht="11.25" customHeight="1" x14ac:dyDescent="0.25">
      <c r="A22" s="132"/>
      <c r="B22" s="132"/>
      <c r="C22" s="132"/>
      <c r="D22" s="28" t="s">
        <v>29</v>
      </c>
      <c r="E22" s="28" t="s">
        <v>25</v>
      </c>
      <c r="F22" s="28" t="s">
        <v>25</v>
      </c>
      <c r="G22" s="21" t="s">
        <v>73</v>
      </c>
      <c r="H22" s="21" t="s">
        <v>69</v>
      </c>
      <c r="I22" s="21">
        <f>'MERCADO TUSD'!$U$19</f>
        <v>1214.3559999999998</v>
      </c>
      <c r="J22" s="17"/>
      <c r="L22" s="25">
        <f>'TUSD BE'!$L$22*'TUSD BF'!$L$58</f>
        <v>0</v>
      </c>
      <c r="M22" s="25">
        <f>'TUSD BE'!$M$22*'TUSD BF'!$M$58</f>
        <v>0</v>
      </c>
      <c r="N22" s="25">
        <f ca="1">'TUSD BE'!$N$22*'TUSD BF'!$N$58</f>
        <v>0</v>
      </c>
      <c r="O22" s="25">
        <f>'TUSD BE'!$O$22*'TUSD BF'!$O$58</f>
        <v>0</v>
      </c>
      <c r="P22" s="25">
        <f>'TUSD BE'!$P$22*'TUSD BF'!$P$58</f>
        <v>0</v>
      </c>
      <c r="Q22" s="25">
        <f>'TUSD BE'!$Q$22*'TUSD BF'!$Q$58</f>
        <v>0</v>
      </c>
      <c r="R22" s="25">
        <f>'TUSD BE'!$R$22*'TUSD BF'!$R$58</f>
        <v>0</v>
      </c>
      <c r="S22" s="25">
        <f>'TUSD BE'!$R$22*'TUSD BF'!$S$58</f>
        <v>0</v>
      </c>
      <c r="T22" s="25">
        <f ca="1">SUM($L$22:$S$22)</f>
        <v>0</v>
      </c>
      <c r="U22" s="25">
        <f>'TUSD BE'!$U$22*'TUSD BF'!$U$58</f>
        <v>0</v>
      </c>
      <c r="V22" s="25">
        <f>'TUSD BE'!$V$22*'TUSD BF'!$V$58</f>
        <v>0</v>
      </c>
      <c r="W22" s="25">
        <f>'TUSD BE'!$W$22*'TUSD BF'!$W$58</f>
        <v>0</v>
      </c>
      <c r="X22" s="25">
        <f>'TUSD BE'!$X$22*'TUSD BF'!$X$58</f>
        <v>0</v>
      </c>
      <c r="Y22" s="25">
        <f>'TUSD BE'!$Y$22*'TUSD BF'!$Y$58</f>
        <v>0</v>
      </c>
      <c r="Z22" s="25">
        <f>'TUSD BE'!$Z$22*'TUSD BF'!$Z$58</f>
        <v>0</v>
      </c>
      <c r="AA22" s="25">
        <f>'TUSD BE'!$AA$22*'TUSD BF'!$AA$58</f>
        <v>0</v>
      </c>
      <c r="AB22" s="25">
        <f>SUM($U$22:$AA$22)</f>
        <v>0</v>
      </c>
      <c r="AC22" s="25">
        <f>'TUSD BE'!$AC$22*'TUSD BF'!$AC$58</f>
        <v>0</v>
      </c>
      <c r="AD22" s="25">
        <f>SUM($AC$22:$AC$22)</f>
        <v>0</v>
      </c>
      <c r="AE22" s="25">
        <f ca="1">$AO$22*$AO$55</f>
        <v>0</v>
      </c>
      <c r="AF22" s="25">
        <f ca="1">$AP$22*$AP$55</f>
        <v>0</v>
      </c>
      <c r="AG22" s="25">
        <f ca="1">SUM($AE$22:$AF$22)</f>
        <v>0</v>
      </c>
      <c r="AH22" s="25">
        <f>'TUSD BE'!$AH$22*'TUSD BF'!$AH$58</f>
        <v>0</v>
      </c>
      <c r="AI22" s="25">
        <f>'TUSD BE'!$AI$22*'TUSD BF'!$AI$58</f>
        <v>0</v>
      </c>
      <c r="AJ22" s="25">
        <f ca="1">'TUSD BE'!$AJ$22*'TUSD BF'!$AJ$58</f>
        <v>0</v>
      </c>
      <c r="AK22" s="25">
        <f ca="1">'TUSD BE'!$AK$22*'TUSD BF'!$AK$58</f>
        <v>0</v>
      </c>
      <c r="AL22" s="25">
        <f ca="1">SUM($AH$22:$AK$22)</f>
        <v>0</v>
      </c>
      <c r="AM22" s="25">
        <f ca="1">SUMIF($L$4:$AL$4,"SUBTOTAL",$L$22:$AL$22)</f>
        <v>0</v>
      </c>
      <c r="AO22" s="30">
        <f ca="1">+'TUSD BE'!$T$22+'TUSD BE'!$AB$22+'TUSD BE'!$AD$22+'TUSD BE'!$AL$22</f>
        <v>699.81712540522165</v>
      </c>
      <c r="AP22" s="30">
        <f ca="1">+'TUSD BE'!$T$22+'TUSD BE'!$AB$22+'TUSD BE'!$AD$22+'TUSD BE'!$AL$22</f>
        <v>699.81712540522165</v>
      </c>
    </row>
    <row r="23" spans="1:42" ht="11.25" customHeight="1" x14ac:dyDescent="0.25">
      <c r="A23" s="132"/>
      <c r="B23" s="132"/>
      <c r="C23" s="132"/>
      <c r="D23" s="28" t="s">
        <v>30</v>
      </c>
      <c r="E23" s="28" t="s">
        <v>25</v>
      </c>
      <c r="F23" s="28" t="s">
        <v>25</v>
      </c>
      <c r="G23" s="21" t="s">
        <v>73</v>
      </c>
      <c r="H23" s="21" t="s">
        <v>69</v>
      </c>
      <c r="I23" s="21">
        <f>'MERCADO TUSD'!$U$20</f>
        <v>403.89</v>
      </c>
      <c r="J23" s="17"/>
      <c r="L23" s="25">
        <f>'TUSD BE'!$L$23*'TUSD BF'!$L$58</f>
        <v>0</v>
      </c>
      <c r="M23" s="25">
        <f>'TUSD BE'!$M$23*'TUSD BF'!$M$58</f>
        <v>0</v>
      </c>
      <c r="N23" s="25">
        <f ca="1">'TUSD BE'!$N$23*'TUSD BF'!$N$58</f>
        <v>0</v>
      </c>
      <c r="O23" s="25">
        <f>'TUSD BE'!$O$23*'TUSD BF'!$O$58</f>
        <v>0</v>
      </c>
      <c r="P23" s="25">
        <f>'TUSD BE'!$P$23*'TUSD BF'!$P$58</f>
        <v>0</v>
      </c>
      <c r="Q23" s="25">
        <f>'TUSD BE'!$Q$23*'TUSD BF'!$Q$58</f>
        <v>0</v>
      </c>
      <c r="R23" s="25">
        <f>'TUSD BE'!$R$23*'TUSD BF'!$R$58</f>
        <v>0</v>
      </c>
      <c r="S23" s="25">
        <f>'TUSD BE'!$R$23*'TUSD BF'!$S$58</f>
        <v>0</v>
      </c>
      <c r="T23" s="25">
        <f ca="1">SUM($L$23:$S$23)</f>
        <v>0</v>
      </c>
      <c r="U23" s="25">
        <f>'TUSD BE'!$U$23*'TUSD BF'!$U$58</f>
        <v>0</v>
      </c>
      <c r="V23" s="25">
        <f>'TUSD BE'!$V$23*'TUSD BF'!$V$58</f>
        <v>0</v>
      </c>
      <c r="W23" s="25">
        <f>'TUSD BE'!$W$23*'TUSD BF'!$W$58</f>
        <v>0</v>
      </c>
      <c r="X23" s="25">
        <f>'TUSD BE'!$X$23*'TUSD BF'!$X$58</f>
        <v>0</v>
      </c>
      <c r="Y23" s="25">
        <f>'TUSD BE'!$Y$23*'TUSD BF'!$Y$58</f>
        <v>0</v>
      </c>
      <c r="Z23" s="25">
        <f>'TUSD BE'!$Z$23*'TUSD BF'!$Z$58</f>
        <v>0</v>
      </c>
      <c r="AA23" s="25">
        <f>'TUSD BE'!$AA$23*'TUSD BF'!$AA$58</f>
        <v>0</v>
      </c>
      <c r="AB23" s="25">
        <f>SUM($U$23:$AA$23)</f>
        <v>0</v>
      </c>
      <c r="AC23" s="25">
        <f>'TUSD BE'!$AC$23*'TUSD BF'!$AC$58</f>
        <v>0</v>
      </c>
      <c r="AD23" s="25">
        <f>SUM($AC$23:$AC$23)</f>
        <v>0</v>
      </c>
      <c r="AE23" s="25">
        <f ca="1">$AO$23*$AO$55</f>
        <v>0</v>
      </c>
      <c r="AF23" s="25">
        <f ca="1">$AP$23*$AP$55</f>
        <v>0</v>
      </c>
      <c r="AG23" s="25">
        <f ca="1">SUM($AE$23:$AF$23)</f>
        <v>0</v>
      </c>
      <c r="AH23" s="25">
        <f>'TUSD BE'!$AH$23*'TUSD BF'!$AH$58</f>
        <v>0</v>
      </c>
      <c r="AI23" s="25">
        <f>'TUSD BE'!$AI$23*'TUSD BF'!$AI$58</f>
        <v>0</v>
      </c>
      <c r="AJ23" s="25">
        <f ca="1">'TUSD BE'!$AJ$23*'TUSD BF'!$AJ$58</f>
        <v>0</v>
      </c>
      <c r="AK23" s="25">
        <f ca="1">'TUSD BE'!$AK$23*'TUSD BF'!$AK$58</f>
        <v>0</v>
      </c>
      <c r="AL23" s="25">
        <f ca="1">SUM($AH$23:$AK$23)</f>
        <v>0</v>
      </c>
      <c r="AM23" s="25">
        <f ca="1">SUMIF($L$4:$AL$4,"SUBTOTAL",$L$23:$AL$23)</f>
        <v>0</v>
      </c>
      <c r="AO23" s="30">
        <f ca="1">+'TUSD BE'!$T$23+'TUSD BE'!$AB$23+'TUSD BE'!$AD$23+'TUSD BE'!$AL$23</f>
        <v>699.81712540522165</v>
      </c>
      <c r="AP23" s="30">
        <f ca="1">+'TUSD BE'!$T$23+'TUSD BE'!$AB$23+'TUSD BE'!$AD$23+'TUSD BE'!$AL$23</f>
        <v>699.81712540522165</v>
      </c>
    </row>
    <row r="24" spans="1:42" ht="11.25" customHeight="1" x14ac:dyDescent="0.25">
      <c r="A24" s="132"/>
      <c r="B24" s="132"/>
      <c r="C24" s="132"/>
      <c r="D24" s="28" t="s">
        <v>31</v>
      </c>
      <c r="E24" s="28" t="s">
        <v>25</v>
      </c>
      <c r="F24" s="28" t="s">
        <v>25</v>
      </c>
      <c r="G24" s="21" t="s">
        <v>73</v>
      </c>
      <c r="H24" s="21" t="s">
        <v>69</v>
      </c>
      <c r="I24" s="21">
        <f>'MERCADO TUSD'!$U$21</f>
        <v>103.88300000000001</v>
      </c>
      <c r="J24" s="17"/>
      <c r="L24" s="25">
        <f>'TUSD BE'!$L$24*'TUSD BF'!$L$58</f>
        <v>0</v>
      </c>
      <c r="M24" s="25">
        <f>'TUSD BE'!$M$24*'TUSD BF'!$M$58</f>
        <v>0</v>
      </c>
      <c r="N24" s="25">
        <f ca="1">'TUSD BE'!$N$24*'TUSD BF'!$N$58</f>
        <v>0</v>
      </c>
      <c r="O24" s="25">
        <f>'TUSD BE'!$O$24*'TUSD BF'!$O$58</f>
        <v>0</v>
      </c>
      <c r="P24" s="25">
        <f>'TUSD BE'!$P$24*'TUSD BF'!$P$58</f>
        <v>0</v>
      </c>
      <c r="Q24" s="25">
        <f>'TUSD BE'!$Q$24*'TUSD BF'!$Q$58</f>
        <v>0</v>
      </c>
      <c r="R24" s="25">
        <f>'TUSD BE'!$R$24*'TUSD BF'!$R$58</f>
        <v>0</v>
      </c>
      <c r="S24" s="25">
        <f>'TUSD BE'!$R$24*'TUSD BF'!$S$58</f>
        <v>0</v>
      </c>
      <c r="T24" s="25">
        <f ca="1">SUM($L$24:$S$24)</f>
        <v>0</v>
      </c>
      <c r="U24" s="25">
        <f>'TUSD BE'!$U$24*'TUSD BF'!$U$58</f>
        <v>0</v>
      </c>
      <c r="V24" s="25">
        <f>'TUSD BE'!$V$24*'TUSD BF'!$V$58</f>
        <v>0</v>
      </c>
      <c r="W24" s="25">
        <f>'TUSD BE'!$W$24*'TUSD BF'!$W$58</f>
        <v>0</v>
      </c>
      <c r="X24" s="25">
        <f>'TUSD BE'!$X$24*'TUSD BF'!$X$58</f>
        <v>0</v>
      </c>
      <c r="Y24" s="25">
        <f>'TUSD BE'!$Y$24*'TUSD BF'!$Y$58</f>
        <v>0</v>
      </c>
      <c r="Z24" s="25">
        <f>'TUSD BE'!$Z$24*'TUSD BF'!$Z$58</f>
        <v>0</v>
      </c>
      <c r="AA24" s="25">
        <f>'TUSD BE'!$AA$24*'TUSD BF'!$AA$58</f>
        <v>0</v>
      </c>
      <c r="AB24" s="25">
        <f>SUM($U$24:$AA$24)</f>
        <v>0</v>
      </c>
      <c r="AC24" s="25">
        <f>'TUSD BE'!$AC$24*'TUSD BF'!$AC$58</f>
        <v>0</v>
      </c>
      <c r="AD24" s="25">
        <f>SUM($AC$24:$AC$24)</f>
        <v>0</v>
      </c>
      <c r="AE24" s="25">
        <f ca="1">$AO$24*$AO$55</f>
        <v>0</v>
      </c>
      <c r="AF24" s="25">
        <f ca="1">$AP$24*$AP$55</f>
        <v>0</v>
      </c>
      <c r="AG24" s="25">
        <f ca="1">SUM($AE$24:$AF$24)</f>
        <v>0</v>
      </c>
      <c r="AH24" s="25">
        <f>'TUSD BE'!$AH$24*'TUSD BF'!$AH$58</f>
        <v>0</v>
      </c>
      <c r="AI24" s="25">
        <f>'TUSD BE'!$AI$24*'TUSD BF'!$AI$58</f>
        <v>0</v>
      </c>
      <c r="AJ24" s="25">
        <f ca="1">'TUSD BE'!$AJ$24*'TUSD BF'!$AJ$58</f>
        <v>0</v>
      </c>
      <c r="AK24" s="25">
        <f ca="1">'TUSD BE'!$AK$24*'TUSD BF'!$AK$58</f>
        <v>0</v>
      </c>
      <c r="AL24" s="25">
        <f ca="1">SUM($AH$24:$AK$24)</f>
        <v>0</v>
      </c>
      <c r="AM24" s="25">
        <f ca="1">SUMIF($L$4:$AL$4,"SUBTOTAL",$L$24:$AL$24)</f>
        <v>0</v>
      </c>
      <c r="AO24" s="30">
        <f ca="1">+'TUSD BE'!$T$24+'TUSD BE'!$AB$24+'TUSD BE'!$AD$24+'TUSD BE'!$AL$24</f>
        <v>699.81712540522165</v>
      </c>
      <c r="AP24" s="30">
        <f ca="1">+'TUSD BE'!$T$24+'TUSD BE'!$AB$24+'TUSD BE'!$AD$24+'TUSD BE'!$AL$24</f>
        <v>699.81712540522165</v>
      </c>
    </row>
    <row r="25" spans="1:42" ht="11.25" customHeight="1" x14ac:dyDescent="0.25">
      <c r="A25" s="132"/>
      <c r="B25" s="132" t="s">
        <v>85</v>
      </c>
      <c r="C25" s="132" t="s">
        <v>24</v>
      </c>
      <c r="D25" s="28" t="s">
        <v>24</v>
      </c>
      <c r="E25" s="28" t="s">
        <v>25</v>
      </c>
      <c r="F25" s="28" t="s">
        <v>25</v>
      </c>
      <c r="G25" s="21" t="s">
        <v>73</v>
      </c>
      <c r="H25" s="21" t="s">
        <v>69</v>
      </c>
      <c r="I25" s="21">
        <f>'MERCADO TUSD'!$U$22</f>
        <v>0</v>
      </c>
      <c r="J25" s="17"/>
      <c r="L25" s="25">
        <f>'TUSD BE'!$L$25*'TUSD BF'!$L$58</f>
        <v>0</v>
      </c>
      <c r="M25" s="25">
        <f>'TUSD BE'!$M$25*'TUSD BF'!$M$58</f>
        <v>0</v>
      </c>
      <c r="N25" s="25">
        <f ca="1">'TUSD BE'!$N$25*'TUSD BF'!$N$58</f>
        <v>0</v>
      </c>
      <c r="O25" s="25">
        <f>'TUSD BE'!$O$25*'TUSD BF'!$O$58</f>
        <v>0</v>
      </c>
      <c r="P25" s="25">
        <f>'TUSD BE'!$P$25*'TUSD BF'!$P$58</f>
        <v>0</v>
      </c>
      <c r="Q25" s="25">
        <f>'TUSD BE'!$Q$25*'TUSD BF'!$Q$58</f>
        <v>0</v>
      </c>
      <c r="R25" s="25">
        <f>'TUSD BE'!$R$25*'TUSD BF'!$R$58</f>
        <v>0</v>
      </c>
      <c r="S25" s="25">
        <f>'TUSD BE'!$R$25*'TUSD BF'!$S$58</f>
        <v>0</v>
      </c>
      <c r="T25" s="25">
        <f ca="1">SUM($L$25:$S$25)</f>
        <v>0</v>
      </c>
      <c r="U25" s="25">
        <f>'TUSD BE'!$U$25*'TUSD BF'!$U$58</f>
        <v>0</v>
      </c>
      <c r="V25" s="25">
        <f>'TUSD BE'!$V$25*'TUSD BF'!$V$58</f>
        <v>0</v>
      </c>
      <c r="W25" s="25">
        <f>'TUSD BE'!$W$25*'TUSD BF'!$W$58</f>
        <v>0</v>
      </c>
      <c r="X25" s="25">
        <f>'TUSD BE'!$X$25*'TUSD BF'!$X$58</f>
        <v>0</v>
      </c>
      <c r="Y25" s="25">
        <f>'TUSD BE'!$Y$25*'TUSD BF'!$Y$58</f>
        <v>0</v>
      </c>
      <c r="Z25" s="25">
        <f>'TUSD BE'!$Z$25*'TUSD BF'!$Z$58</f>
        <v>0</v>
      </c>
      <c r="AA25" s="25">
        <f>'TUSD BE'!$AA$25*'TUSD BF'!$AA$58</f>
        <v>0</v>
      </c>
      <c r="AB25" s="25">
        <f>SUM($U$25:$AA$25)</f>
        <v>0</v>
      </c>
      <c r="AC25" s="25">
        <f>'TUSD BE'!$AC$25*'TUSD BF'!$AC$58</f>
        <v>0</v>
      </c>
      <c r="AD25" s="25">
        <f>SUM($AC$25:$AC$25)</f>
        <v>0</v>
      </c>
      <c r="AE25" s="25">
        <f ca="1">$AO$25*$AO$55</f>
        <v>0</v>
      </c>
      <c r="AF25" s="25">
        <f ca="1">$AP$25*$AP$55</f>
        <v>0</v>
      </c>
      <c r="AG25" s="25">
        <f ca="1">SUM($AE$25:$AF$25)</f>
        <v>0</v>
      </c>
      <c r="AH25" s="25">
        <f>'TUSD BE'!$AH$25*'TUSD BF'!$AH$58</f>
        <v>0</v>
      </c>
      <c r="AI25" s="25">
        <f>'TUSD BE'!$AI$25*'TUSD BF'!$AI$58</f>
        <v>0</v>
      </c>
      <c r="AJ25" s="25">
        <f ca="1">'TUSD BE'!$AJ$25*'TUSD BF'!$AJ$58</f>
        <v>0</v>
      </c>
      <c r="AK25" s="25">
        <f ca="1">'TUSD BE'!$AK$25*'TUSD BF'!$AK$58</f>
        <v>0</v>
      </c>
      <c r="AL25" s="25">
        <f ca="1">SUM($AH$25:$AK$25)</f>
        <v>0</v>
      </c>
      <c r="AM25" s="25">
        <f ca="1">SUMIF($L$4:$AL$4,"SUBTOTAL",$L$25:$AL$25)</f>
        <v>0</v>
      </c>
      <c r="AO25" s="30">
        <f ca="1">+'TUSD BE'!$T$25+'TUSD BE'!$AB$25+'TUSD BE'!$AD$25+'TUSD BE'!$AL$25</f>
        <v>756.07480965419325</v>
      </c>
      <c r="AP25" s="30">
        <f ca="1">+'TUSD BE'!$T$25+'TUSD BE'!$AB$25+'TUSD BE'!$AD$25+'TUSD BE'!$AL$25</f>
        <v>756.07480965419325</v>
      </c>
    </row>
    <row r="26" spans="1:42" ht="11.25" customHeight="1" x14ac:dyDescent="0.25">
      <c r="A26" s="132"/>
      <c r="B26" s="132"/>
      <c r="C26" s="132"/>
      <c r="D26" s="28" t="s">
        <v>28</v>
      </c>
      <c r="E26" s="28" t="s">
        <v>25</v>
      </c>
      <c r="F26" s="28" t="s">
        <v>25</v>
      </c>
      <c r="G26" s="21" t="s">
        <v>73</v>
      </c>
      <c r="H26" s="21" t="s">
        <v>69</v>
      </c>
      <c r="I26" s="21">
        <f>'MERCADO TUSD'!$U$23</f>
        <v>0</v>
      </c>
      <c r="J26" s="17"/>
      <c r="L26" s="25">
        <f>'TUSD BE'!$L$26*'TUSD BF'!$L$58</f>
        <v>0</v>
      </c>
      <c r="M26" s="25">
        <f>'TUSD BE'!$M$26*'TUSD BF'!$M$58</f>
        <v>0</v>
      </c>
      <c r="N26" s="25">
        <f ca="1">'TUSD BE'!$N$26*'TUSD BF'!$N$58</f>
        <v>0</v>
      </c>
      <c r="O26" s="25">
        <f>'TUSD BE'!$O$26*'TUSD BF'!$O$58</f>
        <v>0</v>
      </c>
      <c r="P26" s="25">
        <f>'TUSD BE'!$P$26*'TUSD BF'!$P$58</f>
        <v>0</v>
      </c>
      <c r="Q26" s="25">
        <f>'TUSD BE'!$Q$26*'TUSD BF'!$Q$58</f>
        <v>0</v>
      </c>
      <c r="R26" s="25">
        <f>'TUSD BE'!$R$26*'TUSD BF'!$R$58</f>
        <v>0</v>
      </c>
      <c r="S26" s="25">
        <f>'TUSD BE'!$R$26*'TUSD BF'!$S$58</f>
        <v>0</v>
      </c>
      <c r="T26" s="25">
        <f ca="1">SUM($L$26:$S$26)</f>
        <v>0</v>
      </c>
      <c r="U26" s="25">
        <f>'TUSD BE'!$U$26*'TUSD BF'!$U$58</f>
        <v>0</v>
      </c>
      <c r="V26" s="25">
        <f>'TUSD BE'!$V$26*'TUSD BF'!$V$58</f>
        <v>0</v>
      </c>
      <c r="W26" s="25">
        <f>'TUSD BE'!$W$26*'TUSD BF'!$W$58</f>
        <v>0</v>
      </c>
      <c r="X26" s="25">
        <f>'TUSD BE'!$X$26*'TUSD BF'!$X$58</f>
        <v>0</v>
      </c>
      <c r="Y26" s="25">
        <f>'TUSD BE'!$Y$26*'TUSD BF'!$Y$58</f>
        <v>0</v>
      </c>
      <c r="Z26" s="25">
        <f>'TUSD BE'!$Z$26*'TUSD BF'!$Z$58</f>
        <v>0</v>
      </c>
      <c r="AA26" s="25">
        <f>'TUSD BE'!$AA$26*'TUSD BF'!$AA$58</f>
        <v>0</v>
      </c>
      <c r="AB26" s="25">
        <f>SUM($U$26:$AA$26)</f>
        <v>0</v>
      </c>
      <c r="AC26" s="25">
        <f>'TUSD BE'!$AC$26*'TUSD BF'!$AC$58</f>
        <v>0</v>
      </c>
      <c r="AD26" s="25">
        <f>SUM($AC$26:$AC$26)</f>
        <v>0</v>
      </c>
      <c r="AE26" s="25">
        <f ca="1">$AO$26*$AO$55</f>
        <v>0</v>
      </c>
      <c r="AF26" s="25">
        <f ca="1">$AP$26*$AP$55</f>
        <v>0</v>
      </c>
      <c r="AG26" s="25">
        <f ca="1">SUM($AE$26:$AF$26)</f>
        <v>0</v>
      </c>
      <c r="AH26" s="25">
        <f>'TUSD BE'!$AH$26*'TUSD BF'!$AH$58</f>
        <v>0</v>
      </c>
      <c r="AI26" s="25">
        <f>'TUSD BE'!$AI$26*'TUSD BF'!$AI$58</f>
        <v>0</v>
      </c>
      <c r="AJ26" s="25">
        <f ca="1">'TUSD BE'!$AJ$26*'TUSD BF'!$AJ$58</f>
        <v>0</v>
      </c>
      <c r="AK26" s="25">
        <f ca="1">'TUSD BE'!$AK$26*'TUSD BF'!$AK$58</f>
        <v>0</v>
      </c>
      <c r="AL26" s="25">
        <f ca="1">SUM($AH$26:$AK$26)</f>
        <v>0</v>
      </c>
      <c r="AM26" s="25">
        <f ca="1">SUMIF($L$4:$AL$4,"SUBTOTAL",$L$26:$AL$26)</f>
        <v>0</v>
      </c>
      <c r="AO26" s="30">
        <f ca="1">+'TUSD BE'!$T$26+'TUSD BE'!$AB$26+'TUSD BE'!$AD$26+'TUSD BE'!$AL$26</f>
        <v>699.81712540522165</v>
      </c>
      <c r="AP26" s="30">
        <f ca="1">+'TUSD BE'!$T$26+'TUSD BE'!$AB$26+'TUSD BE'!$AD$26+'TUSD BE'!$AL$26</f>
        <v>699.81712540522165</v>
      </c>
    </row>
    <row r="27" spans="1:42" ht="11.25" customHeight="1" x14ac:dyDescent="0.25">
      <c r="A27" s="132"/>
      <c r="B27" s="132"/>
      <c r="C27" s="132"/>
      <c r="D27" s="28" t="s">
        <v>29</v>
      </c>
      <c r="E27" s="28" t="s">
        <v>25</v>
      </c>
      <c r="F27" s="28" t="s">
        <v>25</v>
      </c>
      <c r="G27" s="21" t="s">
        <v>73</v>
      </c>
      <c r="H27" s="21" t="s">
        <v>69</v>
      </c>
      <c r="I27" s="21">
        <f>'MERCADO TUSD'!$U$24</f>
        <v>0</v>
      </c>
      <c r="J27" s="17"/>
      <c r="L27" s="25">
        <f>'TUSD BE'!$L$27*'TUSD BF'!$L$58</f>
        <v>0</v>
      </c>
      <c r="M27" s="25">
        <f>'TUSD BE'!$M$27*'TUSD BF'!$M$58</f>
        <v>0</v>
      </c>
      <c r="N27" s="25">
        <f ca="1">'TUSD BE'!$N$27*'TUSD BF'!$N$58</f>
        <v>0</v>
      </c>
      <c r="O27" s="25">
        <f>'TUSD BE'!$O$27*'TUSD BF'!$O$58</f>
        <v>0</v>
      </c>
      <c r="P27" s="25">
        <f>'TUSD BE'!$P$27*'TUSD BF'!$P$58</f>
        <v>0</v>
      </c>
      <c r="Q27" s="25">
        <f>'TUSD BE'!$Q$27*'TUSD BF'!$Q$58</f>
        <v>0</v>
      </c>
      <c r="R27" s="25">
        <f>'TUSD BE'!$R$27*'TUSD BF'!$R$58</f>
        <v>0</v>
      </c>
      <c r="S27" s="25">
        <f>'TUSD BE'!$R$27*'TUSD BF'!$S$58</f>
        <v>0</v>
      </c>
      <c r="T27" s="25">
        <f ca="1">SUM($L$27:$S$27)</f>
        <v>0</v>
      </c>
      <c r="U27" s="25">
        <f>'TUSD BE'!$U$27*'TUSD BF'!$U$58</f>
        <v>0</v>
      </c>
      <c r="V27" s="25">
        <f>'TUSD BE'!$V$27*'TUSD BF'!$V$58</f>
        <v>0</v>
      </c>
      <c r="W27" s="25">
        <f>'TUSD BE'!$W$27*'TUSD BF'!$W$58</f>
        <v>0</v>
      </c>
      <c r="X27" s="25">
        <f>'TUSD BE'!$X$27*'TUSD BF'!$X$58</f>
        <v>0</v>
      </c>
      <c r="Y27" s="25">
        <f>'TUSD BE'!$Y$27*'TUSD BF'!$Y$58</f>
        <v>0</v>
      </c>
      <c r="Z27" s="25">
        <f>'TUSD BE'!$Z$27*'TUSD BF'!$Z$58</f>
        <v>0</v>
      </c>
      <c r="AA27" s="25">
        <f>'TUSD BE'!$AA$27*'TUSD BF'!$AA$58</f>
        <v>0</v>
      </c>
      <c r="AB27" s="25">
        <f>SUM($U$27:$AA$27)</f>
        <v>0</v>
      </c>
      <c r="AC27" s="25">
        <f>'TUSD BE'!$AC$27*'TUSD BF'!$AC$58</f>
        <v>0</v>
      </c>
      <c r="AD27" s="25">
        <f>SUM($AC$27:$AC$27)</f>
        <v>0</v>
      </c>
      <c r="AE27" s="25">
        <f ca="1">$AO$27*$AO$55</f>
        <v>0</v>
      </c>
      <c r="AF27" s="25">
        <f ca="1">$AP$27*$AP$55</f>
        <v>0</v>
      </c>
      <c r="AG27" s="25">
        <f ca="1">SUM($AE$27:$AF$27)</f>
        <v>0</v>
      </c>
      <c r="AH27" s="25">
        <f>'TUSD BE'!$AH$27*'TUSD BF'!$AH$58</f>
        <v>0</v>
      </c>
      <c r="AI27" s="25">
        <f>'TUSD BE'!$AI$27*'TUSD BF'!$AI$58</f>
        <v>0</v>
      </c>
      <c r="AJ27" s="25">
        <f ca="1">'TUSD BE'!$AJ$27*'TUSD BF'!$AJ$58</f>
        <v>0</v>
      </c>
      <c r="AK27" s="25">
        <f ca="1">'TUSD BE'!$AK$27*'TUSD BF'!$AK$58</f>
        <v>0</v>
      </c>
      <c r="AL27" s="25">
        <f ca="1">SUM($AH$27:$AK$27)</f>
        <v>0</v>
      </c>
      <c r="AM27" s="25">
        <f ca="1">SUMIF($L$4:$AL$4,"SUBTOTAL",$L$27:$AL$27)</f>
        <v>0</v>
      </c>
      <c r="AO27" s="30">
        <f ca="1">+'TUSD BE'!$T$27+'TUSD BE'!$AB$27+'TUSD BE'!$AD$27+'TUSD BE'!$AL$27</f>
        <v>699.81712540522165</v>
      </c>
      <c r="AP27" s="30">
        <f ca="1">+'TUSD BE'!$T$27+'TUSD BE'!$AB$27+'TUSD BE'!$AD$27+'TUSD BE'!$AL$27</f>
        <v>699.81712540522165</v>
      </c>
    </row>
    <row r="28" spans="1:42" ht="11.25" customHeight="1" x14ac:dyDescent="0.25">
      <c r="A28" s="132"/>
      <c r="B28" s="132"/>
      <c r="C28" s="132"/>
      <c r="D28" s="28" t="s">
        <v>30</v>
      </c>
      <c r="E28" s="28" t="s">
        <v>25</v>
      </c>
      <c r="F28" s="28" t="s">
        <v>25</v>
      </c>
      <c r="G28" s="21" t="s">
        <v>73</v>
      </c>
      <c r="H28" s="21" t="s">
        <v>69</v>
      </c>
      <c r="I28" s="21">
        <f>'MERCADO TUSD'!$U$25</f>
        <v>0</v>
      </c>
      <c r="J28" s="17"/>
      <c r="L28" s="25">
        <f>'TUSD BE'!$L$28*'TUSD BF'!$L$58</f>
        <v>0</v>
      </c>
      <c r="M28" s="25">
        <f>'TUSD BE'!$M$28*'TUSD BF'!$M$58</f>
        <v>0</v>
      </c>
      <c r="N28" s="25">
        <f ca="1">'TUSD BE'!$N$28*'TUSD BF'!$N$58</f>
        <v>0</v>
      </c>
      <c r="O28" s="25">
        <f>'TUSD BE'!$O$28*'TUSD BF'!$O$58</f>
        <v>0</v>
      </c>
      <c r="P28" s="25">
        <f>'TUSD BE'!$P$28*'TUSD BF'!$P$58</f>
        <v>0</v>
      </c>
      <c r="Q28" s="25">
        <f>'TUSD BE'!$Q$28*'TUSD BF'!$Q$58</f>
        <v>0</v>
      </c>
      <c r="R28" s="25">
        <f>'TUSD BE'!$R$28*'TUSD BF'!$R$58</f>
        <v>0</v>
      </c>
      <c r="S28" s="25">
        <f>'TUSD BE'!$R$28*'TUSD BF'!$S$58</f>
        <v>0</v>
      </c>
      <c r="T28" s="25">
        <f ca="1">SUM($L$28:$S$28)</f>
        <v>0</v>
      </c>
      <c r="U28" s="25">
        <f>'TUSD BE'!$U$28*'TUSD BF'!$U$58</f>
        <v>0</v>
      </c>
      <c r="V28" s="25">
        <f>'TUSD BE'!$V$28*'TUSD BF'!$V$58</f>
        <v>0</v>
      </c>
      <c r="W28" s="25">
        <f>'TUSD BE'!$W$28*'TUSD BF'!$W$58</f>
        <v>0</v>
      </c>
      <c r="X28" s="25">
        <f>'TUSD BE'!$X$28*'TUSD BF'!$X$58</f>
        <v>0</v>
      </c>
      <c r="Y28" s="25">
        <f>'TUSD BE'!$Y$28*'TUSD BF'!$Y$58</f>
        <v>0</v>
      </c>
      <c r="Z28" s="25">
        <f>'TUSD BE'!$Z$28*'TUSD BF'!$Z$58</f>
        <v>0</v>
      </c>
      <c r="AA28" s="25">
        <f>'TUSD BE'!$AA$28*'TUSD BF'!$AA$58</f>
        <v>0</v>
      </c>
      <c r="AB28" s="25">
        <f>SUM($U$28:$AA$28)</f>
        <v>0</v>
      </c>
      <c r="AC28" s="25">
        <f>'TUSD BE'!$AC$28*'TUSD BF'!$AC$58</f>
        <v>0</v>
      </c>
      <c r="AD28" s="25">
        <f>SUM($AC$28:$AC$28)</f>
        <v>0</v>
      </c>
      <c r="AE28" s="25">
        <f ca="1">$AO$28*$AO$55</f>
        <v>0</v>
      </c>
      <c r="AF28" s="25">
        <f ca="1">$AP$28*$AP$55</f>
        <v>0</v>
      </c>
      <c r="AG28" s="25">
        <f ca="1">SUM($AE$28:$AF$28)</f>
        <v>0</v>
      </c>
      <c r="AH28" s="25">
        <f>'TUSD BE'!$AH$28*'TUSD BF'!$AH$58</f>
        <v>0</v>
      </c>
      <c r="AI28" s="25">
        <f>'TUSD BE'!$AI$28*'TUSD BF'!$AI$58</f>
        <v>0</v>
      </c>
      <c r="AJ28" s="25">
        <f ca="1">'TUSD BE'!$AJ$28*'TUSD BF'!$AJ$58</f>
        <v>0</v>
      </c>
      <c r="AK28" s="25">
        <f ca="1">'TUSD BE'!$AK$28*'TUSD BF'!$AK$58</f>
        <v>0</v>
      </c>
      <c r="AL28" s="25">
        <f ca="1">SUM($AH$28:$AK$28)</f>
        <v>0</v>
      </c>
      <c r="AM28" s="25">
        <f ca="1">SUMIF($L$4:$AL$4,"SUBTOTAL",$L$28:$AL$28)</f>
        <v>0</v>
      </c>
      <c r="AO28" s="30">
        <f ca="1">+'TUSD BE'!$T$28+'TUSD BE'!$AB$28+'TUSD BE'!$AD$28+'TUSD BE'!$AL$28</f>
        <v>699.81712540522165</v>
      </c>
      <c r="AP28" s="30">
        <f ca="1">+'TUSD BE'!$T$28+'TUSD BE'!$AB$28+'TUSD BE'!$AD$28+'TUSD BE'!$AL$28</f>
        <v>699.81712540522165</v>
      </c>
    </row>
    <row r="29" spans="1:42" ht="11.25" customHeight="1" x14ac:dyDescent="0.25">
      <c r="A29" s="132"/>
      <c r="B29" s="132"/>
      <c r="C29" s="132"/>
      <c r="D29" s="28" t="s">
        <v>31</v>
      </c>
      <c r="E29" s="28" t="s">
        <v>25</v>
      </c>
      <c r="F29" s="28" t="s">
        <v>25</v>
      </c>
      <c r="G29" s="21" t="s">
        <v>73</v>
      </c>
      <c r="H29" s="21" t="s">
        <v>69</v>
      </c>
      <c r="I29" s="21">
        <f>'MERCADO TUSD'!$U$26</f>
        <v>0</v>
      </c>
      <c r="J29" s="17"/>
      <c r="L29" s="25">
        <f>'TUSD BE'!$L$29*'TUSD BF'!$L$58</f>
        <v>0</v>
      </c>
      <c r="M29" s="25">
        <f>'TUSD BE'!$M$29*'TUSD BF'!$M$58</f>
        <v>0</v>
      </c>
      <c r="N29" s="25">
        <f ca="1">'TUSD BE'!$N$29*'TUSD BF'!$N$58</f>
        <v>0</v>
      </c>
      <c r="O29" s="25">
        <f>'TUSD BE'!$O$29*'TUSD BF'!$O$58</f>
        <v>0</v>
      </c>
      <c r="P29" s="25">
        <f>'TUSD BE'!$P$29*'TUSD BF'!$P$58</f>
        <v>0</v>
      </c>
      <c r="Q29" s="25">
        <f>'TUSD BE'!$Q$29*'TUSD BF'!$Q$58</f>
        <v>0</v>
      </c>
      <c r="R29" s="25">
        <f>'TUSD BE'!$R$29*'TUSD BF'!$R$58</f>
        <v>0</v>
      </c>
      <c r="S29" s="25">
        <f>'TUSD BE'!$R$29*'TUSD BF'!$S$58</f>
        <v>0</v>
      </c>
      <c r="T29" s="25">
        <f ca="1">SUM($L$29:$S$29)</f>
        <v>0</v>
      </c>
      <c r="U29" s="25">
        <f>'TUSD BE'!$U$29*'TUSD BF'!$U$58</f>
        <v>0</v>
      </c>
      <c r="V29" s="25">
        <f>'TUSD BE'!$V$29*'TUSD BF'!$V$58</f>
        <v>0</v>
      </c>
      <c r="W29" s="25">
        <f>'TUSD BE'!$W$29*'TUSD BF'!$W$58</f>
        <v>0</v>
      </c>
      <c r="X29" s="25">
        <f>'TUSD BE'!$X$29*'TUSD BF'!$X$58</f>
        <v>0</v>
      </c>
      <c r="Y29" s="25">
        <f>'TUSD BE'!$Y$29*'TUSD BF'!$Y$58</f>
        <v>0</v>
      </c>
      <c r="Z29" s="25">
        <f>'TUSD BE'!$Z$29*'TUSD BF'!$Z$58</f>
        <v>0</v>
      </c>
      <c r="AA29" s="25">
        <f>'TUSD BE'!$AA$29*'TUSD BF'!$AA$58</f>
        <v>0</v>
      </c>
      <c r="AB29" s="25">
        <f>SUM($U$29:$AA$29)</f>
        <v>0</v>
      </c>
      <c r="AC29" s="25">
        <f>'TUSD BE'!$AC$29*'TUSD BF'!$AC$58</f>
        <v>0</v>
      </c>
      <c r="AD29" s="25">
        <f>SUM($AC$29:$AC$29)</f>
        <v>0</v>
      </c>
      <c r="AE29" s="25">
        <f ca="1">$AO$29*$AO$55</f>
        <v>0</v>
      </c>
      <c r="AF29" s="25">
        <f ca="1">$AP$29*$AP$55</f>
        <v>0</v>
      </c>
      <c r="AG29" s="25">
        <f ca="1">SUM($AE$29:$AF$29)</f>
        <v>0</v>
      </c>
      <c r="AH29" s="25">
        <f>'TUSD BE'!$AH$29*'TUSD BF'!$AH$58</f>
        <v>0</v>
      </c>
      <c r="AI29" s="25">
        <f>'TUSD BE'!$AI$29*'TUSD BF'!$AI$58</f>
        <v>0</v>
      </c>
      <c r="AJ29" s="25">
        <f ca="1">'TUSD BE'!$AJ$29*'TUSD BF'!$AJ$58</f>
        <v>0</v>
      </c>
      <c r="AK29" s="25">
        <f ca="1">'TUSD BE'!$AK$29*'TUSD BF'!$AK$58</f>
        <v>0</v>
      </c>
      <c r="AL29" s="25">
        <f ca="1">SUM($AH$29:$AK$29)</f>
        <v>0</v>
      </c>
      <c r="AM29" s="25">
        <f ca="1">SUMIF($L$4:$AL$4,"SUBTOTAL",$L$29:$AL$29)</f>
        <v>0</v>
      </c>
      <c r="AO29" s="30">
        <f ca="1">+'TUSD BE'!$T$29+'TUSD BE'!$AB$29+'TUSD BE'!$AD$29+'TUSD BE'!$AL$29</f>
        <v>699.81712540522165</v>
      </c>
      <c r="AP29" s="30">
        <f ca="1">+'TUSD BE'!$T$29+'TUSD BE'!$AB$29+'TUSD BE'!$AD$29+'TUSD BE'!$AL$29</f>
        <v>699.81712540522165</v>
      </c>
    </row>
    <row r="30" spans="1:42" ht="11.25" customHeight="1" x14ac:dyDescent="0.25">
      <c r="A30" s="132" t="s">
        <v>41</v>
      </c>
      <c r="B30" s="132" t="s">
        <v>39</v>
      </c>
      <c r="C30" s="132" t="s">
        <v>42</v>
      </c>
      <c r="D30" s="132" t="s">
        <v>25</v>
      </c>
      <c r="E30" s="132" t="s">
        <v>25</v>
      </c>
      <c r="F30" s="132" t="s">
        <v>25</v>
      </c>
      <c r="G30" s="21" t="s">
        <v>70</v>
      </c>
      <c r="H30" s="21" t="s">
        <v>69</v>
      </c>
      <c r="I30" s="21">
        <f>'MERCADO TUSD'!$U$27</f>
        <v>0.34100000000000003</v>
      </c>
      <c r="J30" s="17"/>
      <c r="L30" s="25">
        <f>'TUSD BE'!$L$30*'TUSD BF'!$L$58</f>
        <v>0</v>
      </c>
      <c r="M30" s="25">
        <f>'TUSD BE'!$M$30*'TUSD BF'!$M$58</f>
        <v>0</v>
      </c>
      <c r="N30" s="25">
        <f ca="1">'TUSD BE'!$N$30*'TUSD BF'!$N$58</f>
        <v>0</v>
      </c>
      <c r="O30" s="25">
        <f>'TUSD BE'!$O$30*'TUSD BF'!$O$58</f>
        <v>0</v>
      </c>
      <c r="P30" s="25">
        <f>'TUSD BE'!$P$30*'TUSD BF'!$P$58</f>
        <v>0</v>
      </c>
      <c r="Q30" s="25">
        <f>'TUSD BE'!$Q$30*'TUSD BF'!$Q$58</f>
        <v>0</v>
      </c>
      <c r="R30" s="25">
        <f>'TUSD BE'!$R$30*'TUSD BF'!$R$58</f>
        <v>0</v>
      </c>
      <c r="S30" s="25">
        <f>'TUSD BE'!$R$30*'TUSD BF'!$S$58</f>
        <v>0</v>
      </c>
      <c r="T30" s="25">
        <f ca="1">SUM($L$30:$S$30)</f>
        <v>0</v>
      </c>
      <c r="U30" s="25">
        <f>'TUSD BE'!$U$30*'TUSD BF'!$U$58</f>
        <v>0</v>
      </c>
      <c r="V30" s="25">
        <f>'TUSD BE'!$V$30*'TUSD BF'!$V$58</f>
        <v>0</v>
      </c>
      <c r="W30" s="25">
        <f>'TUSD BE'!$W$30*'TUSD BF'!$W$58</f>
        <v>0</v>
      </c>
      <c r="X30" s="25">
        <f>'TUSD BE'!$X$30*'TUSD BF'!$X$58</f>
        <v>0</v>
      </c>
      <c r="Y30" s="25">
        <f>'TUSD BE'!$Y$30*'TUSD BF'!$Y$58</f>
        <v>0</v>
      </c>
      <c r="Z30" s="25">
        <f>'TUSD BE'!$Z$30*'TUSD BF'!$Z$58</f>
        <v>0</v>
      </c>
      <c r="AA30" s="25">
        <f>'TUSD BE'!$AA$30*'TUSD BF'!$AA$58</f>
        <v>0</v>
      </c>
      <c r="AB30" s="25">
        <f>SUM($U$30:$AA$30)</f>
        <v>0</v>
      </c>
      <c r="AC30" s="25">
        <f>'TUSD BE'!$AC$30*'TUSD BF'!$AC$58</f>
        <v>0</v>
      </c>
      <c r="AD30" s="25">
        <f>SUM($AC$30:$AC$30)</f>
        <v>0</v>
      </c>
      <c r="AE30" s="25">
        <f ca="1">$AO$30*$AO$55</f>
        <v>0</v>
      </c>
      <c r="AF30" s="25">
        <f ca="1">$AP$30*$AP$55</f>
        <v>0</v>
      </c>
      <c r="AG30" s="25">
        <f ca="1">SUM($AE$30:$AF$30)</f>
        <v>0</v>
      </c>
      <c r="AH30" s="25">
        <f>'TUSD BE'!$AH$30*'TUSD BF'!$AH$58</f>
        <v>0</v>
      </c>
      <c r="AI30" s="25">
        <f>'TUSD BE'!$AI$30*'TUSD BF'!$AI$58</f>
        <v>0</v>
      </c>
      <c r="AJ30" s="25">
        <f ca="1">'TUSD BE'!$AJ$30*'TUSD BF'!$AJ$58</f>
        <v>0</v>
      </c>
      <c r="AK30" s="25">
        <f ca="1">'TUSD BE'!$AK$30*'TUSD BF'!$AK$58</f>
        <v>0</v>
      </c>
      <c r="AL30" s="25">
        <f ca="1">SUM($AH$30:$AK$30)</f>
        <v>0</v>
      </c>
      <c r="AM30" s="25">
        <f ca="1">SUMIF($L$4:$AL$4,"SUBTOTAL",$L$30:$AL$30)</f>
        <v>0</v>
      </c>
      <c r="AO30" s="30">
        <f ca="1">+'TUSD BE'!$T$30+'TUSD BE'!$AB$30+'TUSD BE'!$AD$30+'TUSD BE'!$AL$30</f>
        <v>1853.1463170540346</v>
      </c>
      <c r="AP30" s="30">
        <f ca="1">+'TUSD BE'!$T$30+'TUSD BE'!$AB$30+'TUSD BE'!$AD$30+'TUSD BE'!$AL$30</f>
        <v>1853.1463170540346</v>
      </c>
    </row>
    <row r="31" spans="1:42" ht="11.25" customHeight="1" x14ac:dyDescent="0.25">
      <c r="A31" s="132"/>
      <c r="B31" s="132"/>
      <c r="C31" s="132"/>
      <c r="D31" s="132"/>
      <c r="E31" s="132"/>
      <c r="F31" s="132"/>
      <c r="G31" s="21" t="s">
        <v>83</v>
      </c>
      <c r="H31" s="21" t="s">
        <v>69</v>
      </c>
      <c r="I31" s="21">
        <f>'MERCADO TUSD'!$U$28</f>
        <v>0.55500000000000005</v>
      </c>
      <c r="J31" s="17"/>
      <c r="L31" s="25">
        <f>'TUSD BE'!$L$31*'TUSD BF'!$L$58</f>
        <v>0</v>
      </c>
      <c r="M31" s="25">
        <f>'TUSD BE'!$M$31*'TUSD BF'!$M$58</f>
        <v>0</v>
      </c>
      <c r="N31" s="25">
        <f ca="1">'TUSD BE'!$N$31*'TUSD BF'!$N$58</f>
        <v>0</v>
      </c>
      <c r="O31" s="25">
        <f>'TUSD BE'!$O$31*'TUSD BF'!$O$58</f>
        <v>0</v>
      </c>
      <c r="P31" s="25">
        <f>'TUSD BE'!$P$31*'TUSD BF'!$P$58</f>
        <v>0</v>
      </c>
      <c r="Q31" s="25">
        <f>'TUSD BE'!$Q$31*'TUSD BF'!$Q$58</f>
        <v>0</v>
      </c>
      <c r="R31" s="25">
        <f>'TUSD BE'!$R$31*'TUSD BF'!$R$58</f>
        <v>0</v>
      </c>
      <c r="S31" s="25">
        <f>'TUSD BE'!$R$31*'TUSD BF'!$S$58</f>
        <v>0</v>
      </c>
      <c r="T31" s="25">
        <f ca="1">SUM($L$31:$S$31)</f>
        <v>0</v>
      </c>
      <c r="U31" s="25">
        <f>'TUSD BE'!$U$31*'TUSD BF'!$U$58</f>
        <v>0</v>
      </c>
      <c r="V31" s="25">
        <f>'TUSD BE'!$V$31*'TUSD BF'!$V$58</f>
        <v>0</v>
      </c>
      <c r="W31" s="25">
        <f>'TUSD BE'!$W$31*'TUSD BF'!$W$58</f>
        <v>0</v>
      </c>
      <c r="X31" s="25">
        <f>'TUSD BE'!$X$31*'TUSD BF'!$X$58</f>
        <v>0</v>
      </c>
      <c r="Y31" s="25">
        <f>'TUSD BE'!$Y$31*'TUSD BF'!$Y$58</f>
        <v>0</v>
      </c>
      <c r="Z31" s="25">
        <f>'TUSD BE'!$Z$31*'TUSD BF'!$Z$58</f>
        <v>0</v>
      </c>
      <c r="AA31" s="25">
        <f>'TUSD BE'!$AA$31*'TUSD BF'!$AA$58</f>
        <v>0</v>
      </c>
      <c r="AB31" s="25">
        <f>SUM($U$31:$AA$31)</f>
        <v>0</v>
      </c>
      <c r="AC31" s="25">
        <f>'TUSD BE'!$AC$31*'TUSD BF'!$AC$58</f>
        <v>0</v>
      </c>
      <c r="AD31" s="25">
        <f>SUM($AC$31:$AC$31)</f>
        <v>0</v>
      </c>
      <c r="AE31" s="25">
        <f ca="1">$AO$31*$AO$55</f>
        <v>0</v>
      </c>
      <c r="AF31" s="25">
        <f ca="1">$AP$31*$AP$55</f>
        <v>0</v>
      </c>
      <c r="AG31" s="25">
        <f ca="1">SUM($AE$31:$AF$31)</f>
        <v>0</v>
      </c>
      <c r="AH31" s="25">
        <f>'TUSD BE'!$AH$31*'TUSD BF'!$AH$58</f>
        <v>0</v>
      </c>
      <c r="AI31" s="25">
        <f>'TUSD BE'!$AI$31*'TUSD BF'!$AI$58</f>
        <v>0</v>
      </c>
      <c r="AJ31" s="25">
        <f ca="1">'TUSD BE'!$AJ$31*'TUSD BF'!$AJ$58</f>
        <v>0</v>
      </c>
      <c r="AK31" s="25">
        <f ca="1">'TUSD BE'!$AK$31*'TUSD BF'!$AK$58</f>
        <v>0</v>
      </c>
      <c r="AL31" s="25">
        <f ca="1">SUM($AH$31:$AK$31)</f>
        <v>0</v>
      </c>
      <c r="AM31" s="25">
        <f ca="1">SUMIF($L$4:$AL$4,"SUBTOTAL",$L$31:$AL$31)</f>
        <v>0</v>
      </c>
      <c r="AO31" s="30">
        <f ca="1">+'TUSD BE'!$T$31+'TUSD BE'!$AB$31+'TUSD BE'!$AD$31+'TUSD BE'!$AL$31</f>
        <v>1150.9962259136705</v>
      </c>
      <c r="AP31" s="30">
        <f ca="1">+'TUSD BE'!$T$31+'TUSD BE'!$AB$31+'TUSD BE'!$AD$31+'TUSD BE'!$AL$31</f>
        <v>1150.9962259136705</v>
      </c>
    </row>
    <row r="32" spans="1:42" ht="11.25" customHeight="1" x14ac:dyDescent="0.25">
      <c r="A32" s="132"/>
      <c r="B32" s="132"/>
      <c r="C32" s="132"/>
      <c r="D32" s="132"/>
      <c r="E32" s="132"/>
      <c r="F32" s="132"/>
      <c r="G32" s="21" t="s">
        <v>71</v>
      </c>
      <c r="H32" s="21" t="s">
        <v>69</v>
      </c>
      <c r="I32" s="21">
        <f>'MERCADO TUSD'!$U$29</f>
        <v>16.565999999999999</v>
      </c>
      <c r="J32" s="17"/>
      <c r="L32" s="25">
        <f>'TUSD BE'!$L$32*'TUSD BF'!$L$58</f>
        <v>0</v>
      </c>
      <c r="M32" s="25">
        <f>'TUSD BE'!$M$32*'TUSD BF'!$M$58</f>
        <v>0</v>
      </c>
      <c r="N32" s="25">
        <f ca="1">'TUSD BE'!$N$32*'TUSD BF'!$N$58</f>
        <v>0</v>
      </c>
      <c r="O32" s="25">
        <f>'TUSD BE'!$O$32*'TUSD BF'!$O$58</f>
        <v>0</v>
      </c>
      <c r="P32" s="25">
        <f>'TUSD BE'!$P$32*'TUSD BF'!$P$58</f>
        <v>0</v>
      </c>
      <c r="Q32" s="25">
        <f>'TUSD BE'!$Q$32*'TUSD BF'!$Q$58</f>
        <v>0</v>
      </c>
      <c r="R32" s="25">
        <f>'TUSD BE'!$R$32*'TUSD BF'!$R$58</f>
        <v>0</v>
      </c>
      <c r="S32" s="25">
        <f>'TUSD BE'!$R$32*'TUSD BF'!$S$58</f>
        <v>0</v>
      </c>
      <c r="T32" s="25">
        <f ca="1">SUM($L$32:$S$32)</f>
        <v>0</v>
      </c>
      <c r="U32" s="25">
        <f>'TUSD BE'!$U$32*'TUSD BF'!$U$58</f>
        <v>0</v>
      </c>
      <c r="V32" s="25">
        <f>'TUSD BE'!$V$32*'TUSD BF'!$V$58</f>
        <v>0</v>
      </c>
      <c r="W32" s="25">
        <f>'TUSD BE'!$W$32*'TUSD BF'!$W$58</f>
        <v>0</v>
      </c>
      <c r="X32" s="25">
        <f>'TUSD BE'!$X$32*'TUSD BF'!$X$58</f>
        <v>0</v>
      </c>
      <c r="Y32" s="25">
        <f>'TUSD BE'!$Y$32*'TUSD BF'!$Y$58</f>
        <v>0</v>
      </c>
      <c r="Z32" s="25">
        <f>'TUSD BE'!$Z$32*'TUSD BF'!$Z$58</f>
        <v>0</v>
      </c>
      <c r="AA32" s="25">
        <f>'TUSD BE'!$AA$32*'TUSD BF'!$AA$58</f>
        <v>0</v>
      </c>
      <c r="AB32" s="25">
        <f>SUM($U$32:$AA$32)</f>
        <v>0</v>
      </c>
      <c r="AC32" s="25">
        <f>'TUSD BE'!$AC$32*'TUSD BF'!$AC$58</f>
        <v>0</v>
      </c>
      <c r="AD32" s="25">
        <f>SUM($AC$32:$AC$32)</f>
        <v>0</v>
      </c>
      <c r="AE32" s="25">
        <f ca="1">$AO$32*$AO$55</f>
        <v>0</v>
      </c>
      <c r="AF32" s="25">
        <f ca="1">$AP$32*$AP$55</f>
        <v>0</v>
      </c>
      <c r="AG32" s="25">
        <f ca="1">SUM($AE$32:$AF$32)</f>
        <v>0</v>
      </c>
      <c r="AH32" s="25">
        <f>'TUSD BE'!$AH$32*'TUSD BF'!$AH$58</f>
        <v>0</v>
      </c>
      <c r="AI32" s="25">
        <f>'TUSD BE'!$AI$32*'TUSD BF'!$AI$58</f>
        <v>0</v>
      </c>
      <c r="AJ32" s="25">
        <f ca="1">'TUSD BE'!$AJ$32*'TUSD BF'!$AJ$58</f>
        <v>0</v>
      </c>
      <c r="AK32" s="25">
        <f ca="1">'TUSD BE'!$AK$32*'TUSD BF'!$AK$58</f>
        <v>0</v>
      </c>
      <c r="AL32" s="25">
        <f ca="1">SUM($AH$32:$AK$32)</f>
        <v>0</v>
      </c>
      <c r="AM32" s="25">
        <f ca="1">SUMIF($L$4:$AL$4,"SUBTOTAL",$L$32:$AL$32)</f>
        <v>0</v>
      </c>
      <c r="AO32" s="30">
        <f ca="1">+'TUSD BE'!$T$32+'TUSD BE'!$AB$32+'TUSD BE'!$AD$32+'TUSD BE'!$AL$32</f>
        <v>448.84701416813954</v>
      </c>
      <c r="AP32" s="30">
        <f ca="1">+'TUSD BE'!$T$32+'TUSD BE'!$AB$32+'TUSD BE'!$AD$32+'TUSD BE'!$AL$32</f>
        <v>448.84701416813954</v>
      </c>
    </row>
    <row r="33" spans="1:42" ht="11.25" customHeight="1" x14ac:dyDescent="0.25">
      <c r="A33" s="132"/>
      <c r="B33" s="28" t="s">
        <v>23</v>
      </c>
      <c r="C33" s="28" t="s">
        <v>42</v>
      </c>
      <c r="D33" s="28" t="s">
        <v>25</v>
      </c>
      <c r="E33" s="28" t="s">
        <v>25</v>
      </c>
      <c r="F33" s="28" t="s">
        <v>25</v>
      </c>
      <c r="G33" s="21" t="s">
        <v>73</v>
      </c>
      <c r="H33" s="21" t="s">
        <v>69</v>
      </c>
      <c r="I33" s="21">
        <f>'MERCADO TUSD'!$U$30</f>
        <v>2549.6099999999997</v>
      </c>
      <c r="J33" s="17"/>
      <c r="L33" s="25">
        <f>'TUSD BE'!$L$33*'TUSD BF'!$L$58</f>
        <v>0</v>
      </c>
      <c r="M33" s="25">
        <f>'TUSD BE'!$M$33*'TUSD BF'!$M$58</f>
        <v>0</v>
      </c>
      <c r="N33" s="25">
        <f ca="1">'TUSD BE'!$N$33*'TUSD BF'!$N$58</f>
        <v>0</v>
      </c>
      <c r="O33" s="25">
        <f>'TUSD BE'!$O$33*'TUSD BF'!$O$58</f>
        <v>0</v>
      </c>
      <c r="P33" s="25">
        <f>'TUSD BE'!$P$33*'TUSD BF'!$P$58</f>
        <v>0</v>
      </c>
      <c r="Q33" s="25">
        <f>'TUSD BE'!$Q$33*'TUSD BF'!$Q$58</f>
        <v>0</v>
      </c>
      <c r="R33" s="25">
        <f>'TUSD BE'!$R$33*'TUSD BF'!$R$58</f>
        <v>0</v>
      </c>
      <c r="S33" s="25">
        <f>'TUSD BE'!$R$33*'TUSD BF'!$S$58</f>
        <v>0</v>
      </c>
      <c r="T33" s="25">
        <f ca="1">SUM($L$33:$S$33)</f>
        <v>0</v>
      </c>
      <c r="U33" s="25">
        <f>'TUSD BE'!$U$33*'TUSD BF'!$U$58</f>
        <v>0</v>
      </c>
      <c r="V33" s="25">
        <f>'TUSD BE'!$V$33*'TUSD BF'!$V$58</f>
        <v>0</v>
      </c>
      <c r="W33" s="25">
        <f>'TUSD BE'!$W$33*'TUSD BF'!$W$58</f>
        <v>0</v>
      </c>
      <c r="X33" s="25">
        <f>'TUSD BE'!$X$33*'TUSD BF'!$X$58</f>
        <v>0</v>
      </c>
      <c r="Y33" s="25">
        <f>'TUSD BE'!$Y$33*'TUSD BF'!$Y$58</f>
        <v>0</v>
      </c>
      <c r="Z33" s="25">
        <f>'TUSD BE'!$Z$33*'TUSD BF'!$Z$58</f>
        <v>0</v>
      </c>
      <c r="AA33" s="25">
        <f>'TUSD BE'!$AA$33*'TUSD BF'!$AA$58</f>
        <v>0</v>
      </c>
      <c r="AB33" s="25">
        <f>SUM($U$33:$AA$33)</f>
        <v>0</v>
      </c>
      <c r="AC33" s="25">
        <f>'TUSD BE'!$AC$33*'TUSD BF'!$AC$58</f>
        <v>0</v>
      </c>
      <c r="AD33" s="25">
        <f>SUM($AC$33:$AC$33)</f>
        <v>0</v>
      </c>
      <c r="AE33" s="25">
        <f ca="1">$AO$33*$AO$55</f>
        <v>0</v>
      </c>
      <c r="AF33" s="25">
        <f ca="1">$AP$33*$AP$55</f>
        <v>0</v>
      </c>
      <c r="AG33" s="25">
        <f ca="1">SUM($AE$33:$AF$33)</f>
        <v>0</v>
      </c>
      <c r="AH33" s="25">
        <f>'TUSD BE'!$AH$33*'TUSD BF'!$AH$58</f>
        <v>0</v>
      </c>
      <c r="AI33" s="25">
        <f>'TUSD BE'!$AI$33*'TUSD BF'!$AI$58</f>
        <v>0</v>
      </c>
      <c r="AJ33" s="25">
        <f ca="1">'TUSD BE'!$AJ$33*'TUSD BF'!$AJ$58</f>
        <v>0</v>
      </c>
      <c r="AK33" s="25">
        <f ca="1">'TUSD BE'!$AK$33*'TUSD BF'!$AK$58</f>
        <v>0</v>
      </c>
      <c r="AL33" s="25">
        <f ca="1">SUM($AH$33:$AK$33)</f>
        <v>0</v>
      </c>
      <c r="AM33" s="25">
        <f ca="1">SUMIF($L$4:$AL$4,"SUBTOTAL",$L$33:$AL$33)</f>
        <v>0</v>
      </c>
      <c r="AO33" s="30">
        <f ca="1">+'TUSD BE'!$T$33+'TUSD BE'!$AB$33+'TUSD BE'!$AD$33+'TUSD BE'!$AL$33</f>
        <v>756.07480965419325</v>
      </c>
      <c r="AP33" s="30">
        <f ca="1">+'TUSD BE'!$T$33+'TUSD BE'!$AB$33+'TUSD BE'!$AD$33+'TUSD BE'!$AL$33</f>
        <v>756.07480965419325</v>
      </c>
    </row>
    <row r="34" spans="1:42" ht="11.25" customHeight="1" x14ac:dyDescent="0.25">
      <c r="A34" s="132"/>
      <c r="B34" s="132" t="s">
        <v>39</v>
      </c>
      <c r="C34" s="132" t="s">
        <v>42</v>
      </c>
      <c r="D34" s="132" t="s">
        <v>86</v>
      </c>
      <c r="E34" s="132" t="s">
        <v>25</v>
      </c>
      <c r="F34" s="132" t="s">
        <v>25</v>
      </c>
      <c r="G34" s="21" t="s">
        <v>70</v>
      </c>
      <c r="H34" s="21" t="s">
        <v>69</v>
      </c>
      <c r="I34" s="21">
        <f>'MERCADO TUSD'!$U$31</f>
        <v>0</v>
      </c>
      <c r="J34" s="17"/>
      <c r="L34" s="25">
        <f>'TUSD BE'!$L$34*'TUSD BF'!$L$58</f>
        <v>0</v>
      </c>
      <c r="M34" s="25">
        <f>'TUSD BE'!$M$34*'TUSD BF'!$M$58</f>
        <v>0</v>
      </c>
      <c r="N34" s="25">
        <f ca="1">'TUSD BE'!$N$34*'TUSD BF'!$N$58</f>
        <v>0</v>
      </c>
      <c r="O34" s="25">
        <f>'TUSD BE'!$O$34*'TUSD BF'!$O$58</f>
        <v>0</v>
      </c>
      <c r="P34" s="25">
        <f>'TUSD BE'!$P$34*'TUSD BF'!$P$58</f>
        <v>0</v>
      </c>
      <c r="Q34" s="25">
        <f>'TUSD BE'!$Q$34*'TUSD BF'!$Q$58</f>
        <v>0</v>
      </c>
      <c r="R34" s="25">
        <f>'TUSD BE'!$R$34*'TUSD BF'!$R$58</f>
        <v>0</v>
      </c>
      <c r="S34" s="25">
        <f>'TUSD BE'!$R$34*'TUSD BF'!$S$58</f>
        <v>0</v>
      </c>
      <c r="T34" s="25">
        <f ca="1">SUM($L$34:$S$34)</f>
        <v>0</v>
      </c>
      <c r="U34" s="25">
        <f>'TUSD BE'!$U$34*'TUSD BF'!$U$58</f>
        <v>0</v>
      </c>
      <c r="V34" s="25">
        <f>'TUSD BE'!$V$34*'TUSD BF'!$V$58</f>
        <v>0</v>
      </c>
      <c r="W34" s="25">
        <f>'TUSD BE'!$W$34*'TUSD BF'!$W$58</f>
        <v>0</v>
      </c>
      <c r="X34" s="25">
        <f>'TUSD BE'!$X$34*'TUSD BF'!$X$58</f>
        <v>0</v>
      </c>
      <c r="Y34" s="25">
        <f>'TUSD BE'!$Y$34*'TUSD BF'!$Y$58</f>
        <v>0</v>
      </c>
      <c r="Z34" s="25">
        <f>'TUSD BE'!$Z$34*'TUSD BF'!$Z$58</f>
        <v>0</v>
      </c>
      <c r="AA34" s="25">
        <f>'TUSD BE'!$AA$34*'TUSD BF'!$AA$58</f>
        <v>0</v>
      </c>
      <c r="AB34" s="25">
        <f>SUM($U$34:$AA$34)</f>
        <v>0</v>
      </c>
      <c r="AC34" s="25">
        <f>'TUSD BE'!$AC$34*'TUSD BF'!$AC$58</f>
        <v>0</v>
      </c>
      <c r="AD34" s="25">
        <f>SUM($AC$34:$AC$34)</f>
        <v>0</v>
      </c>
      <c r="AE34" s="25">
        <f ca="1">$AO$34*$AO$55</f>
        <v>0</v>
      </c>
      <c r="AF34" s="25">
        <f ca="1">$AP$34*$AP$55</f>
        <v>0</v>
      </c>
      <c r="AG34" s="25">
        <f ca="1">SUM($AE$34:$AF$34)</f>
        <v>0</v>
      </c>
      <c r="AH34" s="25">
        <f>'TUSD BE'!$AH$34*'TUSD BF'!$AH$58</f>
        <v>0</v>
      </c>
      <c r="AI34" s="25">
        <f>'TUSD BE'!$AI$34*'TUSD BF'!$AI$58</f>
        <v>0</v>
      </c>
      <c r="AJ34" s="25">
        <f ca="1">'TUSD BE'!$AJ$34*'TUSD BF'!$AJ$58</f>
        <v>0</v>
      </c>
      <c r="AK34" s="25">
        <f ca="1">'TUSD BE'!$AK$34*'TUSD BF'!$AK$58</f>
        <v>0</v>
      </c>
      <c r="AL34" s="25">
        <f ca="1">SUM($AH$34:$AK$34)</f>
        <v>0</v>
      </c>
      <c r="AM34" s="25">
        <f ca="1">SUMIF($L$4:$AL$4,"SUBTOTAL",$L$34:$AL$34)</f>
        <v>0</v>
      </c>
      <c r="AO34" s="30">
        <f ca="1">+'TUSD BE'!$T$34+'TUSD BE'!$AB$34+'TUSD BE'!$AD$34+'TUSD BE'!$AL$34</f>
        <v>1853.1463170540346</v>
      </c>
      <c r="AP34" s="30">
        <f ca="1">+'TUSD BE'!$T$34+'TUSD BE'!$AB$34+'TUSD BE'!$AD$34+'TUSD BE'!$AL$34</f>
        <v>1853.1463170540346</v>
      </c>
    </row>
    <row r="35" spans="1:42" ht="11.25" customHeight="1" x14ac:dyDescent="0.25">
      <c r="A35" s="132"/>
      <c r="B35" s="132"/>
      <c r="C35" s="132"/>
      <c r="D35" s="132"/>
      <c r="E35" s="132"/>
      <c r="F35" s="132"/>
      <c r="G35" s="21" t="s">
        <v>83</v>
      </c>
      <c r="H35" s="21" t="s">
        <v>69</v>
      </c>
      <c r="I35" s="21">
        <f>'MERCADO TUSD'!$U$32</f>
        <v>0</v>
      </c>
      <c r="J35" s="17"/>
      <c r="L35" s="25">
        <f>'TUSD BE'!$L$35*'TUSD BF'!$L$58</f>
        <v>0</v>
      </c>
      <c r="M35" s="25">
        <f>'TUSD BE'!$M$35*'TUSD BF'!$M$58</f>
        <v>0</v>
      </c>
      <c r="N35" s="25">
        <f ca="1">'TUSD BE'!$N$35*'TUSD BF'!$N$58</f>
        <v>0</v>
      </c>
      <c r="O35" s="25">
        <f>'TUSD BE'!$O$35*'TUSD BF'!$O$58</f>
        <v>0</v>
      </c>
      <c r="P35" s="25">
        <f>'TUSD BE'!$P$35*'TUSD BF'!$P$58</f>
        <v>0</v>
      </c>
      <c r="Q35" s="25">
        <f>'TUSD BE'!$Q$35*'TUSD BF'!$Q$58</f>
        <v>0</v>
      </c>
      <c r="R35" s="25">
        <f>'TUSD BE'!$R$35*'TUSD BF'!$R$58</f>
        <v>0</v>
      </c>
      <c r="S35" s="25">
        <f>'TUSD BE'!$R$35*'TUSD BF'!$S$58</f>
        <v>0</v>
      </c>
      <c r="T35" s="25">
        <f ca="1">SUM($L$35:$S$35)</f>
        <v>0</v>
      </c>
      <c r="U35" s="25">
        <f>'TUSD BE'!$U$35*'TUSD BF'!$U$58</f>
        <v>0</v>
      </c>
      <c r="V35" s="25">
        <f>'TUSD BE'!$V$35*'TUSD BF'!$V$58</f>
        <v>0</v>
      </c>
      <c r="W35" s="25">
        <f>'TUSD BE'!$W$35*'TUSD BF'!$W$58</f>
        <v>0</v>
      </c>
      <c r="X35" s="25">
        <f>'TUSD BE'!$X$35*'TUSD BF'!$X$58</f>
        <v>0</v>
      </c>
      <c r="Y35" s="25">
        <f>'TUSD BE'!$Y$35*'TUSD BF'!$Y$58</f>
        <v>0</v>
      </c>
      <c r="Z35" s="25">
        <f>'TUSD BE'!$Z$35*'TUSD BF'!$Z$58</f>
        <v>0</v>
      </c>
      <c r="AA35" s="25">
        <f>'TUSD BE'!$AA$35*'TUSD BF'!$AA$58</f>
        <v>0</v>
      </c>
      <c r="AB35" s="25">
        <f>SUM($U$35:$AA$35)</f>
        <v>0</v>
      </c>
      <c r="AC35" s="25">
        <f>'TUSD BE'!$AC$35*'TUSD BF'!$AC$58</f>
        <v>0</v>
      </c>
      <c r="AD35" s="25">
        <f>SUM($AC$35:$AC$35)</f>
        <v>0</v>
      </c>
      <c r="AE35" s="25">
        <f ca="1">$AO$35*$AO$55</f>
        <v>0</v>
      </c>
      <c r="AF35" s="25">
        <f ca="1">$AP$35*$AP$55</f>
        <v>0</v>
      </c>
      <c r="AG35" s="25">
        <f ca="1">SUM($AE$35:$AF$35)</f>
        <v>0</v>
      </c>
      <c r="AH35" s="25">
        <f>'TUSD BE'!$AH$35*'TUSD BF'!$AH$58</f>
        <v>0</v>
      </c>
      <c r="AI35" s="25">
        <f>'TUSD BE'!$AI$35*'TUSD BF'!$AI$58</f>
        <v>0</v>
      </c>
      <c r="AJ35" s="25">
        <f ca="1">'TUSD BE'!$AJ$35*'TUSD BF'!$AJ$58</f>
        <v>0</v>
      </c>
      <c r="AK35" s="25">
        <f ca="1">'TUSD BE'!$AK$35*'TUSD BF'!$AK$58</f>
        <v>0</v>
      </c>
      <c r="AL35" s="25">
        <f ca="1">SUM($AH$35:$AK$35)</f>
        <v>0</v>
      </c>
      <c r="AM35" s="25">
        <f ca="1">SUMIF($L$4:$AL$4,"SUBTOTAL",$L$35:$AL$35)</f>
        <v>0</v>
      </c>
      <c r="AO35" s="30">
        <f ca="1">+'TUSD BE'!$T$35+'TUSD BE'!$AB$35+'TUSD BE'!$AD$35+'TUSD BE'!$AL$35</f>
        <v>1150.9962259136705</v>
      </c>
      <c r="AP35" s="30">
        <f ca="1">+'TUSD BE'!$T$35+'TUSD BE'!$AB$35+'TUSD BE'!$AD$35+'TUSD BE'!$AL$35</f>
        <v>1150.9962259136705</v>
      </c>
    </row>
    <row r="36" spans="1:42" ht="11.25" customHeight="1" x14ac:dyDescent="0.25">
      <c r="A36" s="132"/>
      <c r="B36" s="132"/>
      <c r="C36" s="132"/>
      <c r="D36" s="132"/>
      <c r="E36" s="132"/>
      <c r="F36" s="132"/>
      <c r="G36" s="21" t="s">
        <v>71</v>
      </c>
      <c r="H36" s="21" t="s">
        <v>69</v>
      </c>
      <c r="I36" s="21">
        <f>'MERCADO TUSD'!$U$33</f>
        <v>0</v>
      </c>
      <c r="J36" s="17"/>
      <c r="L36" s="25">
        <f>'TUSD BE'!$L$36*'TUSD BF'!$L$58</f>
        <v>0</v>
      </c>
      <c r="M36" s="25">
        <f>'TUSD BE'!$M$36*'TUSD BF'!$M$58</f>
        <v>0</v>
      </c>
      <c r="N36" s="25">
        <f ca="1">'TUSD BE'!$N$36*'TUSD BF'!$N$58</f>
        <v>0</v>
      </c>
      <c r="O36" s="25">
        <f>'TUSD BE'!$O$36*'TUSD BF'!$O$58</f>
        <v>0</v>
      </c>
      <c r="P36" s="25">
        <f>'TUSD BE'!$P$36*'TUSD BF'!$P$58</f>
        <v>0</v>
      </c>
      <c r="Q36" s="25">
        <f>'TUSD BE'!$Q$36*'TUSD BF'!$Q$58</f>
        <v>0</v>
      </c>
      <c r="R36" s="25">
        <f>'TUSD BE'!$R$36*'TUSD BF'!$R$58</f>
        <v>0</v>
      </c>
      <c r="S36" s="25">
        <f>'TUSD BE'!$R$36*'TUSD BF'!$S$58</f>
        <v>0</v>
      </c>
      <c r="T36" s="25">
        <f ca="1">SUM($L$36:$S$36)</f>
        <v>0</v>
      </c>
      <c r="U36" s="25">
        <f>'TUSD BE'!$U$36*'TUSD BF'!$U$58</f>
        <v>0</v>
      </c>
      <c r="V36" s="25">
        <f>'TUSD BE'!$V$36*'TUSD BF'!$V$58</f>
        <v>0</v>
      </c>
      <c r="W36" s="25">
        <f>'TUSD BE'!$W$36*'TUSD BF'!$W$58</f>
        <v>0</v>
      </c>
      <c r="X36" s="25">
        <f>'TUSD BE'!$X$36*'TUSD BF'!$X$58</f>
        <v>0</v>
      </c>
      <c r="Y36" s="25">
        <f>'TUSD BE'!$Y$36*'TUSD BF'!$Y$58</f>
        <v>0</v>
      </c>
      <c r="Z36" s="25">
        <f>'TUSD BE'!$Z$36*'TUSD BF'!$Z$58</f>
        <v>0</v>
      </c>
      <c r="AA36" s="25">
        <f>'TUSD BE'!$AA$36*'TUSD BF'!$AA$58</f>
        <v>0</v>
      </c>
      <c r="AB36" s="25">
        <f>SUM($U$36:$AA$36)</f>
        <v>0</v>
      </c>
      <c r="AC36" s="25">
        <f>'TUSD BE'!$AC$36*'TUSD BF'!$AC$58</f>
        <v>0</v>
      </c>
      <c r="AD36" s="25">
        <f>SUM($AC$36:$AC$36)</f>
        <v>0</v>
      </c>
      <c r="AE36" s="25">
        <f ca="1">$AO$36*$AO$55</f>
        <v>0</v>
      </c>
      <c r="AF36" s="25">
        <f ca="1">$AP$36*$AP$55</f>
        <v>0</v>
      </c>
      <c r="AG36" s="25">
        <f ca="1">SUM($AE$36:$AF$36)</f>
        <v>0</v>
      </c>
      <c r="AH36" s="25">
        <f>'TUSD BE'!$AH$36*'TUSD BF'!$AH$58</f>
        <v>0</v>
      </c>
      <c r="AI36" s="25">
        <f>'TUSD BE'!$AI$36*'TUSD BF'!$AI$58</f>
        <v>0</v>
      </c>
      <c r="AJ36" s="25">
        <f ca="1">'TUSD BE'!$AJ$36*'TUSD BF'!$AJ$58</f>
        <v>0</v>
      </c>
      <c r="AK36" s="25">
        <f ca="1">'TUSD BE'!$AK$36*'TUSD BF'!$AK$58</f>
        <v>0</v>
      </c>
      <c r="AL36" s="25">
        <f ca="1">SUM($AH$36:$AK$36)</f>
        <v>0</v>
      </c>
      <c r="AM36" s="25">
        <f ca="1">SUMIF($L$4:$AL$4,"SUBTOTAL",$L$36:$AL$36)</f>
        <v>0</v>
      </c>
      <c r="AO36" s="30">
        <f ca="1">+'TUSD BE'!$T$36+'TUSD BE'!$AB$36+'TUSD BE'!$AD$36+'TUSD BE'!$AL$36</f>
        <v>448.84701416813954</v>
      </c>
      <c r="AP36" s="30">
        <f ca="1">+'TUSD BE'!$T$36+'TUSD BE'!$AB$36+'TUSD BE'!$AD$36+'TUSD BE'!$AL$36</f>
        <v>448.84701416813954</v>
      </c>
    </row>
    <row r="37" spans="1:42" ht="11.25" customHeight="1" x14ac:dyDescent="0.25">
      <c r="A37" s="132"/>
      <c r="B37" s="28" t="s">
        <v>23</v>
      </c>
      <c r="C37" s="28" t="s">
        <v>42</v>
      </c>
      <c r="D37" s="28" t="s">
        <v>86</v>
      </c>
      <c r="E37" s="28" t="s">
        <v>25</v>
      </c>
      <c r="F37" s="28" t="s">
        <v>25</v>
      </c>
      <c r="G37" s="21" t="s">
        <v>73</v>
      </c>
      <c r="H37" s="21" t="s">
        <v>69</v>
      </c>
      <c r="I37" s="21">
        <f>'MERCADO TUSD'!$U$34</f>
        <v>0</v>
      </c>
      <c r="J37" s="17"/>
      <c r="L37" s="25">
        <f>'TUSD BE'!$L$37*'TUSD BF'!$L$58</f>
        <v>0</v>
      </c>
      <c r="M37" s="25">
        <f>'TUSD BE'!$M$37*'TUSD BF'!$M$58</f>
        <v>0</v>
      </c>
      <c r="N37" s="25">
        <f ca="1">'TUSD BE'!$N$37*'TUSD BF'!$N$58</f>
        <v>0</v>
      </c>
      <c r="O37" s="25">
        <f>'TUSD BE'!$O$37*'TUSD BF'!$O$58</f>
        <v>0</v>
      </c>
      <c r="P37" s="25">
        <f>'TUSD BE'!$P$37*'TUSD BF'!$P$58</f>
        <v>0</v>
      </c>
      <c r="Q37" s="25">
        <f>'TUSD BE'!$Q$37*'TUSD BF'!$Q$58</f>
        <v>0</v>
      </c>
      <c r="R37" s="25">
        <f>'TUSD BE'!$R$37*'TUSD BF'!$R$58</f>
        <v>0</v>
      </c>
      <c r="S37" s="25">
        <f>'TUSD BE'!$R$37*'TUSD BF'!$S$58</f>
        <v>0</v>
      </c>
      <c r="T37" s="25">
        <f ca="1">SUM($L$37:$S$37)</f>
        <v>0</v>
      </c>
      <c r="U37" s="25">
        <f>'TUSD BE'!$U$37*'TUSD BF'!$U$58</f>
        <v>0</v>
      </c>
      <c r="V37" s="25">
        <f>'TUSD BE'!$V$37*'TUSD BF'!$V$58</f>
        <v>0</v>
      </c>
      <c r="W37" s="25">
        <f>'TUSD BE'!$W$37*'TUSD BF'!$W$58</f>
        <v>0</v>
      </c>
      <c r="X37" s="25">
        <f>'TUSD BE'!$X$37*'TUSD BF'!$X$58</f>
        <v>0</v>
      </c>
      <c r="Y37" s="25">
        <f>'TUSD BE'!$Y$37*'TUSD BF'!$Y$58</f>
        <v>0</v>
      </c>
      <c r="Z37" s="25">
        <f>'TUSD BE'!$Z$37*'TUSD BF'!$Z$58</f>
        <v>0</v>
      </c>
      <c r="AA37" s="25">
        <f>'TUSD BE'!$AA$37*'TUSD BF'!$AA$58</f>
        <v>0</v>
      </c>
      <c r="AB37" s="25">
        <f>SUM($U$37:$AA$37)</f>
        <v>0</v>
      </c>
      <c r="AC37" s="25">
        <f>'TUSD BE'!$AC$37*'TUSD BF'!$AC$58</f>
        <v>0</v>
      </c>
      <c r="AD37" s="25">
        <f>SUM($AC$37:$AC$37)</f>
        <v>0</v>
      </c>
      <c r="AE37" s="25">
        <f ca="1">$AO$37*$AO$55</f>
        <v>0</v>
      </c>
      <c r="AF37" s="25">
        <f ca="1">$AP$37*$AP$55</f>
        <v>0</v>
      </c>
      <c r="AG37" s="25">
        <f ca="1">SUM($AE$37:$AF$37)</f>
        <v>0</v>
      </c>
      <c r="AH37" s="25">
        <f>'TUSD BE'!$AH$37*'TUSD BF'!$AH$58</f>
        <v>0</v>
      </c>
      <c r="AI37" s="25">
        <f>'TUSD BE'!$AI$37*'TUSD BF'!$AI$58</f>
        <v>0</v>
      </c>
      <c r="AJ37" s="25">
        <f ca="1">'TUSD BE'!$AJ$37*'TUSD BF'!$AJ$58</f>
        <v>0</v>
      </c>
      <c r="AK37" s="25">
        <f ca="1">'TUSD BE'!$AK$37*'TUSD BF'!$AK$58</f>
        <v>0</v>
      </c>
      <c r="AL37" s="25">
        <f ca="1">SUM($AH$37:$AK$37)</f>
        <v>0</v>
      </c>
      <c r="AM37" s="25">
        <f ca="1">SUMIF($L$4:$AL$4,"SUBTOTAL",$L$37:$AL$37)</f>
        <v>0</v>
      </c>
      <c r="AO37" s="30">
        <f ca="1">+'TUSD BE'!$T$37+'TUSD BE'!$AB$37+'TUSD BE'!$AD$37+'TUSD BE'!$AL$37</f>
        <v>756.07480965419325</v>
      </c>
      <c r="AP37" s="30">
        <f ca="1">+'TUSD BE'!$T$37+'TUSD BE'!$AB$37+'TUSD BE'!$AD$37+'TUSD BE'!$AL$37</f>
        <v>756.07480965419325</v>
      </c>
    </row>
    <row r="38" spans="1:42" ht="11.25" customHeight="1" x14ac:dyDescent="0.25">
      <c r="A38" s="132"/>
      <c r="B38" s="132" t="s">
        <v>39</v>
      </c>
      <c r="C38" s="132" t="s">
        <v>42</v>
      </c>
      <c r="D38" s="132" t="s">
        <v>87</v>
      </c>
      <c r="E38" s="132" t="s">
        <v>25</v>
      </c>
      <c r="F38" s="132" t="s">
        <v>25</v>
      </c>
      <c r="G38" s="21" t="s">
        <v>70</v>
      </c>
      <c r="H38" s="21" t="s">
        <v>69</v>
      </c>
      <c r="I38" s="21">
        <f>'MERCADO TUSD'!$U$35</f>
        <v>0</v>
      </c>
      <c r="J38" s="17"/>
      <c r="L38" s="25">
        <f>'TUSD BE'!$L$38*'TUSD BF'!$L$58</f>
        <v>0</v>
      </c>
      <c r="M38" s="25">
        <f>'TUSD BE'!$M$38*'TUSD BF'!$M$58</f>
        <v>0</v>
      </c>
      <c r="N38" s="25">
        <f ca="1">'TUSD BE'!$N$38*'TUSD BF'!$N$58</f>
        <v>0</v>
      </c>
      <c r="O38" s="25">
        <f>'TUSD BE'!$O$38*'TUSD BF'!$O$58</f>
        <v>0</v>
      </c>
      <c r="P38" s="25">
        <f>'TUSD BE'!$P$38*'TUSD BF'!$P$58</f>
        <v>0</v>
      </c>
      <c r="Q38" s="25">
        <f>'TUSD BE'!$Q$38*'TUSD BF'!$Q$58</f>
        <v>0</v>
      </c>
      <c r="R38" s="25">
        <f>'TUSD BE'!$R$38*'TUSD BF'!$R$58</f>
        <v>0</v>
      </c>
      <c r="S38" s="25">
        <f>'TUSD BE'!$R$38*'TUSD BF'!$S$58</f>
        <v>0</v>
      </c>
      <c r="T38" s="25">
        <f ca="1">SUM($L$38:$S$38)</f>
        <v>0</v>
      </c>
      <c r="U38" s="25">
        <f>'TUSD BE'!$U$38*'TUSD BF'!$U$58</f>
        <v>0</v>
      </c>
      <c r="V38" s="25">
        <f>'TUSD BE'!$V$38*'TUSD BF'!$V$58</f>
        <v>0</v>
      </c>
      <c r="W38" s="25">
        <f>'TUSD BE'!$W$38*'TUSD BF'!$W$58</f>
        <v>0</v>
      </c>
      <c r="X38" s="25">
        <f>'TUSD BE'!$X$38*'TUSD BF'!$X$58</f>
        <v>0</v>
      </c>
      <c r="Y38" s="25">
        <f>'TUSD BE'!$Y$38*'TUSD BF'!$Y$58</f>
        <v>0</v>
      </c>
      <c r="Z38" s="25">
        <f>'TUSD BE'!$Z$38*'TUSD BF'!$Z$58</f>
        <v>0</v>
      </c>
      <c r="AA38" s="25">
        <f>'TUSD BE'!$AA$38*'TUSD BF'!$AA$58</f>
        <v>0</v>
      </c>
      <c r="AB38" s="25">
        <f>SUM($U$38:$AA$38)</f>
        <v>0</v>
      </c>
      <c r="AC38" s="25">
        <f>'TUSD BE'!$AC$38*'TUSD BF'!$AC$58</f>
        <v>0</v>
      </c>
      <c r="AD38" s="25">
        <f>SUM($AC$38:$AC$38)</f>
        <v>0</v>
      </c>
      <c r="AE38" s="25">
        <f ca="1">$AO$38*$AO$55</f>
        <v>0</v>
      </c>
      <c r="AF38" s="25">
        <f ca="1">$AP$38*$AP$55</f>
        <v>0</v>
      </c>
      <c r="AG38" s="25">
        <f ca="1">SUM($AE$38:$AF$38)</f>
        <v>0</v>
      </c>
      <c r="AH38" s="25">
        <f>'TUSD BE'!$AH$38*'TUSD BF'!$AH$58</f>
        <v>0</v>
      </c>
      <c r="AI38" s="25">
        <f>'TUSD BE'!$AI$38*'TUSD BF'!$AI$58</f>
        <v>0</v>
      </c>
      <c r="AJ38" s="25">
        <f ca="1">'TUSD BE'!$AJ$38*'TUSD BF'!$AJ$58</f>
        <v>0</v>
      </c>
      <c r="AK38" s="25">
        <f ca="1">'TUSD BE'!$AK$38*'TUSD BF'!$AK$58</f>
        <v>0</v>
      </c>
      <c r="AL38" s="25">
        <f ca="1">SUM($AH$38:$AK$38)</f>
        <v>0</v>
      </c>
      <c r="AM38" s="25">
        <f ca="1">SUMIF($L$4:$AL$4,"SUBTOTAL",$L$38:$AL$38)</f>
        <v>0</v>
      </c>
      <c r="AO38" s="30">
        <f ca="1">+'TUSD BE'!$T$38+'TUSD BE'!$AB$38+'TUSD BE'!$AD$38+'TUSD BE'!$AL$38</f>
        <v>1853.1463170540346</v>
      </c>
      <c r="AP38" s="30">
        <f ca="1">+'TUSD BE'!$T$38+'TUSD BE'!$AB$38+'TUSD BE'!$AD$38+'TUSD BE'!$AL$38</f>
        <v>1853.1463170540346</v>
      </c>
    </row>
    <row r="39" spans="1:42" ht="11.25" customHeight="1" x14ac:dyDescent="0.25">
      <c r="A39" s="132"/>
      <c r="B39" s="132"/>
      <c r="C39" s="132"/>
      <c r="D39" s="132"/>
      <c r="E39" s="132"/>
      <c r="F39" s="132"/>
      <c r="G39" s="21" t="s">
        <v>83</v>
      </c>
      <c r="H39" s="21" t="s">
        <v>69</v>
      </c>
      <c r="I39" s="21">
        <f>'MERCADO TUSD'!$U$36</f>
        <v>0</v>
      </c>
      <c r="J39" s="17"/>
      <c r="L39" s="25">
        <f>'TUSD BE'!$L$39*'TUSD BF'!$L$58</f>
        <v>0</v>
      </c>
      <c r="M39" s="25">
        <f>'TUSD BE'!$M$39*'TUSD BF'!$M$58</f>
        <v>0</v>
      </c>
      <c r="N39" s="25">
        <f ca="1">'TUSD BE'!$N$39*'TUSD BF'!$N$58</f>
        <v>0</v>
      </c>
      <c r="O39" s="25">
        <f>'TUSD BE'!$O$39*'TUSD BF'!$O$58</f>
        <v>0</v>
      </c>
      <c r="P39" s="25">
        <f>'TUSD BE'!$P$39*'TUSD BF'!$P$58</f>
        <v>0</v>
      </c>
      <c r="Q39" s="25">
        <f>'TUSD BE'!$Q$39*'TUSD BF'!$Q$58</f>
        <v>0</v>
      </c>
      <c r="R39" s="25">
        <f>'TUSD BE'!$R$39*'TUSD BF'!$R$58</f>
        <v>0</v>
      </c>
      <c r="S39" s="25">
        <f>'TUSD BE'!$R$39*'TUSD BF'!$S$58</f>
        <v>0</v>
      </c>
      <c r="T39" s="25">
        <f ca="1">SUM($L$39:$S$39)</f>
        <v>0</v>
      </c>
      <c r="U39" s="25">
        <f>'TUSD BE'!$U$39*'TUSD BF'!$U$58</f>
        <v>0</v>
      </c>
      <c r="V39" s="25">
        <f>'TUSD BE'!$V$39*'TUSD BF'!$V$58</f>
        <v>0</v>
      </c>
      <c r="W39" s="25">
        <f>'TUSD BE'!$W$39*'TUSD BF'!$W$58</f>
        <v>0</v>
      </c>
      <c r="X39" s="25">
        <f>'TUSD BE'!$X$39*'TUSD BF'!$X$58</f>
        <v>0</v>
      </c>
      <c r="Y39" s="25">
        <f>'TUSD BE'!$Y$39*'TUSD BF'!$Y$58</f>
        <v>0</v>
      </c>
      <c r="Z39" s="25">
        <f>'TUSD BE'!$Z$39*'TUSD BF'!$Z$58</f>
        <v>0</v>
      </c>
      <c r="AA39" s="25">
        <f>'TUSD BE'!$AA$39*'TUSD BF'!$AA$58</f>
        <v>0</v>
      </c>
      <c r="AB39" s="25">
        <f>SUM($U$39:$AA$39)</f>
        <v>0</v>
      </c>
      <c r="AC39" s="25">
        <f>'TUSD BE'!$AC$39*'TUSD BF'!$AC$58</f>
        <v>0</v>
      </c>
      <c r="AD39" s="25">
        <f>SUM($AC$39:$AC$39)</f>
        <v>0</v>
      </c>
      <c r="AE39" s="25">
        <f ca="1">$AO$39*$AO$55</f>
        <v>0</v>
      </c>
      <c r="AF39" s="25">
        <f ca="1">$AP$39*$AP$55</f>
        <v>0</v>
      </c>
      <c r="AG39" s="25">
        <f ca="1">SUM($AE$39:$AF$39)</f>
        <v>0</v>
      </c>
      <c r="AH39" s="25">
        <f>'TUSD BE'!$AH$39*'TUSD BF'!$AH$58</f>
        <v>0</v>
      </c>
      <c r="AI39" s="25">
        <f>'TUSD BE'!$AI$39*'TUSD BF'!$AI$58</f>
        <v>0</v>
      </c>
      <c r="AJ39" s="25">
        <f ca="1">'TUSD BE'!$AJ$39*'TUSD BF'!$AJ$58</f>
        <v>0</v>
      </c>
      <c r="AK39" s="25">
        <f ca="1">'TUSD BE'!$AK$39*'TUSD BF'!$AK$58</f>
        <v>0</v>
      </c>
      <c r="AL39" s="25">
        <f ca="1">SUM($AH$39:$AK$39)</f>
        <v>0</v>
      </c>
      <c r="AM39" s="25">
        <f ca="1">SUMIF($L$4:$AL$4,"SUBTOTAL",$L$39:$AL$39)</f>
        <v>0</v>
      </c>
      <c r="AO39" s="30">
        <f ca="1">+'TUSD BE'!$T$39+'TUSD BE'!$AB$39+'TUSD BE'!$AD$39+'TUSD BE'!$AL$39</f>
        <v>1150.9962259136705</v>
      </c>
      <c r="AP39" s="30">
        <f ca="1">+'TUSD BE'!$T$39+'TUSD BE'!$AB$39+'TUSD BE'!$AD$39+'TUSD BE'!$AL$39</f>
        <v>1150.9962259136705</v>
      </c>
    </row>
    <row r="40" spans="1:42" ht="11.25" customHeight="1" x14ac:dyDescent="0.25">
      <c r="A40" s="132"/>
      <c r="B40" s="132"/>
      <c r="C40" s="132"/>
      <c r="D40" s="132"/>
      <c r="E40" s="132"/>
      <c r="F40" s="132"/>
      <c r="G40" s="21" t="s">
        <v>71</v>
      </c>
      <c r="H40" s="21" t="s">
        <v>69</v>
      </c>
      <c r="I40" s="21">
        <f>'MERCADO TUSD'!$U$37</f>
        <v>0</v>
      </c>
      <c r="J40" s="17"/>
      <c r="L40" s="25">
        <f>'TUSD BE'!$L$40*'TUSD BF'!$L$58</f>
        <v>0</v>
      </c>
      <c r="M40" s="25">
        <f>'TUSD BE'!$M$40*'TUSD BF'!$M$58</f>
        <v>0</v>
      </c>
      <c r="N40" s="25">
        <f ca="1">'TUSD BE'!$N$40*'TUSD BF'!$N$58</f>
        <v>0</v>
      </c>
      <c r="O40" s="25">
        <f>'TUSD BE'!$O$40*'TUSD BF'!$O$58</f>
        <v>0</v>
      </c>
      <c r="P40" s="25">
        <f>'TUSD BE'!$P$40*'TUSD BF'!$P$58</f>
        <v>0</v>
      </c>
      <c r="Q40" s="25">
        <f>'TUSD BE'!$Q$40*'TUSD BF'!$Q$58</f>
        <v>0</v>
      </c>
      <c r="R40" s="25">
        <f>'TUSD BE'!$R$40*'TUSD BF'!$R$58</f>
        <v>0</v>
      </c>
      <c r="S40" s="25">
        <f>'TUSD BE'!$R$40*'TUSD BF'!$S$58</f>
        <v>0</v>
      </c>
      <c r="T40" s="25">
        <f ca="1">SUM($L$40:$S$40)</f>
        <v>0</v>
      </c>
      <c r="U40" s="25">
        <f>'TUSD BE'!$U$40*'TUSD BF'!$U$58</f>
        <v>0</v>
      </c>
      <c r="V40" s="25">
        <f>'TUSD BE'!$V$40*'TUSD BF'!$V$58</f>
        <v>0</v>
      </c>
      <c r="W40" s="25">
        <f>'TUSD BE'!$W$40*'TUSD BF'!$W$58</f>
        <v>0</v>
      </c>
      <c r="X40" s="25">
        <f>'TUSD BE'!$X$40*'TUSD BF'!$X$58</f>
        <v>0</v>
      </c>
      <c r="Y40" s="25">
        <f>'TUSD BE'!$Y$40*'TUSD BF'!$Y$58</f>
        <v>0</v>
      </c>
      <c r="Z40" s="25">
        <f>'TUSD BE'!$Z$40*'TUSD BF'!$Z$58</f>
        <v>0</v>
      </c>
      <c r="AA40" s="25">
        <f>'TUSD BE'!$AA$40*'TUSD BF'!$AA$58</f>
        <v>0</v>
      </c>
      <c r="AB40" s="25">
        <f>SUM($U$40:$AA$40)</f>
        <v>0</v>
      </c>
      <c r="AC40" s="25">
        <f>'TUSD BE'!$AC$40*'TUSD BF'!$AC$58</f>
        <v>0</v>
      </c>
      <c r="AD40" s="25">
        <f>SUM($AC$40:$AC$40)</f>
        <v>0</v>
      </c>
      <c r="AE40" s="25">
        <f ca="1">$AO$40*$AO$55</f>
        <v>0</v>
      </c>
      <c r="AF40" s="25">
        <f ca="1">$AP$40*$AP$55</f>
        <v>0</v>
      </c>
      <c r="AG40" s="25">
        <f ca="1">SUM($AE$40:$AF$40)</f>
        <v>0</v>
      </c>
      <c r="AH40" s="25">
        <f>'TUSD BE'!$AH$40*'TUSD BF'!$AH$58</f>
        <v>0</v>
      </c>
      <c r="AI40" s="25">
        <f>'TUSD BE'!$AI$40*'TUSD BF'!$AI$58</f>
        <v>0</v>
      </c>
      <c r="AJ40" s="25">
        <f ca="1">'TUSD BE'!$AJ$40*'TUSD BF'!$AJ$58</f>
        <v>0</v>
      </c>
      <c r="AK40" s="25">
        <f ca="1">'TUSD BE'!$AK$40*'TUSD BF'!$AK$58</f>
        <v>0</v>
      </c>
      <c r="AL40" s="25">
        <f ca="1">SUM($AH$40:$AK$40)</f>
        <v>0</v>
      </c>
      <c r="AM40" s="25">
        <f ca="1">SUMIF($L$4:$AL$4,"SUBTOTAL",$L$40:$AL$40)</f>
        <v>0</v>
      </c>
      <c r="AO40" s="30">
        <f ca="1">+'TUSD BE'!$T$40+'TUSD BE'!$AB$40+'TUSD BE'!$AD$40+'TUSD BE'!$AL$40</f>
        <v>448.84701416813954</v>
      </c>
      <c r="AP40" s="30">
        <f ca="1">+'TUSD BE'!$T$40+'TUSD BE'!$AB$40+'TUSD BE'!$AD$40+'TUSD BE'!$AL$40</f>
        <v>448.84701416813954</v>
      </c>
    </row>
    <row r="41" spans="1:42" ht="11.25" customHeight="1" x14ac:dyDescent="0.25">
      <c r="A41" s="132"/>
      <c r="B41" s="28" t="s">
        <v>23</v>
      </c>
      <c r="C41" s="28" t="s">
        <v>42</v>
      </c>
      <c r="D41" s="28" t="s">
        <v>87</v>
      </c>
      <c r="E41" s="28" t="s">
        <v>25</v>
      </c>
      <c r="F41" s="28" t="s">
        <v>25</v>
      </c>
      <c r="G41" s="21" t="s">
        <v>73</v>
      </c>
      <c r="H41" s="21" t="s">
        <v>69</v>
      </c>
      <c r="I41" s="21">
        <f>'MERCADO TUSD'!$U$38</f>
        <v>0</v>
      </c>
      <c r="J41" s="17"/>
      <c r="L41" s="25">
        <f>'TUSD BE'!$L$41*'TUSD BF'!$L$58</f>
        <v>0</v>
      </c>
      <c r="M41" s="25">
        <f>'TUSD BE'!$M$41*'TUSD BF'!$M$58</f>
        <v>0</v>
      </c>
      <c r="N41" s="25">
        <f ca="1">'TUSD BE'!$N$41*'TUSD BF'!$N$58</f>
        <v>0</v>
      </c>
      <c r="O41" s="25">
        <f>'TUSD BE'!$O$41*'TUSD BF'!$O$58</f>
        <v>0</v>
      </c>
      <c r="P41" s="25">
        <f>'TUSD BE'!$P$41*'TUSD BF'!$P$58</f>
        <v>0</v>
      </c>
      <c r="Q41" s="25">
        <f>'TUSD BE'!$Q$41*'TUSD BF'!$Q$58</f>
        <v>0</v>
      </c>
      <c r="R41" s="25">
        <f>'TUSD BE'!$R$41*'TUSD BF'!$R$58</f>
        <v>0</v>
      </c>
      <c r="S41" s="25">
        <f>'TUSD BE'!$R$41*'TUSD BF'!$S$58</f>
        <v>0</v>
      </c>
      <c r="T41" s="25">
        <f ca="1">SUM($L$41:$S$41)</f>
        <v>0</v>
      </c>
      <c r="U41" s="25">
        <f>'TUSD BE'!$U$41*'TUSD BF'!$U$58</f>
        <v>0</v>
      </c>
      <c r="V41" s="25">
        <f>'TUSD BE'!$V$41*'TUSD BF'!$V$58</f>
        <v>0</v>
      </c>
      <c r="W41" s="25">
        <f>'TUSD BE'!$W$41*'TUSD BF'!$W$58</f>
        <v>0</v>
      </c>
      <c r="X41" s="25">
        <f>'TUSD BE'!$X$41*'TUSD BF'!$X$58</f>
        <v>0</v>
      </c>
      <c r="Y41" s="25">
        <f>'TUSD BE'!$Y$41*'TUSD BF'!$Y$58</f>
        <v>0</v>
      </c>
      <c r="Z41" s="25">
        <f>'TUSD BE'!$Z$41*'TUSD BF'!$Z$58</f>
        <v>0</v>
      </c>
      <c r="AA41" s="25">
        <f>'TUSD BE'!$AA$41*'TUSD BF'!$AA$58</f>
        <v>0</v>
      </c>
      <c r="AB41" s="25">
        <f>SUM($U$41:$AA$41)</f>
        <v>0</v>
      </c>
      <c r="AC41" s="25">
        <f>'TUSD BE'!$AC$41*'TUSD BF'!$AC$58</f>
        <v>0</v>
      </c>
      <c r="AD41" s="25">
        <f>SUM($AC$41:$AC$41)</f>
        <v>0</v>
      </c>
      <c r="AE41" s="25">
        <f ca="1">$AO$41*$AO$55</f>
        <v>0</v>
      </c>
      <c r="AF41" s="25">
        <f ca="1">$AP$41*$AP$55</f>
        <v>0</v>
      </c>
      <c r="AG41" s="25">
        <f ca="1">SUM($AE$41:$AF$41)</f>
        <v>0</v>
      </c>
      <c r="AH41" s="25">
        <f>'TUSD BE'!$AH$41*'TUSD BF'!$AH$58</f>
        <v>0</v>
      </c>
      <c r="AI41" s="25">
        <f>'TUSD BE'!$AI$41*'TUSD BF'!$AI$58</f>
        <v>0</v>
      </c>
      <c r="AJ41" s="25">
        <f ca="1">'TUSD BE'!$AJ$41*'TUSD BF'!$AJ$58</f>
        <v>0</v>
      </c>
      <c r="AK41" s="25">
        <f ca="1">'TUSD BE'!$AK$41*'TUSD BF'!$AK$58</f>
        <v>0</v>
      </c>
      <c r="AL41" s="25">
        <f ca="1">SUM($AH$41:$AK$41)</f>
        <v>0</v>
      </c>
      <c r="AM41" s="25">
        <f ca="1">SUMIF($L$4:$AL$4,"SUBTOTAL",$L$41:$AL$41)</f>
        <v>0</v>
      </c>
      <c r="AO41" s="30">
        <f ca="1">+'TUSD BE'!$T$41+'TUSD BE'!$AB$41+'TUSD BE'!$AD$41+'TUSD BE'!$AL$41</f>
        <v>756.07480965419325</v>
      </c>
      <c r="AP41" s="30">
        <f ca="1">+'TUSD BE'!$T$41+'TUSD BE'!$AB$41+'TUSD BE'!$AD$41+'TUSD BE'!$AL$41</f>
        <v>756.07480965419325</v>
      </c>
    </row>
    <row r="42" spans="1:42" ht="11.25" customHeight="1" x14ac:dyDescent="0.25">
      <c r="A42" s="132"/>
      <c r="B42" s="132" t="s">
        <v>85</v>
      </c>
      <c r="C42" s="132" t="s">
        <v>42</v>
      </c>
      <c r="D42" s="28" t="s">
        <v>25</v>
      </c>
      <c r="E42" s="28" t="s">
        <v>25</v>
      </c>
      <c r="F42" s="28" t="s">
        <v>25</v>
      </c>
      <c r="G42" s="21" t="s">
        <v>73</v>
      </c>
      <c r="H42" s="21" t="s">
        <v>69</v>
      </c>
      <c r="I42" s="21">
        <f>'MERCADO TUSD'!$U$39</f>
        <v>0</v>
      </c>
      <c r="J42" s="17"/>
      <c r="L42" s="25">
        <f>'TUSD BE'!$L$42*'TUSD BF'!$L$58</f>
        <v>0</v>
      </c>
      <c r="M42" s="25">
        <f>'TUSD BE'!$M$42*'TUSD BF'!$M$58</f>
        <v>0</v>
      </c>
      <c r="N42" s="25">
        <f ca="1">'TUSD BE'!$N$42*'TUSD BF'!$N$58</f>
        <v>0</v>
      </c>
      <c r="O42" s="25">
        <f>'TUSD BE'!$O$42*'TUSD BF'!$O$58</f>
        <v>0</v>
      </c>
      <c r="P42" s="25">
        <f>'TUSD BE'!$P$42*'TUSD BF'!$P$58</f>
        <v>0</v>
      </c>
      <c r="Q42" s="25">
        <f>'TUSD BE'!$Q$42*'TUSD BF'!$Q$58</f>
        <v>0</v>
      </c>
      <c r="R42" s="25">
        <f>'TUSD BE'!$R$42*'TUSD BF'!$R$58</f>
        <v>0</v>
      </c>
      <c r="S42" s="25">
        <f>'TUSD BE'!$R$42*'TUSD BF'!$S$58</f>
        <v>0</v>
      </c>
      <c r="T42" s="25">
        <f ca="1">SUM($L$42:$S$42)</f>
        <v>0</v>
      </c>
      <c r="U42" s="25">
        <f>'TUSD BE'!$U$42*'TUSD BF'!$U$58</f>
        <v>0</v>
      </c>
      <c r="V42" s="25">
        <f>'TUSD BE'!$V$42*'TUSD BF'!$V$58</f>
        <v>0</v>
      </c>
      <c r="W42" s="25">
        <f>'TUSD BE'!$W$42*'TUSD BF'!$W$58</f>
        <v>0</v>
      </c>
      <c r="X42" s="25">
        <f>'TUSD BE'!$X$42*'TUSD BF'!$X$58</f>
        <v>0</v>
      </c>
      <c r="Y42" s="25">
        <f>'TUSD BE'!$Y$42*'TUSD BF'!$Y$58</f>
        <v>0</v>
      </c>
      <c r="Z42" s="25">
        <f>'TUSD BE'!$Z$42*'TUSD BF'!$Z$58</f>
        <v>0</v>
      </c>
      <c r="AA42" s="25">
        <f>'TUSD BE'!$AA$42*'TUSD BF'!$AA$58</f>
        <v>0</v>
      </c>
      <c r="AB42" s="25">
        <f>SUM($U$42:$AA$42)</f>
        <v>0</v>
      </c>
      <c r="AC42" s="25">
        <f>'TUSD BE'!$AC$42*'TUSD BF'!$AC$58</f>
        <v>0</v>
      </c>
      <c r="AD42" s="25">
        <f>SUM($AC$42:$AC$42)</f>
        <v>0</v>
      </c>
      <c r="AE42" s="25">
        <f ca="1">$AO$42*$AO$55</f>
        <v>0</v>
      </c>
      <c r="AF42" s="25">
        <f ca="1">$AP$42*$AP$55</f>
        <v>0</v>
      </c>
      <c r="AG42" s="25">
        <f ca="1">SUM($AE$42:$AF$42)</f>
        <v>0</v>
      </c>
      <c r="AH42" s="25">
        <f>'TUSD BE'!$AH$42*'TUSD BF'!$AH$58</f>
        <v>0</v>
      </c>
      <c r="AI42" s="25">
        <f>'TUSD BE'!$AI$42*'TUSD BF'!$AI$58</f>
        <v>0</v>
      </c>
      <c r="AJ42" s="25">
        <f ca="1">'TUSD BE'!$AJ$42*'TUSD BF'!$AJ$58</f>
        <v>0</v>
      </c>
      <c r="AK42" s="25">
        <f ca="1">'TUSD BE'!$AK$42*'TUSD BF'!$AK$58</f>
        <v>0</v>
      </c>
      <c r="AL42" s="25">
        <f ca="1">SUM($AH$42:$AK$42)</f>
        <v>0</v>
      </c>
      <c r="AM42" s="25">
        <f ca="1">SUMIF($L$4:$AL$4,"SUBTOTAL",$L$42:$AL$42)</f>
        <v>0</v>
      </c>
      <c r="AO42" s="30">
        <f ca="1">+'TUSD BE'!$T$42+'TUSD BE'!$AB$42+'TUSD BE'!$AD$42+'TUSD BE'!$AL$42</f>
        <v>756.07480965419325</v>
      </c>
      <c r="AP42" s="30">
        <f ca="1">+'TUSD BE'!$T$42+'TUSD BE'!$AB$42+'TUSD BE'!$AD$42+'TUSD BE'!$AL$42</f>
        <v>756.07480965419325</v>
      </c>
    </row>
    <row r="43" spans="1:42" ht="11.25" customHeight="1" x14ac:dyDescent="0.25">
      <c r="A43" s="132"/>
      <c r="B43" s="132"/>
      <c r="C43" s="132"/>
      <c r="D43" s="28" t="s">
        <v>86</v>
      </c>
      <c r="E43" s="28" t="s">
        <v>25</v>
      </c>
      <c r="F43" s="28" t="s">
        <v>25</v>
      </c>
      <c r="G43" s="21" t="s">
        <v>73</v>
      </c>
      <c r="H43" s="21" t="s">
        <v>69</v>
      </c>
      <c r="I43" s="21">
        <f>'MERCADO TUSD'!$U$40</f>
        <v>0</v>
      </c>
      <c r="J43" s="17"/>
      <c r="L43" s="25">
        <f>'TUSD BE'!$L$43*'TUSD BF'!$L$58</f>
        <v>0</v>
      </c>
      <c r="M43" s="25">
        <f>'TUSD BE'!$M$43*'TUSD BF'!$M$58</f>
        <v>0</v>
      </c>
      <c r="N43" s="25">
        <f ca="1">'TUSD BE'!$N$43*'TUSD BF'!$N$58</f>
        <v>0</v>
      </c>
      <c r="O43" s="25">
        <f>'TUSD BE'!$O$43*'TUSD BF'!$O$58</f>
        <v>0</v>
      </c>
      <c r="P43" s="25">
        <f>'TUSD BE'!$P$43*'TUSD BF'!$P$58</f>
        <v>0</v>
      </c>
      <c r="Q43" s="25">
        <f>'TUSD BE'!$Q$43*'TUSD BF'!$Q$58</f>
        <v>0</v>
      </c>
      <c r="R43" s="25">
        <f>'TUSD BE'!$R$43*'TUSD BF'!$R$58</f>
        <v>0</v>
      </c>
      <c r="S43" s="25">
        <f>'TUSD BE'!$R$43*'TUSD BF'!$S$58</f>
        <v>0</v>
      </c>
      <c r="T43" s="25">
        <f ca="1">SUM($L$43:$S$43)</f>
        <v>0</v>
      </c>
      <c r="U43" s="25">
        <f>'TUSD BE'!$U$43*'TUSD BF'!$U$58</f>
        <v>0</v>
      </c>
      <c r="V43" s="25">
        <f>'TUSD BE'!$V$43*'TUSD BF'!$V$58</f>
        <v>0</v>
      </c>
      <c r="W43" s="25">
        <f>'TUSD BE'!$W$43*'TUSD BF'!$W$58</f>
        <v>0</v>
      </c>
      <c r="X43" s="25">
        <f>'TUSD BE'!$X$43*'TUSD BF'!$X$58</f>
        <v>0</v>
      </c>
      <c r="Y43" s="25">
        <f>'TUSD BE'!$Y$43*'TUSD BF'!$Y$58</f>
        <v>0</v>
      </c>
      <c r="Z43" s="25">
        <f>'TUSD BE'!$Z$43*'TUSD BF'!$Z$58</f>
        <v>0</v>
      </c>
      <c r="AA43" s="25">
        <f>'TUSD BE'!$AA$43*'TUSD BF'!$AA$58</f>
        <v>0</v>
      </c>
      <c r="AB43" s="25">
        <f>SUM($U$43:$AA$43)</f>
        <v>0</v>
      </c>
      <c r="AC43" s="25">
        <f>'TUSD BE'!$AC$43*'TUSD BF'!$AC$58</f>
        <v>0</v>
      </c>
      <c r="AD43" s="25">
        <f>SUM($AC$43:$AC$43)</f>
        <v>0</v>
      </c>
      <c r="AE43" s="25">
        <f ca="1">$AO$43*$AO$55</f>
        <v>0</v>
      </c>
      <c r="AF43" s="25">
        <f ca="1">$AP$43*$AP$55</f>
        <v>0</v>
      </c>
      <c r="AG43" s="25">
        <f ca="1">SUM($AE$43:$AF$43)</f>
        <v>0</v>
      </c>
      <c r="AH43" s="25">
        <f>'TUSD BE'!$AH$43*'TUSD BF'!$AH$58</f>
        <v>0</v>
      </c>
      <c r="AI43" s="25">
        <f>'TUSD BE'!$AI$43*'TUSD BF'!$AI$58</f>
        <v>0</v>
      </c>
      <c r="AJ43" s="25">
        <f ca="1">'TUSD BE'!$AJ$43*'TUSD BF'!$AJ$58</f>
        <v>0</v>
      </c>
      <c r="AK43" s="25">
        <f ca="1">'TUSD BE'!$AK$43*'TUSD BF'!$AK$58</f>
        <v>0</v>
      </c>
      <c r="AL43" s="25">
        <f ca="1">SUM($AH$43:$AK$43)</f>
        <v>0</v>
      </c>
      <c r="AM43" s="25">
        <f ca="1">SUMIF($L$4:$AL$4,"SUBTOTAL",$L$43:$AL$43)</f>
        <v>0</v>
      </c>
      <c r="AO43" s="30">
        <f ca="1">+'TUSD BE'!$T$43+'TUSD BE'!$AB$43+'TUSD BE'!$AD$43+'TUSD BE'!$AL$43</f>
        <v>756.07480965419325</v>
      </c>
      <c r="AP43" s="30">
        <f ca="1">+'TUSD BE'!$T$43+'TUSD BE'!$AB$43+'TUSD BE'!$AD$43+'TUSD BE'!$AL$43</f>
        <v>756.07480965419325</v>
      </c>
    </row>
    <row r="44" spans="1:42" ht="11.25" customHeight="1" x14ac:dyDescent="0.25">
      <c r="A44" s="132"/>
      <c r="B44" s="132"/>
      <c r="C44" s="132"/>
      <c r="D44" s="28" t="s">
        <v>87</v>
      </c>
      <c r="E44" s="28" t="s">
        <v>25</v>
      </c>
      <c r="F44" s="28" t="s">
        <v>25</v>
      </c>
      <c r="G44" s="21" t="s">
        <v>73</v>
      </c>
      <c r="H44" s="21" t="s">
        <v>69</v>
      </c>
      <c r="I44" s="21">
        <f>'MERCADO TUSD'!$U$41</f>
        <v>0</v>
      </c>
      <c r="J44" s="17"/>
      <c r="L44" s="25">
        <f>'TUSD BE'!$L$44*'TUSD BF'!$L$58</f>
        <v>0</v>
      </c>
      <c r="M44" s="25">
        <f>'TUSD BE'!$M$44*'TUSD BF'!$M$58</f>
        <v>0</v>
      </c>
      <c r="N44" s="25">
        <f ca="1">'TUSD BE'!$N$44*'TUSD BF'!$N$58</f>
        <v>0</v>
      </c>
      <c r="O44" s="25">
        <f>'TUSD BE'!$O$44*'TUSD BF'!$O$58</f>
        <v>0</v>
      </c>
      <c r="P44" s="25">
        <f>'TUSD BE'!$P$44*'TUSD BF'!$P$58</f>
        <v>0</v>
      </c>
      <c r="Q44" s="25">
        <f>'TUSD BE'!$Q$44*'TUSD BF'!$Q$58</f>
        <v>0</v>
      </c>
      <c r="R44" s="25">
        <f>'TUSD BE'!$R$44*'TUSD BF'!$R$58</f>
        <v>0</v>
      </c>
      <c r="S44" s="25">
        <f>'TUSD BE'!$R$44*'TUSD BF'!$S$58</f>
        <v>0</v>
      </c>
      <c r="T44" s="25">
        <f ca="1">SUM($L$44:$S$44)</f>
        <v>0</v>
      </c>
      <c r="U44" s="25">
        <f>'TUSD BE'!$U$44*'TUSD BF'!$U$58</f>
        <v>0</v>
      </c>
      <c r="V44" s="25">
        <f>'TUSD BE'!$V$44*'TUSD BF'!$V$58</f>
        <v>0</v>
      </c>
      <c r="W44" s="25">
        <f>'TUSD BE'!$W$44*'TUSD BF'!$W$58</f>
        <v>0</v>
      </c>
      <c r="X44" s="25">
        <f>'TUSD BE'!$X$44*'TUSD BF'!$X$58</f>
        <v>0</v>
      </c>
      <c r="Y44" s="25">
        <f>'TUSD BE'!$Y$44*'TUSD BF'!$Y$58</f>
        <v>0</v>
      </c>
      <c r="Z44" s="25">
        <f>'TUSD BE'!$Z$44*'TUSD BF'!$Z$58</f>
        <v>0</v>
      </c>
      <c r="AA44" s="25">
        <f>'TUSD BE'!$AA$44*'TUSD BF'!$AA$58</f>
        <v>0</v>
      </c>
      <c r="AB44" s="25">
        <f>SUM($U$44:$AA$44)</f>
        <v>0</v>
      </c>
      <c r="AC44" s="25">
        <f>'TUSD BE'!$AC$44*'TUSD BF'!$AC$58</f>
        <v>0</v>
      </c>
      <c r="AD44" s="25">
        <f>SUM($AC$44:$AC$44)</f>
        <v>0</v>
      </c>
      <c r="AE44" s="25">
        <f ca="1">$AO$44*$AO$55</f>
        <v>0</v>
      </c>
      <c r="AF44" s="25">
        <f ca="1">$AP$44*$AP$55</f>
        <v>0</v>
      </c>
      <c r="AG44" s="25">
        <f ca="1">SUM($AE$44:$AF$44)</f>
        <v>0</v>
      </c>
      <c r="AH44" s="25">
        <f>'TUSD BE'!$AH$44*'TUSD BF'!$AH$58</f>
        <v>0</v>
      </c>
      <c r="AI44" s="25">
        <f>'TUSD BE'!$AI$44*'TUSD BF'!$AI$58</f>
        <v>0</v>
      </c>
      <c r="AJ44" s="25">
        <f ca="1">'TUSD BE'!$AJ$44*'TUSD BF'!$AJ$58</f>
        <v>0</v>
      </c>
      <c r="AK44" s="25">
        <f ca="1">'TUSD BE'!$AK$44*'TUSD BF'!$AK$58</f>
        <v>0</v>
      </c>
      <c r="AL44" s="25">
        <f ca="1">SUM($AH$44:$AK$44)</f>
        <v>0</v>
      </c>
      <c r="AM44" s="25">
        <f ca="1">SUMIF($L$4:$AL$4,"SUBTOTAL",$L$44:$AL$44)</f>
        <v>0</v>
      </c>
      <c r="AO44" s="30">
        <f ca="1">+'TUSD BE'!$T$44+'TUSD BE'!$AB$44+'TUSD BE'!$AD$44+'TUSD BE'!$AL$44</f>
        <v>756.07480965419325</v>
      </c>
      <c r="AP44" s="30">
        <f ca="1">+'TUSD BE'!$T$44+'TUSD BE'!$AB$44+'TUSD BE'!$AD$44+'TUSD BE'!$AL$44</f>
        <v>756.07480965419325</v>
      </c>
    </row>
    <row r="45" spans="1:42" ht="11.25" customHeight="1" x14ac:dyDescent="0.25">
      <c r="A45" s="132" t="s">
        <v>32</v>
      </c>
      <c r="B45" s="132" t="s">
        <v>39</v>
      </c>
      <c r="C45" s="132" t="s">
        <v>25</v>
      </c>
      <c r="D45" s="132" t="s">
        <v>25</v>
      </c>
      <c r="E45" s="132" t="s">
        <v>25</v>
      </c>
      <c r="F45" s="132" t="s">
        <v>25</v>
      </c>
      <c r="G45" s="21" t="s">
        <v>70</v>
      </c>
      <c r="H45" s="21" t="s">
        <v>69</v>
      </c>
      <c r="I45" s="21">
        <f>'MERCADO TUSD'!$U$42</f>
        <v>0.13600000000000001</v>
      </c>
      <c r="J45" s="17"/>
      <c r="L45" s="25">
        <f>'TUSD BE'!$L$45*'TUSD BF'!$L$58</f>
        <v>0</v>
      </c>
      <c r="M45" s="25">
        <f>'TUSD BE'!$M$45*'TUSD BF'!$M$58</f>
        <v>0</v>
      </c>
      <c r="N45" s="25">
        <f ca="1">'TUSD BE'!$N$45*'TUSD BF'!$N$58</f>
        <v>0</v>
      </c>
      <c r="O45" s="25">
        <f>'TUSD BE'!$O$45*'TUSD BF'!$O$58</f>
        <v>0</v>
      </c>
      <c r="P45" s="25">
        <f>'TUSD BE'!$P$45*'TUSD BF'!$P$58</f>
        <v>0</v>
      </c>
      <c r="Q45" s="25">
        <f>'TUSD BE'!$Q$45*'TUSD BF'!$Q$58</f>
        <v>0</v>
      </c>
      <c r="R45" s="25">
        <f>'TUSD BE'!$R$45*'TUSD BF'!$R$58</f>
        <v>0</v>
      </c>
      <c r="S45" s="25">
        <f>'TUSD BE'!$R$45*'TUSD BF'!$S$58</f>
        <v>0</v>
      </c>
      <c r="T45" s="25">
        <f ca="1">SUM($L$45:$S$45)</f>
        <v>0</v>
      </c>
      <c r="U45" s="25">
        <f>'TUSD BE'!$U$45*'TUSD BF'!$U$58</f>
        <v>0</v>
      </c>
      <c r="V45" s="25">
        <f>'TUSD BE'!$V$45*'TUSD BF'!$V$58</f>
        <v>0</v>
      </c>
      <c r="W45" s="25">
        <f>'TUSD BE'!$W$45*'TUSD BF'!$W$58</f>
        <v>0</v>
      </c>
      <c r="X45" s="25">
        <f>'TUSD BE'!$X$45*'TUSD BF'!$X$58</f>
        <v>0</v>
      </c>
      <c r="Y45" s="25">
        <f>'TUSD BE'!$Y$45*'TUSD BF'!$Y$58</f>
        <v>0</v>
      </c>
      <c r="Z45" s="25">
        <f>'TUSD BE'!$Z$45*'TUSD BF'!$Z$58</f>
        <v>0</v>
      </c>
      <c r="AA45" s="25">
        <f>'TUSD BE'!$AA$45*'TUSD BF'!$AA$58</f>
        <v>0</v>
      </c>
      <c r="AB45" s="25">
        <f>SUM($U$45:$AA$45)</f>
        <v>0</v>
      </c>
      <c r="AC45" s="25">
        <f>'TUSD BE'!$AC$45*'TUSD BF'!$AC$58</f>
        <v>0</v>
      </c>
      <c r="AD45" s="25">
        <f>SUM($AC$45:$AC$45)</f>
        <v>0</v>
      </c>
      <c r="AE45" s="25">
        <f ca="1">$AO$45*$AO$55</f>
        <v>0</v>
      </c>
      <c r="AF45" s="25">
        <f ca="1">$AP$45*$AP$55</f>
        <v>0</v>
      </c>
      <c r="AG45" s="25">
        <f ca="1">SUM($AE$45:$AF$45)</f>
        <v>0</v>
      </c>
      <c r="AH45" s="25">
        <f>'TUSD BE'!$AH$45*'TUSD BF'!$AH$58</f>
        <v>0</v>
      </c>
      <c r="AI45" s="25">
        <f>'TUSD BE'!$AI$45*'TUSD BF'!$AI$58</f>
        <v>0</v>
      </c>
      <c r="AJ45" s="25">
        <f ca="1">'TUSD BE'!$AJ$45*'TUSD BF'!$AJ$58</f>
        <v>0</v>
      </c>
      <c r="AK45" s="25">
        <f ca="1">'TUSD BE'!$AK$45*'TUSD BF'!$AK$58</f>
        <v>0</v>
      </c>
      <c r="AL45" s="25">
        <f ca="1">SUM($AH$45:$AK$45)</f>
        <v>0</v>
      </c>
      <c r="AM45" s="25">
        <f ca="1">SUMIF($L$4:$AL$4,"SUBTOTAL",$L$45:$AL$45)</f>
        <v>0</v>
      </c>
      <c r="AO45" s="30">
        <f ca="1">+'TUSD BE'!$T$45+'TUSD BE'!$AB$45+'TUSD BE'!$AD$45+'TUSD BE'!$AL$45</f>
        <v>2237.2630311810212</v>
      </c>
      <c r="AP45" s="30">
        <f ca="1">+'TUSD BE'!$T$45+'TUSD BE'!$AB$45+'TUSD BE'!$AD$45+'TUSD BE'!$AL$45</f>
        <v>2237.2630311810212</v>
      </c>
    </row>
    <row r="46" spans="1:42" ht="11.25" customHeight="1" x14ac:dyDescent="0.25">
      <c r="A46" s="132"/>
      <c r="B46" s="132"/>
      <c r="C46" s="132"/>
      <c r="D46" s="132"/>
      <c r="E46" s="132"/>
      <c r="F46" s="132"/>
      <c r="G46" s="21" t="s">
        <v>83</v>
      </c>
      <c r="H46" s="21" t="s">
        <v>69</v>
      </c>
      <c r="I46" s="21">
        <f>'MERCADO TUSD'!$U$43</f>
        <v>0.16400000000000003</v>
      </c>
      <c r="J46" s="17"/>
      <c r="L46" s="25">
        <f>'TUSD BE'!$L$46*'TUSD BF'!$L$58</f>
        <v>0</v>
      </c>
      <c r="M46" s="25">
        <f>'TUSD BE'!$M$46*'TUSD BF'!$M$58</f>
        <v>0</v>
      </c>
      <c r="N46" s="25">
        <f ca="1">'TUSD BE'!$N$46*'TUSD BF'!$N$58</f>
        <v>0</v>
      </c>
      <c r="O46" s="25">
        <f>'TUSD BE'!$O$46*'TUSD BF'!$O$58</f>
        <v>0</v>
      </c>
      <c r="P46" s="25">
        <f>'TUSD BE'!$P$46*'TUSD BF'!$P$58</f>
        <v>0</v>
      </c>
      <c r="Q46" s="25">
        <f>'TUSD BE'!$Q$46*'TUSD BF'!$Q$58</f>
        <v>0</v>
      </c>
      <c r="R46" s="25">
        <f>'TUSD BE'!$R$46*'TUSD BF'!$R$58</f>
        <v>0</v>
      </c>
      <c r="S46" s="25">
        <f>'TUSD BE'!$R$46*'TUSD BF'!$S$58</f>
        <v>0</v>
      </c>
      <c r="T46" s="25">
        <f ca="1">SUM($L$46:$S$46)</f>
        <v>0</v>
      </c>
      <c r="U46" s="25">
        <f>'TUSD BE'!$U$46*'TUSD BF'!$U$58</f>
        <v>0</v>
      </c>
      <c r="V46" s="25">
        <f>'TUSD BE'!$V$46*'TUSD BF'!$V$58</f>
        <v>0</v>
      </c>
      <c r="W46" s="25">
        <f>'TUSD BE'!$W$46*'TUSD BF'!$W$58</f>
        <v>0</v>
      </c>
      <c r="X46" s="25">
        <f>'TUSD BE'!$X$46*'TUSD BF'!$X$58</f>
        <v>0</v>
      </c>
      <c r="Y46" s="25">
        <f>'TUSD BE'!$Y$46*'TUSD BF'!$Y$58</f>
        <v>0</v>
      </c>
      <c r="Z46" s="25">
        <f>'TUSD BE'!$Z$46*'TUSD BF'!$Z$58</f>
        <v>0</v>
      </c>
      <c r="AA46" s="25">
        <f>'TUSD BE'!$AA$46*'TUSD BF'!$AA$58</f>
        <v>0</v>
      </c>
      <c r="AB46" s="25">
        <f>SUM($U$46:$AA$46)</f>
        <v>0</v>
      </c>
      <c r="AC46" s="25">
        <f>'TUSD BE'!$AC$46*'TUSD BF'!$AC$58</f>
        <v>0</v>
      </c>
      <c r="AD46" s="25">
        <f>SUM($AC$46:$AC$46)</f>
        <v>0</v>
      </c>
      <c r="AE46" s="25">
        <f ca="1">$AO$46*$AO$55</f>
        <v>0</v>
      </c>
      <c r="AF46" s="25">
        <f ca="1">$AP$46*$AP$55</f>
        <v>0</v>
      </c>
      <c r="AG46" s="25">
        <f ca="1">SUM($AE$46:$AF$46)</f>
        <v>0</v>
      </c>
      <c r="AH46" s="25">
        <f>'TUSD BE'!$AH$46*'TUSD BF'!$AH$58</f>
        <v>0</v>
      </c>
      <c r="AI46" s="25">
        <f>'TUSD BE'!$AI$46*'TUSD BF'!$AI$58</f>
        <v>0</v>
      </c>
      <c r="AJ46" s="25">
        <f ca="1">'TUSD BE'!$AJ$46*'TUSD BF'!$AJ$58</f>
        <v>0</v>
      </c>
      <c r="AK46" s="25">
        <f ca="1">'TUSD BE'!$AK$46*'TUSD BF'!$AK$58</f>
        <v>0</v>
      </c>
      <c r="AL46" s="25">
        <f ca="1">SUM($AH$46:$AK$46)</f>
        <v>0</v>
      </c>
      <c r="AM46" s="25">
        <f ca="1">SUMIF($L$4:$AL$4,"SUBTOTAL",$L$46:$AL$46)</f>
        <v>0</v>
      </c>
      <c r="AO46" s="30">
        <f ca="1">+'TUSD BE'!$T$46+'TUSD BE'!$AB$46+'TUSD BE'!$AD$46+'TUSD BE'!$AL$46</f>
        <v>1381.4674845732247</v>
      </c>
      <c r="AP46" s="30">
        <f ca="1">+'TUSD BE'!$T$46+'TUSD BE'!$AB$46+'TUSD BE'!$AD$46+'TUSD BE'!$AL$46</f>
        <v>1381.4674845732247</v>
      </c>
    </row>
    <row r="47" spans="1:42" ht="11.25" customHeight="1" x14ac:dyDescent="0.25">
      <c r="A47" s="132"/>
      <c r="B47" s="132"/>
      <c r="C47" s="132"/>
      <c r="D47" s="132"/>
      <c r="E47" s="132"/>
      <c r="F47" s="132"/>
      <c r="G47" s="21" t="s">
        <v>71</v>
      </c>
      <c r="H47" s="21" t="s">
        <v>69</v>
      </c>
      <c r="I47" s="21">
        <f>'MERCADO TUSD'!$U$44</f>
        <v>5.0719999999999992</v>
      </c>
      <c r="J47" s="17"/>
      <c r="L47" s="25">
        <f>'TUSD BE'!$L$47*'TUSD BF'!$L$58</f>
        <v>0</v>
      </c>
      <c r="M47" s="25">
        <f>'TUSD BE'!$M$47*'TUSD BF'!$M$58</f>
        <v>0</v>
      </c>
      <c r="N47" s="25">
        <f ca="1">'TUSD BE'!$N$47*'TUSD BF'!$N$58</f>
        <v>0</v>
      </c>
      <c r="O47" s="25">
        <f>'TUSD BE'!$O$47*'TUSD BF'!$O$58</f>
        <v>0</v>
      </c>
      <c r="P47" s="25">
        <f>'TUSD BE'!$P$47*'TUSD BF'!$P$58</f>
        <v>0</v>
      </c>
      <c r="Q47" s="25">
        <f>'TUSD BE'!$Q$47*'TUSD BF'!$Q$58</f>
        <v>0</v>
      </c>
      <c r="R47" s="25">
        <f>'TUSD BE'!$R$47*'TUSD BF'!$R$58</f>
        <v>0</v>
      </c>
      <c r="S47" s="25">
        <f>'TUSD BE'!$R$47*'TUSD BF'!$S$58</f>
        <v>0</v>
      </c>
      <c r="T47" s="25">
        <f ca="1">SUM($L$47:$S$47)</f>
        <v>0</v>
      </c>
      <c r="U47" s="25">
        <f>'TUSD BE'!$U$47*'TUSD BF'!$U$58</f>
        <v>0</v>
      </c>
      <c r="V47" s="25">
        <f>'TUSD BE'!$V$47*'TUSD BF'!$V$58</f>
        <v>0</v>
      </c>
      <c r="W47" s="25">
        <f>'TUSD BE'!$W$47*'TUSD BF'!$W$58</f>
        <v>0</v>
      </c>
      <c r="X47" s="25">
        <f>'TUSD BE'!$X$47*'TUSD BF'!$X$58</f>
        <v>0</v>
      </c>
      <c r="Y47" s="25">
        <f>'TUSD BE'!$Y$47*'TUSD BF'!$Y$58</f>
        <v>0</v>
      </c>
      <c r="Z47" s="25">
        <f>'TUSD BE'!$Z$47*'TUSD BF'!$Z$58</f>
        <v>0</v>
      </c>
      <c r="AA47" s="25">
        <f>'TUSD BE'!$AA$47*'TUSD BF'!$AA$58</f>
        <v>0</v>
      </c>
      <c r="AB47" s="25">
        <f>SUM($U$47:$AA$47)</f>
        <v>0</v>
      </c>
      <c r="AC47" s="25">
        <f>'TUSD BE'!$AC$47*'TUSD BF'!$AC$58</f>
        <v>0</v>
      </c>
      <c r="AD47" s="25">
        <f>SUM($AC$47:$AC$47)</f>
        <v>0</v>
      </c>
      <c r="AE47" s="25">
        <f ca="1">$AO$47*$AO$55</f>
        <v>0</v>
      </c>
      <c r="AF47" s="25">
        <f ca="1">$AP$47*$AP$55</f>
        <v>0</v>
      </c>
      <c r="AG47" s="25">
        <f ca="1">SUM($AE$47:$AF$47)</f>
        <v>0</v>
      </c>
      <c r="AH47" s="25">
        <f>'TUSD BE'!$AH$47*'TUSD BF'!$AH$58</f>
        <v>0</v>
      </c>
      <c r="AI47" s="25">
        <f>'TUSD BE'!$AI$47*'TUSD BF'!$AI$58</f>
        <v>0</v>
      </c>
      <c r="AJ47" s="25">
        <f ca="1">'TUSD BE'!$AJ$47*'TUSD BF'!$AJ$58</f>
        <v>0</v>
      </c>
      <c r="AK47" s="25">
        <f ca="1">'TUSD BE'!$AK$47*'TUSD BF'!$AK$58</f>
        <v>0</v>
      </c>
      <c r="AL47" s="25">
        <f ca="1">SUM($AH$47:$AK$47)</f>
        <v>0</v>
      </c>
      <c r="AM47" s="25">
        <f ca="1">SUMIF($L$4:$AL$4,"SUBTOTAL",$L$47:$AL$47)</f>
        <v>0</v>
      </c>
      <c r="AO47" s="30">
        <f ca="1">+'TUSD BE'!$T$47+'TUSD BE'!$AB$47+'TUSD BE'!$AD$47+'TUSD BE'!$AL$47</f>
        <v>525.66962936586333</v>
      </c>
      <c r="AP47" s="30">
        <f ca="1">+'TUSD BE'!$T$47+'TUSD BE'!$AB$47+'TUSD BE'!$AD$47+'TUSD BE'!$AL$47</f>
        <v>525.66962936586333</v>
      </c>
    </row>
    <row r="48" spans="1:42" ht="11.25" customHeight="1" x14ac:dyDescent="0.25">
      <c r="A48" s="132"/>
      <c r="B48" s="28" t="s">
        <v>23</v>
      </c>
      <c r="C48" s="28" t="s">
        <v>25</v>
      </c>
      <c r="D48" s="28" t="s">
        <v>25</v>
      </c>
      <c r="E48" s="28" t="s">
        <v>25</v>
      </c>
      <c r="F48" s="28" t="s">
        <v>25</v>
      </c>
      <c r="G48" s="21" t="s">
        <v>73</v>
      </c>
      <c r="H48" s="21" t="s">
        <v>69</v>
      </c>
      <c r="I48" s="21">
        <f>'MERCADO TUSD'!$U$45</f>
        <v>1791.422</v>
      </c>
      <c r="J48" s="17"/>
      <c r="L48" s="25">
        <f>'TUSD BE'!$L$48*'TUSD BF'!$L$58</f>
        <v>0</v>
      </c>
      <c r="M48" s="25">
        <f>'TUSD BE'!$M$48*'TUSD BF'!$M$58</f>
        <v>0</v>
      </c>
      <c r="N48" s="25">
        <f ca="1">'TUSD BE'!$N$48*'TUSD BF'!$N$58</f>
        <v>0</v>
      </c>
      <c r="O48" s="25">
        <f>'TUSD BE'!$O$48*'TUSD BF'!$O$58</f>
        <v>0</v>
      </c>
      <c r="P48" s="25">
        <f>'TUSD BE'!$P$48*'TUSD BF'!$P$58</f>
        <v>0</v>
      </c>
      <c r="Q48" s="25">
        <f>'TUSD BE'!$Q$48*'TUSD BF'!$Q$58</f>
        <v>0</v>
      </c>
      <c r="R48" s="25">
        <f>'TUSD BE'!$R$48*'TUSD BF'!$R$58</f>
        <v>0</v>
      </c>
      <c r="S48" s="25">
        <f>'TUSD BE'!$R$48*'TUSD BF'!$S$58</f>
        <v>0</v>
      </c>
      <c r="T48" s="25">
        <f ca="1">SUM($L$48:$S$48)</f>
        <v>0</v>
      </c>
      <c r="U48" s="25">
        <f>'TUSD BE'!$U$48*'TUSD BF'!$U$58</f>
        <v>0</v>
      </c>
      <c r="V48" s="25">
        <f>'TUSD BE'!$V$48*'TUSD BF'!$V$58</f>
        <v>0</v>
      </c>
      <c r="W48" s="25">
        <f>'TUSD BE'!$W$48*'TUSD BF'!$W$58</f>
        <v>0</v>
      </c>
      <c r="X48" s="25">
        <f>'TUSD BE'!$X$48*'TUSD BF'!$X$58</f>
        <v>0</v>
      </c>
      <c r="Y48" s="25">
        <f>'TUSD BE'!$Y$48*'TUSD BF'!$Y$58</f>
        <v>0</v>
      </c>
      <c r="Z48" s="25">
        <f>'TUSD BE'!$Z$48*'TUSD BF'!$Z$58</f>
        <v>0</v>
      </c>
      <c r="AA48" s="25">
        <f>'TUSD BE'!$AA$48*'TUSD BF'!$AA$58</f>
        <v>0</v>
      </c>
      <c r="AB48" s="25">
        <f>SUM($U$48:$AA$48)</f>
        <v>0</v>
      </c>
      <c r="AC48" s="25">
        <f>'TUSD BE'!$AC$48*'TUSD BF'!$AC$58</f>
        <v>0</v>
      </c>
      <c r="AD48" s="25">
        <f>SUM($AC$48:$AC$48)</f>
        <v>0</v>
      </c>
      <c r="AE48" s="25">
        <f ca="1">$AO$48*$AO$55</f>
        <v>0</v>
      </c>
      <c r="AF48" s="25">
        <f ca="1">$AP$48*$AP$55</f>
        <v>0</v>
      </c>
      <c r="AG48" s="25">
        <f ca="1">SUM($AE$48:$AF$48)</f>
        <v>0</v>
      </c>
      <c r="AH48" s="25">
        <f>'TUSD BE'!$AH$48*'TUSD BF'!$AH$58</f>
        <v>0</v>
      </c>
      <c r="AI48" s="25">
        <f>'TUSD BE'!$AI$48*'TUSD BF'!$AI$58</f>
        <v>0</v>
      </c>
      <c r="AJ48" s="25">
        <f ca="1">'TUSD BE'!$AJ$48*'TUSD BF'!$AJ$58</f>
        <v>0</v>
      </c>
      <c r="AK48" s="25">
        <f ca="1">'TUSD BE'!$AK$48*'TUSD BF'!$AK$58</f>
        <v>0</v>
      </c>
      <c r="AL48" s="25">
        <f ca="1">SUM($AH$48:$AK$48)</f>
        <v>0</v>
      </c>
      <c r="AM48" s="25">
        <f ca="1">SUMIF($L$4:$AL$4,"SUBTOTAL",$L$48:$AL$48)</f>
        <v>0</v>
      </c>
      <c r="AO48" s="30">
        <f ca="1">+'TUSD BE'!$T$48+'TUSD BE'!$AB$48+'TUSD BE'!$AD$48+'TUSD BE'!$AL$48</f>
        <v>756.07480965419325</v>
      </c>
      <c r="AP48" s="30">
        <f ca="1">+'TUSD BE'!$T$48+'TUSD BE'!$AB$48+'TUSD BE'!$AD$48+'TUSD BE'!$AL$48</f>
        <v>756.07480965419325</v>
      </c>
    </row>
    <row r="49" spans="1:42" ht="11.25" customHeight="1" x14ac:dyDescent="0.25">
      <c r="A49" s="132"/>
      <c r="B49" s="28" t="s">
        <v>85</v>
      </c>
      <c r="C49" s="28" t="s">
        <v>25</v>
      </c>
      <c r="D49" s="28" t="s">
        <v>25</v>
      </c>
      <c r="E49" s="28" t="s">
        <v>25</v>
      </c>
      <c r="F49" s="28" t="s">
        <v>25</v>
      </c>
      <c r="G49" s="21" t="s">
        <v>73</v>
      </c>
      <c r="H49" s="21" t="s">
        <v>69</v>
      </c>
      <c r="I49" s="21">
        <f>'MERCADO TUSD'!$U$46</f>
        <v>0</v>
      </c>
      <c r="J49" s="17"/>
      <c r="L49" s="25">
        <f>'TUSD BE'!$L$49*'TUSD BF'!$L$58</f>
        <v>0</v>
      </c>
      <c r="M49" s="25">
        <f>'TUSD BE'!$M$49*'TUSD BF'!$M$58</f>
        <v>0</v>
      </c>
      <c r="N49" s="25">
        <f ca="1">'TUSD BE'!$N$49*'TUSD BF'!$N$58</f>
        <v>0</v>
      </c>
      <c r="O49" s="25">
        <f>'TUSD BE'!$O$49*'TUSD BF'!$O$58</f>
        <v>0</v>
      </c>
      <c r="P49" s="25">
        <f>'TUSD BE'!$P$49*'TUSD BF'!$P$58</f>
        <v>0</v>
      </c>
      <c r="Q49" s="25">
        <f>'TUSD BE'!$Q$49*'TUSD BF'!$Q$58</f>
        <v>0</v>
      </c>
      <c r="R49" s="25">
        <f>'TUSD BE'!$R$49*'TUSD BF'!$R$58</f>
        <v>0</v>
      </c>
      <c r="S49" s="25">
        <f>'TUSD BE'!$R$49*'TUSD BF'!$S$58</f>
        <v>0</v>
      </c>
      <c r="T49" s="25">
        <f ca="1">SUM($L$49:$S$49)</f>
        <v>0</v>
      </c>
      <c r="U49" s="25">
        <f>'TUSD BE'!$U$49*'TUSD BF'!$U$58</f>
        <v>0</v>
      </c>
      <c r="V49" s="25">
        <f>'TUSD BE'!$V$49*'TUSD BF'!$V$58</f>
        <v>0</v>
      </c>
      <c r="W49" s="25">
        <f>'TUSD BE'!$W$49*'TUSD BF'!$W$58</f>
        <v>0</v>
      </c>
      <c r="X49" s="25">
        <f>'TUSD BE'!$X$49*'TUSD BF'!$X$58</f>
        <v>0</v>
      </c>
      <c r="Y49" s="25">
        <f>'TUSD BE'!$Y$49*'TUSD BF'!$Y$58</f>
        <v>0</v>
      </c>
      <c r="Z49" s="25">
        <f>'TUSD BE'!$Z$49*'TUSD BF'!$Z$58</f>
        <v>0</v>
      </c>
      <c r="AA49" s="25">
        <f>'TUSD BE'!$AA$49*'TUSD BF'!$AA$58</f>
        <v>0</v>
      </c>
      <c r="AB49" s="25">
        <f>SUM($U$49:$AA$49)</f>
        <v>0</v>
      </c>
      <c r="AC49" s="25">
        <f>'TUSD BE'!$AC$49*'TUSD BF'!$AC$58</f>
        <v>0</v>
      </c>
      <c r="AD49" s="25">
        <f>SUM($AC$49:$AC$49)</f>
        <v>0</v>
      </c>
      <c r="AE49" s="25">
        <f ca="1">$AO$49*$AO$55</f>
        <v>0</v>
      </c>
      <c r="AF49" s="25">
        <f ca="1">$AP$49*$AP$55</f>
        <v>0</v>
      </c>
      <c r="AG49" s="25">
        <f ca="1">SUM($AE$49:$AF$49)</f>
        <v>0</v>
      </c>
      <c r="AH49" s="25">
        <f>'TUSD BE'!$AH$49*'TUSD BF'!$AH$58</f>
        <v>0</v>
      </c>
      <c r="AI49" s="25">
        <f>'TUSD BE'!$AI$49*'TUSD BF'!$AI$58</f>
        <v>0</v>
      </c>
      <c r="AJ49" s="25">
        <f ca="1">'TUSD BE'!$AJ$49*'TUSD BF'!$AJ$58</f>
        <v>0</v>
      </c>
      <c r="AK49" s="25">
        <f ca="1">'TUSD BE'!$AK$49*'TUSD BF'!$AK$58</f>
        <v>0</v>
      </c>
      <c r="AL49" s="25">
        <f ca="1">SUM($AH$49:$AK$49)</f>
        <v>0</v>
      </c>
      <c r="AM49" s="25">
        <f ca="1">SUMIF($L$4:$AL$4,"SUBTOTAL",$L$49:$AL$49)</f>
        <v>0</v>
      </c>
      <c r="AO49" s="30">
        <f ca="1">+'TUSD BE'!$T$49+'TUSD BE'!$AB$49+'TUSD BE'!$AD$49+'TUSD BE'!$AL$49</f>
        <v>756.07480965419325</v>
      </c>
      <c r="AP49" s="30">
        <f ca="1">+'TUSD BE'!$T$49+'TUSD BE'!$AB$49+'TUSD BE'!$AD$49+'TUSD BE'!$AL$49</f>
        <v>756.07480965419325</v>
      </c>
    </row>
    <row r="50" spans="1:42" ht="11.25" customHeight="1" x14ac:dyDescent="0.25">
      <c r="A50" s="132" t="s">
        <v>44</v>
      </c>
      <c r="B50" s="132" t="s">
        <v>23</v>
      </c>
      <c r="C50" s="132" t="s">
        <v>45</v>
      </c>
      <c r="D50" s="28" t="s">
        <v>46</v>
      </c>
      <c r="E50" s="28" t="s">
        <v>25</v>
      </c>
      <c r="F50" s="28" t="s">
        <v>25</v>
      </c>
      <c r="G50" s="21" t="s">
        <v>73</v>
      </c>
      <c r="H50" s="21" t="s">
        <v>69</v>
      </c>
      <c r="I50" s="21">
        <f>'MERCADO TUSD'!$U$47</f>
        <v>1518.0680000000002</v>
      </c>
      <c r="J50" s="17"/>
      <c r="L50" s="25">
        <f>'TUSD BE'!$L$50*'TUSD BF'!$L$58</f>
        <v>0</v>
      </c>
      <c r="M50" s="25">
        <f>'TUSD BE'!$M$50*'TUSD BF'!$M$58</f>
        <v>0</v>
      </c>
      <c r="N50" s="25">
        <f ca="1">'TUSD BE'!$N$50*'TUSD BF'!$N$58</f>
        <v>0</v>
      </c>
      <c r="O50" s="25">
        <f>'TUSD BE'!$O$50*'TUSD BF'!$O$58</f>
        <v>0</v>
      </c>
      <c r="P50" s="25">
        <f>'TUSD BE'!$P$50*'TUSD BF'!$P$58</f>
        <v>0</v>
      </c>
      <c r="Q50" s="25">
        <f>'TUSD BE'!$Q$50*'TUSD BF'!$Q$58</f>
        <v>0</v>
      </c>
      <c r="R50" s="25">
        <f>'TUSD BE'!$R$50*'TUSD BF'!$R$58</f>
        <v>0</v>
      </c>
      <c r="S50" s="25">
        <f>'TUSD BE'!$R$50*'TUSD BF'!$S$58</f>
        <v>0</v>
      </c>
      <c r="T50" s="25">
        <f ca="1">SUM($L$50:$S$50)</f>
        <v>0</v>
      </c>
      <c r="U50" s="25">
        <f>'TUSD BE'!$U$50*'TUSD BF'!$U$58</f>
        <v>0</v>
      </c>
      <c r="V50" s="25">
        <f>'TUSD BE'!$V$50*'TUSD BF'!$V$58</f>
        <v>0</v>
      </c>
      <c r="W50" s="25">
        <f>'TUSD BE'!$W$50*'TUSD BF'!$W$58</f>
        <v>0</v>
      </c>
      <c r="X50" s="25">
        <f>'TUSD BE'!$X$50*'TUSD BF'!$X$58</f>
        <v>0</v>
      </c>
      <c r="Y50" s="25">
        <f>'TUSD BE'!$Y$50*'TUSD BF'!$Y$58</f>
        <v>0</v>
      </c>
      <c r="Z50" s="25">
        <f>'TUSD BE'!$Z$50*'TUSD BF'!$Z$58</f>
        <v>0</v>
      </c>
      <c r="AA50" s="25">
        <f>'TUSD BE'!$AA$50*'TUSD BF'!$AA$58</f>
        <v>0</v>
      </c>
      <c r="AB50" s="25">
        <f>SUM($U$50:$AA$50)</f>
        <v>0</v>
      </c>
      <c r="AC50" s="25">
        <f>'TUSD BE'!$AC$50*'TUSD BF'!$AC$58</f>
        <v>0</v>
      </c>
      <c r="AD50" s="25">
        <f>SUM($AC$50:$AC$50)</f>
        <v>0</v>
      </c>
      <c r="AE50" s="25">
        <f ca="1">$AO$50*$AO$55</f>
        <v>0</v>
      </c>
      <c r="AF50" s="25">
        <f ca="1">$AP$50*$AP$55</f>
        <v>0</v>
      </c>
      <c r="AG50" s="25">
        <f ca="1">SUM($AE$50:$AF$50)</f>
        <v>0</v>
      </c>
      <c r="AH50" s="25">
        <f>'TUSD BE'!$AH$50*'TUSD BF'!$AH$58</f>
        <v>0</v>
      </c>
      <c r="AI50" s="25">
        <f>'TUSD BE'!$AI$50*'TUSD BF'!$AI$58</f>
        <v>0</v>
      </c>
      <c r="AJ50" s="25">
        <f ca="1">'TUSD BE'!$AJ$50*'TUSD BF'!$AJ$58</f>
        <v>0</v>
      </c>
      <c r="AK50" s="25">
        <f ca="1">'TUSD BE'!$AK$50*'TUSD BF'!$AK$58</f>
        <v>0</v>
      </c>
      <c r="AL50" s="25">
        <f ca="1">SUM($AH$50:$AK$50)</f>
        <v>0</v>
      </c>
      <c r="AM50" s="25">
        <f ca="1">SUMIF($L$4:$AL$4,"SUBTOTAL",$L$50:$AL$50)</f>
        <v>0</v>
      </c>
      <c r="AO50" s="30">
        <f ca="1">+'TUSD BE'!$T$50+'TUSD BE'!$AB$50+'TUSD BE'!$AD$50+'TUSD BE'!$AL$50</f>
        <v>415.84114530980639</v>
      </c>
      <c r="AP50" s="30">
        <f ca="1">+'TUSD BE'!$T$50+'TUSD BE'!$AB$50+'TUSD BE'!$AD$50+'TUSD BE'!$AL$50</f>
        <v>415.84114530980639</v>
      </c>
    </row>
    <row r="51" spans="1:42" ht="11.25" customHeight="1" x14ac:dyDescent="0.25">
      <c r="A51" s="132"/>
      <c r="B51" s="132"/>
      <c r="C51" s="132"/>
      <c r="D51" s="21" t="s">
        <v>88</v>
      </c>
      <c r="E51" s="21" t="s">
        <v>25</v>
      </c>
      <c r="F51" s="21" t="s">
        <v>25</v>
      </c>
      <c r="G51" s="21" t="s">
        <v>73</v>
      </c>
      <c r="H51" s="21" t="s">
        <v>69</v>
      </c>
      <c r="I51" s="21">
        <f>'MERCADO TUSD'!$U$48</f>
        <v>0</v>
      </c>
      <c r="J51" s="17"/>
      <c r="L51" s="25">
        <f>'TUSD BE'!$L$51*'TUSD BF'!$L$58</f>
        <v>0</v>
      </c>
      <c r="M51" s="25">
        <f>'TUSD BE'!$M$51*'TUSD BF'!$M$58</f>
        <v>0</v>
      </c>
      <c r="N51" s="25">
        <f ca="1">'TUSD BE'!$N$51*'TUSD BF'!$N$58</f>
        <v>0</v>
      </c>
      <c r="O51" s="25">
        <f>'TUSD BE'!$O$51*'TUSD BF'!$O$58</f>
        <v>0</v>
      </c>
      <c r="P51" s="25">
        <f>'TUSD BE'!$P$51*'TUSD BF'!$P$58</f>
        <v>0</v>
      </c>
      <c r="Q51" s="25">
        <f>'TUSD BE'!$Q$51*'TUSD BF'!$Q$58</f>
        <v>0</v>
      </c>
      <c r="R51" s="25">
        <f>'TUSD BE'!$R$51*'TUSD BF'!$R$58</f>
        <v>0</v>
      </c>
      <c r="S51" s="25">
        <f>'TUSD BE'!$R$51*'TUSD BF'!$S$58</f>
        <v>0</v>
      </c>
      <c r="T51" s="25">
        <f ca="1">SUM($L$51:$S$51)</f>
        <v>0</v>
      </c>
      <c r="U51" s="25">
        <f>'TUSD BE'!$U$51*'TUSD BF'!$U$58</f>
        <v>0</v>
      </c>
      <c r="V51" s="25">
        <f>'TUSD BE'!$V$51*'TUSD BF'!$V$58</f>
        <v>0</v>
      </c>
      <c r="W51" s="25">
        <f>'TUSD BE'!$W$51*'TUSD BF'!$W$58</f>
        <v>0</v>
      </c>
      <c r="X51" s="25">
        <f>'TUSD BE'!$X$51*'TUSD BF'!$X$58</f>
        <v>0</v>
      </c>
      <c r="Y51" s="25">
        <f>'TUSD BE'!$Y$51*'TUSD BF'!$Y$58</f>
        <v>0</v>
      </c>
      <c r="Z51" s="25">
        <f>'TUSD BE'!$Z$51*'TUSD BF'!$Z$58</f>
        <v>0</v>
      </c>
      <c r="AA51" s="25">
        <f>'TUSD BE'!$AA$51*'TUSD BF'!$AA$58</f>
        <v>0</v>
      </c>
      <c r="AB51" s="25">
        <f>SUM($U$51:$AA$51)</f>
        <v>0</v>
      </c>
      <c r="AC51" s="25">
        <f>'TUSD BE'!$AC$51*'TUSD BF'!$AC$58</f>
        <v>0</v>
      </c>
      <c r="AD51" s="25">
        <f>SUM($AC$51:$AC$51)</f>
        <v>0</v>
      </c>
      <c r="AE51" s="25">
        <f ca="1">$AO$51*$AO$55</f>
        <v>0</v>
      </c>
      <c r="AF51" s="25">
        <f ca="1">$AP$51*$AP$55</f>
        <v>0</v>
      </c>
      <c r="AG51" s="25">
        <f ca="1">SUM($AE$51:$AF$51)</f>
        <v>0</v>
      </c>
      <c r="AH51" s="25">
        <f>'TUSD BE'!$AH$51*'TUSD BF'!$AH$58</f>
        <v>0</v>
      </c>
      <c r="AI51" s="25">
        <f>'TUSD BE'!$AI$51*'TUSD BF'!$AI$58</f>
        <v>0</v>
      </c>
      <c r="AJ51" s="25">
        <f ca="1">'TUSD BE'!$AJ$51*'TUSD BF'!$AJ$58</f>
        <v>0</v>
      </c>
      <c r="AK51" s="25">
        <f ca="1">'TUSD BE'!$AK$51*'TUSD BF'!$AK$58</f>
        <v>0</v>
      </c>
      <c r="AL51" s="25">
        <f ca="1">SUM($AH$51:$AK$51)</f>
        <v>0</v>
      </c>
      <c r="AM51" s="25">
        <f ca="1">SUMIF($L$4:$AL$4,"SUBTOTAL",$L$51:$AL$51)</f>
        <v>0</v>
      </c>
      <c r="AO51" s="30">
        <f ca="1">+'TUSD BE'!$T$51+'TUSD BE'!$AB$51+'TUSD BE'!$AD$51+'TUSD BE'!$AL$51</f>
        <v>453.64488579251599</v>
      </c>
      <c r="AP51" s="30">
        <f ca="1">+'TUSD BE'!$T$51+'TUSD BE'!$AB$51+'TUSD BE'!$AD$51+'TUSD BE'!$AL$51</f>
        <v>453.64488579251599</v>
      </c>
    </row>
    <row r="53" spans="1:42" ht="11.25" customHeight="1" x14ac:dyDescent="0.25">
      <c r="K53" s="27" t="s">
        <v>617</v>
      </c>
      <c r="L53" s="25">
        <f>SUMPRODUCT($I$5:$I51,$L$5:$L51)</f>
        <v>0</v>
      </c>
      <c r="M53" s="25">
        <f>SUMPRODUCT($I$5:$I51,$M$5:$M51)</f>
        <v>0</v>
      </c>
      <c r="N53" s="25">
        <f ca="1">SUMPRODUCT($I$5:$I51,$N$5:$N51)</f>
        <v>0</v>
      </c>
      <c r="O53" s="25">
        <f>SUMPRODUCT($I$5:$I51,$O$5:$O51)</f>
        <v>0</v>
      </c>
      <c r="P53" s="25">
        <f>SUMPRODUCT($I$5:$I51,$P$5:$P51)</f>
        <v>0</v>
      </c>
      <c r="Q53" s="25">
        <f>SUMPRODUCT($I$5:$I51,$Q$5:$Q51)</f>
        <v>0</v>
      </c>
      <c r="R53" s="25">
        <f>SUMPRODUCT($I$5:$I51,$R$5:$R51)</f>
        <v>0</v>
      </c>
      <c r="S53" s="25">
        <f>SUMPRODUCT($I$5:$I51,$S$5:$S51)</f>
        <v>0</v>
      </c>
      <c r="T53" s="25">
        <f ca="1">SUMPRODUCT($I$5:$I51,$T$5:$T51)</f>
        <v>0</v>
      </c>
      <c r="U53" s="25">
        <f>SUMPRODUCT($I$5:$I51,$U$5:$U51)</f>
        <v>0</v>
      </c>
      <c r="V53" s="25">
        <f>SUMPRODUCT($I$5:$I51,$V$5:$V51)</f>
        <v>0</v>
      </c>
      <c r="W53" s="25">
        <f>SUMPRODUCT($I$5:$I51,$W$5:$W51)</f>
        <v>0</v>
      </c>
      <c r="X53" s="25">
        <f>SUMPRODUCT($I$5:$I51,$X$5:$X51)</f>
        <v>0</v>
      </c>
      <c r="Y53" s="25">
        <f>SUMPRODUCT($I$5:$I51,$Y$5:$Y51)</f>
        <v>0</v>
      </c>
      <c r="Z53" s="25">
        <f>SUMPRODUCT($I$5:$I51,$Z$5:$Z51)</f>
        <v>0</v>
      </c>
      <c r="AA53" s="25">
        <f>SUMPRODUCT($I$5:$I51,$AA$5:$AA51)</f>
        <v>0</v>
      </c>
      <c r="AB53" s="25">
        <f>SUMPRODUCT($I$5:$I51,$AB$5:$AB51)</f>
        <v>0</v>
      </c>
      <c r="AC53" s="25">
        <f>SUMPRODUCT($I$5:$I51,$AC$5:$AC51)</f>
        <v>0</v>
      </c>
      <c r="AD53" s="25">
        <f>SUMPRODUCT($I$5:$I51,$AD$5:$AD51)</f>
        <v>0</v>
      </c>
      <c r="AE53" s="25">
        <f ca="1">SUMPRODUCT($I$5:$I51,$AE$5:$AE51)</f>
        <v>0</v>
      </c>
      <c r="AF53" s="25">
        <f ca="1">SUMPRODUCT($I$5:$I51,$AF$5:$AF51)</f>
        <v>0</v>
      </c>
      <c r="AG53" s="25">
        <f ca="1">SUMPRODUCT($I$5:$I51,$AG$5:$AG51)</f>
        <v>0</v>
      </c>
      <c r="AH53" s="25">
        <f>SUMPRODUCT($I$5:$I51,$AH$5:$AH51)</f>
        <v>0</v>
      </c>
      <c r="AI53" s="25">
        <f>SUMPRODUCT($I$5:$I51,$AI$5:$AI51)</f>
        <v>0</v>
      </c>
      <c r="AJ53" s="25">
        <f ca="1">SUMPRODUCT($I$5:$I51,$AJ$5:$AJ51)</f>
        <v>0</v>
      </c>
      <c r="AK53" s="25">
        <f ca="1">SUMPRODUCT($I$5:$I51,$AK$5:$AK51)</f>
        <v>0</v>
      </c>
      <c r="AL53" s="25">
        <f ca="1">SUMPRODUCT($I$5:$I51,$AL$5:$AL51)</f>
        <v>0</v>
      </c>
      <c r="AM53" s="25">
        <f ca="1">SUMPRODUCT($I$5:$I51,$AM$5:$AM51)</f>
        <v>0</v>
      </c>
      <c r="AO53" s="21">
        <f ca="1">SUMPRODUCT($I$5:$I51,$AO$5:$AO51)</f>
        <v>7702277.9325667415</v>
      </c>
      <c r="AP53" s="21">
        <f ca="1">SUMPRODUCT($I$5:$I51,$AP$5:$AP51)</f>
        <v>7702277.9325667415</v>
      </c>
    </row>
    <row r="54" spans="1:42" ht="11.25" customHeight="1" x14ac:dyDescent="0.25">
      <c r="K54" s="27" t="s">
        <v>549</v>
      </c>
      <c r="L54" s="25">
        <f>'TR TUSD'!$L$56</f>
        <v>0</v>
      </c>
      <c r="M54" s="25">
        <f>'TR TUSD'!$M$56</f>
        <v>22294.131810006256</v>
      </c>
      <c r="N54" s="25">
        <f>'TR TUSD'!$N$56</f>
        <v>0</v>
      </c>
      <c r="O54" s="25">
        <f>'TR TUSD'!$O$56</f>
        <v>0</v>
      </c>
      <c r="P54" s="25">
        <f>'TR TUSD'!$P$56</f>
        <v>0</v>
      </c>
      <c r="Q54" s="25">
        <f>'TR TUSD'!$Q$56</f>
        <v>326721.76126000017</v>
      </c>
      <c r="R54" s="25">
        <f>'TR TUSD'!$R$56</f>
        <v>123162.64722000006</v>
      </c>
      <c r="S54" s="25">
        <f>'TR TUSD'!$S$56</f>
        <v>0</v>
      </c>
      <c r="T54" s="25">
        <f>'TR TUSD'!$T$56</f>
        <v>472178.54029000649</v>
      </c>
      <c r="U54" s="25">
        <f>'TR TUSD'!$U$56</f>
        <v>0</v>
      </c>
      <c r="V54" s="25">
        <f>'TR TUSD'!$V$56</f>
        <v>0</v>
      </c>
      <c r="W54" s="25">
        <f>'TR TUSD'!$W$56</f>
        <v>0</v>
      </c>
      <c r="X54" s="25">
        <f>'TR TUSD'!$X$56</f>
        <v>0</v>
      </c>
      <c r="Y54" s="25">
        <f>'TR TUSD'!$Y$56</f>
        <v>1447629.078219</v>
      </c>
      <c r="Z54" s="25">
        <f>'TR TUSD'!$Z$56</f>
        <v>0</v>
      </c>
      <c r="AA54" s="25">
        <f>'TR TUSD'!$AA$56</f>
        <v>0</v>
      </c>
      <c r="AB54" s="25">
        <f>'TR TUSD'!$AB$56</f>
        <v>1447629.078219</v>
      </c>
      <c r="AC54" s="25">
        <f>'TR TUSD'!$AC$56</f>
        <v>5374442.8200000003</v>
      </c>
      <c r="AD54" s="25">
        <f>'TR TUSD'!$AD$56</f>
        <v>5374442.8200000003</v>
      </c>
      <c r="AE54" s="25">
        <f>'TR TUSD'!$AE$56</f>
        <v>0</v>
      </c>
      <c r="AF54" s="25">
        <f>'TR TUSD'!$AF$56</f>
        <v>0</v>
      </c>
      <c r="AG54" s="25">
        <f>'TR TUSD'!$AG$56</f>
        <v>0</v>
      </c>
      <c r="AH54" s="25">
        <f>'TR TUSD'!$AH$56</f>
        <v>408027.49405773473</v>
      </c>
      <c r="AI54" s="25">
        <f>'TR TUSD'!$AI$56</f>
        <v>0</v>
      </c>
      <c r="AJ54" s="25">
        <f>'TR TUSD'!$AJ$56</f>
        <v>0</v>
      </c>
      <c r="AK54" s="25">
        <f>'TR TUSD'!$AK$56</f>
        <v>0</v>
      </c>
      <c r="AL54" s="25">
        <f>'TR TUSD'!$AL$56</f>
        <v>408027.49405773473</v>
      </c>
      <c r="AM54" s="25">
        <f>CUSTOS!$D$29</f>
        <v>7702277.9325667415</v>
      </c>
      <c r="AO54" s="21">
        <f>$AE$56</f>
        <v>0</v>
      </c>
      <c r="AP54" s="21">
        <f>$AF$56</f>
        <v>0</v>
      </c>
    </row>
    <row r="55" spans="1:42" ht="11.25" customHeight="1" x14ac:dyDescent="0.25">
      <c r="K55" s="27" t="s">
        <v>550</v>
      </c>
      <c r="L55" s="25">
        <f>CUSTOS!$E$2</f>
        <v>0</v>
      </c>
      <c r="M55" s="25">
        <f>CUSTOS!$E$3</f>
        <v>-878.65841579449477</v>
      </c>
      <c r="N55" s="25">
        <f>CUSTOS!$E$4</f>
        <v>0</v>
      </c>
      <c r="O55" s="25">
        <f>CUSTOS!$E$5</f>
        <v>0</v>
      </c>
      <c r="P55" s="25">
        <f>CUSTOS!$E$6</f>
        <v>0</v>
      </c>
      <c r="Q55" s="25">
        <f>CUSTOS!$E$7</f>
        <v>-2691.1137489444864</v>
      </c>
      <c r="R55" s="25">
        <f>CUSTOS!$E$8</f>
        <v>-1175.0322466898426</v>
      </c>
      <c r="S55" s="25">
        <f>CUSTOS!$E$9</f>
        <v>0</v>
      </c>
      <c r="T55" s="25">
        <f>CUSTOS!$E$10</f>
        <v>-4744.8044114288241</v>
      </c>
      <c r="U55" s="25">
        <f>CUSTOS!$E$11</f>
        <v>0</v>
      </c>
      <c r="V55" s="25">
        <f>CUSTOS!$E$12</f>
        <v>0</v>
      </c>
      <c r="W55" s="25">
        <f>CUSTOS!$E$13</f>
        <v>0</v>
      </c>
      <c r="X55" s="25">
        <f>CUSTOS!$E$14</f>
        <v>0</v>
      </c>
      <c r="Y55" s="25">
        <f>CUSTOS!$E$15</f>
        <v>53063.032490582591</v>
      </c>
      <c r="Z55" s="25">
        <f>CUSTOS!$E$16</f>
        <v>0</v>
      </c>
      <c r="AA55" s="25">
        <f>CUSTOS!$E$17</f>
        <v>0</v>
      </c>
      <c r="AB55" s="25">
        <f>CUSTOS!$E$18</f>
        <v>53063.032490582591</v>
      </c>
      <c r="AC55" s="25">
        <f>CUSTOS!$E$19</f>
        <v>-1029915.1601314496</v>
      </c>
      <c r="AD55" s="25">
        <f>CUSTOS!$E$20</f>
        <v>-1029915.1601314496</v>
      </c>
      <c r="AE55" s="25">
        <f>CUSTOS!$E$21</f>
        <v>-9235.4301805769501</v>
      </c>
      <c r="AF55" s="25">
        <f>CUSTOS!$E$22</f>
        <v>0</v>
      </c>
      <c r="AG55" s="25">
        <f>CUSTOS!$E$23</f>
        <v>-9235.4301805769501</v>
      </c>
      <c r="AH55" s="25">
        <f>CUSTOS!$E$24</f>
        <v>-19646.636785082319</v>
      </c>
      <c r="AI55" s="25">
        <f>CUSTOS!$E$25</f>
        <v>0</v>
      </c>
      <c r="AJ55" s="25">
        <f>CUSTOS!$E$26</f>
        <v>0</v>
      </c>
      <c r="AK55" s="25">
        <f>CUSTOS!$E$27</f>
        <v>0</v>
      </c>
      <c r="AL55" s="25">
        <f>CUSTOS!$E$28</f>
        <v>-19646.636785082319</v>
      </c>
      <c r="AM55" s="25">
        <f>CUSTOS!$E$29</f>
        <v>-1010478.999017955</v>
      </c>
      <c r="AO55" s="21">
        <f ca="1">IF(AO53&lt;&gt;0,AO54/AO53,0)</f>
        <v>0</v>
      </c>
      <c r="AP55" s="21">
        <f ca="1">IF(AP53&lt;&gt;0,AP54/AP53,0)</f>
        <v>0</v>
      </c>
    </row>
    <row r="56" spans="1:42" ht="11.25" customHeight="1" x14ac:dyDescent="0.25">
      <c r="K56" s="27" t="s">
        <v>551</v>
      </c>
      <c r="L56" s="25">
        <f>CUSTOS!$F$2</f>
        <v>0</v>
      </c>
      <c r="M56" s="25">
        <f>CUSTOS!$F$3</f>
        <v>0</v>
      </c>
      <c r="N56" s="25">
        <f>CUSTOS!$F$4</f>
        <v>0</v>
      </c>
      <c r="O56" s="25">
        <f>CUSTOS!$F$5</f>
        <v>0</v>
      </c>
      <c r="P56" s="25">
        <f>CUSTOS!$F$6</f>
        <v>0</v>
      </c>
      <c r="Q56" s="25">
        <f>CUSTOS!$F$7</f>
        <v>0</v>
      </c>
      <c r="R56" s="25">
        <f>CUSTOS!$F$8</f>
        <v>0</v>
      </c>
      <c r="S56" s="25">
        <f>CUSTOS!$F$9</f>
        <v>0</v>
      </c>
      <c r="T56" s="25">
        <f>CUSTOS!$F$10</f>
        <v>0</v>
      </c>
      <c r="U56" s="25">
        <f>CUSTOS!$F$11</f>
        <v>0</v>
      </c>
      <c r="V56" s="25">
        <f>CUSTOS!$F$12</f>
        <v>0</v>
      </c>
      <c r="W56" s="25">
        <f>CUSTOS!$F$13</f>
        <v>0</v>
      </c>
      <c r="X56" s="25">
        <f>CUSTOS!$F$14</f>
        <v>0</v>
      </c>
      <c r="Y56" s="25">
        <f>CUSTOS!$F$15</f>
        <v>0</v>
      </c>
      <c r="Z56" s="25">
        <f>CUSTOS!$F$16</f>
        <v>0</v>
      </c>
      <c r="AA56" s="25">
        <f>CUSTOS!$F$17</f>
        <v>0</v>
      </c>
      <c r="AB56" s="25">
        <f>CUSTOS!$F$18</f>
        <v>0</v>
      </c>
      <c r="AC56" s="25">
        <f>CUSTOS!$F$19</f>
        <v>0</v>
      </c>
      <c r="AD56" s="25">
        <f>CUSTOS!$F$20</f>
        <v>0</v>
      </c>
      <c r="AE56" s="25">
        <f>CUSTOS!$F$21</f>
        <v>0</v>
      </c>
      <c r="AF56" s="25">
        <f>CUSTOS!$F$22</f>
        <v>0</v>
      </c>
      <c r="AG56" s="25">
        <f>CUSTOS!$F$23</f>
        <v>0</v>
      </c>
      <c r="AH56" s="25">
        <f>CUSTOS!$F$24</f>
        <v>0</v>
      </c>
      <c r="AI56" s="25">
        <f>CUSTOS!$F$25</f>
        <v>0</v>
      </c>
      <c r="AJ56" s="25">
        <f>CUSTOS!$F$26</f>
        <v>0</v>
      </c>
      <c r="AK56" s="25">
        <f>CUSTOS!$F$27</f>
        <v>0</v>
      </c>
      <c r="AL56" s="25">
        <f>CUSTOS!$F$28</f>
        <v>0</v>
      </c>
      <c r="AM56" s="25">
        <f>CUSTOS!$F$29</f>
        <v>0</v>
      </c>
    </row>
    <row r="57" spans="1:42" ht="11.25" customHeight="1" x14ac:dyDescent="0.25">
      <c r="K57" s="27" t="s">
        <v>614</v>
      </c>
      <c r="L57" s="25">
        <v>0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5"/>
      <c r="U57" s="25">
        <v>0</v>
      </c>
      <c r="V57" s="25">
        <v>0</v>
      </c>
      <c r="W57" s="25">
        <v>0</v>
      </c>
      <c r="X57" s="25">
        <v>0</v>
      </c>
      <c r="Y57" s="25">
        <v>0</v>
      </c>
      <c r="Z57" s="25">
        <v>0</v>
      </c>
      <c r="AA57" s="25">
        <v>0</v>
      </c>
      <c r="AB57" s="25"/>
      <c r="AC57" s="25">
        <v>0</v>
      </c>
      <c r="AD57" s="25"/>
      <c r="AE57" s="25">
        <v>0</v>
      </c>
      <c r="AF57" s="25">
        <v>0</v>
      </c>
      <c r="AG57" s="25"/>
      <c r="AH57" s="25">
        <v>0</v>
      </c>
      <c r="AI57" s="25">
        <v>0</v>
      </c>
      <c r="AJ57" s="25">
        <v>0</v>
      </c>
      <c r="AK57" s="25">
        <v>0</v>
      </c>
      <c r="AL57" s="25"/>
      <c r="AM57" s="25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727" priority="55" operator="notEqual">
      <formula>$L$56</formula>
    </cfRule>
    <cfRule type="cellIs" dxfId="726" priority="56" operator="equal">
      <formula>$L$56</formula>
    </cfRule>
  </conditionalFormatting>
  <conditionalFormatting sqref="M53">
    <cfRule type="cellIs" dxfId="725" priority="53" operator="notEqual">
      <formula>$M$56</formula>
    </cfRule>
    <cfRule type="cellIs" dxfId="724" priority="54" operator="equal">
      <formula>$M$56</formula>
    </cfRule>
  </conditionalFormatting>
  <conditionalFormatting sqref="N53">
    <cfRule type="cellIs" dxfId="723" priority="51" operator="notEqual">
      <formula>$N$56</formula>
    </cfRule>
    <cfRule type="cellIs" dxfId="722" priority="52" operator="equal">
      <formula>$N$56</formula>
    </cfRule>
  </conditionalFormatting>
  <conditionalFormatting sqref="O53">
    <cfRule type="cellIs" dxfId="721" priority="49" operator="notEqual">
      <formula>$O$56</formula>
    </cfRule>
    <cfRule type="cellIs" dxfId="720" priority="50" operator="equal">
      <formula>$O$56</formula>
    </cfRule>
  </conditionalFormatting>
  <conditionalFormatting sqref="P53">
    <cfRule type="cellIs" dxfId="719" priority="47" operator="notEqual">
      <formula>$P$56</formula>
    </cfRule>
    <cfRule type="cellIs" dxfId="718" priority="48" operator="equal">
      <formula>$P$56</formula>
    </cfRule>
  </conditionalFormatting>
  <conditionalFormatting sqref="Q53">
    <cfRule type="cellIs" dxfId="717" priority="45" operator="notEqual">
      <formula>$Q$56</formula>
    </cfRule>
    <cfRule type="cellIs" dxfId="716" priority="46" operator="equal">
      <formula>$Q$56</formula>
    </cfRule>
  </conditionalFormatting>
  <conditionalFormatting sqref="R53">
    <cfRule type="cellIs" dxfId="715" priority="43" operator="notEqual">
      <formula>$R$56</formula>
    </cfRule>
    <cfRule type="cellIs" dxfId="714" priority="44" operator="equal">
      <formula>$R$56</formula>
    </cfRule>
  </conditionalFormatting>
  <conditionalFormatting sqref="S53">
    <cfRule type="cellIs" dxfId="713" priority="41" operator="notEqual">
      <formula>$S$56</formula>
    </cfRule>
    <cfRule type="cellIs" dxfId="712" priority="42" operator="equal">
      <formula>$S$56</formula>
    </cfRule>
  </conditionalFormatting>
  <conditionalFormatting sqref="T53">
    <cfRule type="cellIs" dxfId="711" priority="39" operator="notEqual">
      <formula>$T$56</formula>
    </cfRule>
    <cfRule type="cellIs" dxfId="710" priority="40" operator="equal">
      <formula>$T$56</formula>
    </cfRule>
  </conditionalFormatting>
  <conditionalFormatting sqref="U53">
    <cfRule type="cellIs" dxfId="709" priority="37" operator="notEqual">
      <formula>$U$56</formula>
    </cfRule>
    <cfRule type="cellIs" dxfId="708" priority="38" operator="equal">
      <formula>$U$56</formula>
    </cfRule>
  </conditionalFormatting>
  <conditionalFormatting sqref="V53">
    <cfRule type="cellIs" dxfId="707" priority="35" operator="notEqual">
      <formula>$V$56</formula>
    </cfRule>
    <cfRule type="cellIs" dxfId="706" priority="36" operator="equal">
      <formula>$V$56</formula>
    </cfRule>
  </conditionalFormatting>
  <conditionalFormatting sqref="W53">
    <cfRule type="cellIs" dxfId="705" priority="33" operator="notEqual">
      <formula>$W$56</formula>
    </cfRule>
    <cfRule type="cellIs" dxfId="704" priority="34" operator="equal">
      <formula>$W$56</formula>
    </cfRule>
  </conditionalFormatting>
  <conditionalFormatting sqref="X53">
    <cfRule type="cellIs" dxfId="703" priority="31" operator="notEqual">
      <formula>$X$56</formula>
    </cfRule>
    <cfRule type="cellIs" dxfId="702" priority="32" operator="equal">
      <formula>$X$56</formula>
    </cfRule>
  </conditionalFormatting>
  <conditionalFormatting sqref="Y53">
    <cfRule type="cellIs" dxfId="701" priority="29" operator="notEqual">
      <formula>$Y$56</formula>
    </cfRule>
    <cfRule type="cellIs" dxfId="700" priority="30" operator="equal">
      <formula>$Y$56</formula>
    </cfRule>
  </conditionalFormatting>
  <conditionalFormatting sqref="Z53">
    <cfRule type="cellIs" dxfId="699" priority="27" operator="notEqual">
      <formula>$Z$56</formula>
    </cfRule>
    <cfRule type="cellIs" dxfId="698" priority="28" operator="equal">
      <formula>$Z$56</formula>
    </cfRule>
  </conditionalFormatting>
  <conditionalFormatting sqref="AA53">
    <cfRule type="cellIs" dxfId="697" priority="25" operator="notEqual">
      <formula>$AA$56</formula>
    </cfRule>
    <cfRule type="cellIs" dxfId="696" priority="26" operator="equal">
      <formula>$AA$56</formula>
    </cfRule>
  </conditionalFormatting>
  <conditionalFormatting sqref="AB53">
    <cfRule type="cellIs" dxfId="695" priority="23" operator="notEqual">
      <formula>$AB$56</formula>
    </cfRule>
    <cfRule type="cellIs" dxfId="694" priority="24" operator="equal">
      <formula>$AB$56</formula>
    </cfRule>
  </conditionalFormatting>
  <conditionalFormatting sqref="AC53">
    <cfRule type="cellIs" dxfId="693" priority="21" operator="notEqual">
      <formula>$AC$56</formula>
    </cfRule>
    <cfRule type="cellIs" dxfId="692" priority="22" operator="equal">
      <formula>$AC$56</formula>
    </cfRule>
  </conditionalFormatting>
  <conditionalFormatting sqref="AD53">
    <cfRule type="cellIs" dxfId="691" priority="19" operator="notEqual">
      <formula>$AD$56</formula>
    </cfRule>
    <cfRule type="cellIs" dxfId="690" priority="20" operator="equal">
      <formula>$AD$56</formula>
    </cfRule>
  </conditionalFormatting>
  <conditionalFormatting sqref="AE53">
    <cfRule type="cellIs" dxfId="689" priority="17" operator="notEqual">
      <formula>$AE$56</formula>
    </cfRule>
    <cfRule type="cellIs" dxfId="688" priority="18" operator="equal">
      <formula>$AE$56</formula>
    </cfRule>
  </conditionalFormatting>
  <conditionalFormatting sqref="AF53">
    <cfRule type="cellIs" dxfId="687" priority="16" operator="equal">
      <formula>$AF$56</formula>
    </cfRule>
  </conditionalFormatting>
  <conditionalFormatting sqref="AF53">
    <cfRule type="cellIs" dxfId="686" priority="15" operator="notEqual">
      <formula>$AF$56</formula>
    </cfRule>
  </conditionalFormatting>
  <conditionalFormatting sqref="AG53">
    <cfRule type="cellIs" dxfId="685" priority="14" operator="equal">
      <formula>$AG$56</formula>
    </cfRule>
  </conditionalFormatting>
  <conditionalFormatting sqref="AG53">
    <cfRule type="cellIs" dxfId="684" priority="13" operator="notEqual">
      <formula>$AG$56</formula>
    </cfRule>
  </conditionalFormatting>
  <conditionalFormatting sqref="AH53">
    <cfRule type="cellIs" dxfId="683" priority="12" operator="equal">
      <formula>$AH$56</formula>
    </cfRule>
  </conditionalFormatting>
  <conditionalFormatting sqref="AH53">
    <cfRule type="cellIs" dxfId="682" priority="11" operator="notEqual">
      <formula>$AH$56</formula>
    </cfRule>
  </conditionalFormatting>
  <conditionalFormatting sqref="AI53">
    <cfRule type="cellIs" dxfId="681" priority="10" operator="equal">
      <formula>$AI$56</formula>
    </cfRule>
  </conditionalFormatting>
  <conditionalFormatting sqref="AI53">
    <cfRule type="cellIs" dxfId="680" priority="9" operator="notEqual">
      <formula>$AI$56</formula>
    </cfRule>
  </conditionalFormatting>
  <conditionalFormatting sqref="AJ53">
    <cfRule type="cellIs" dxfId="679" priority="8" operator="equal">
      <formula>$AJ$56</formula>
    </cfRule>
  </conditionalFormatting>
  <conditionalFormatting sqref="AJ53">
    <cfRule type="cellIs" dxfId="678" priority="7" operator="notEqual">
      <formula>$AJ$56</formula>
    </cfRule>
  </conditionalFormatting>
  <conditionalFormatting sqref="AK53">
    <cfRule type="cellIs" dxfId="677" priority="6" operator="equal">
      <formula>$AK$56</formula>
    </cfRule>
  </conditionalFormatting>
  <conditionalFormatting sqref="AK53">
    <cfRule type="cellIs" dxfId="676" priority="5" operator="notEqual">
      <formula>$AK$56</formula>
    </cfRule>
  </conditionalFormatting>
  <conditionalFormatting sqref="AL53">
    <cfRule type="cellIs" dxfId="675" priority="4" operator="equal">
      <formula>$AL$56</formula>
    </cfRule>
  </conditionalFormatting>
  <conditionalFormatting sqref="AL53">
    <cfRule type="cellIs" dxfId="674" priority="3" operator="notEqual">
      <formula>$AL$56</formula>
    </cfRule>
  </conditionalFormatting>
  <conditionalFormatting sqref="AM53">
    <cfRule type="cellIs" dxfId="673" priority="2" operator="equal">
      <formula>$AM$56</formula>
    </cfRule>
  </conditionalFormatting>
  <conditionalFormatting sqref="AM53">
    <cfRule type="cellIs" dxfId="672" priority="1" operator="notEqual">
      <formula>$AM$56</formula>
    </cfRule>
  </conditionalFormatting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7FCE0-590A-4398-95F8-80A5078436B3}">
  <dimension ref="A1:AA50"/>
  <sheetViews>
    <sheetView showGridLines="0" workbookViewId="0">
      <selection activeCell="K44" sqref="K44:AA50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" style="9" bestFit="1" customWidth="1"/>
    <col min="10" max="10" width="9.140625" style="9"/>
    <col min="11" max="11" width="20" style="9" bestFit="1" customWidth="1"/>
    <col min="12" max="14" width="7.85546875" style="9" bestFit="1" customWidth="1"/>
    <col min="15" max="15" width="11.140625" style="9" bestFit="1" customWidth="1"/>
    <col min="16" max="16" width="9.28515625" style="9" bestFit="1" customWidth="1"/>
    <col min="17" max="17" width="15" style="9" bestFit="1" customWidth="1"/>
    <col min="18" max="18" width="10" style="9" bestFit="1" customWidth="1"/>
    <col min="19" max="19" width="7.85546875" style="9" bestFit="1" customWidth="1"/>
    <col min="20" max="20" width="10.42578125" style="9" bestFit="1" customWidth="1"/>
    <col min="21" max="21" width="7.85546875" style="9" bestFit="1" customWidth="1"/>
    <col min="22" max="22" width="9.28515625" style="9" bestFit="1" customWidth="1"/>
    <col min="23" max="23" width="8" style="9" bestFit="1" customWidth="1"/>
    <col min="24" max="24" width="9.28515625" style="9" bestFit="1" customWidth="1"/>
    <col min="25" max="25" width="11" style="9" bestFit="1" customWidth="1"/>
    <col min="26" max="26" width="9.28515625" style="9" bestFit="1" customWidth="1"/>
    <col min="27" max="27" width="10" style="9" bestFit="1" customWidth="1"/>
    <col min="28" max="16384" width="9.140625" style="9"/>
  </cols>
  <sheetData>
    <row r="1" spans="1:27" ht="11.25" customHeight="1" x14ac:dyDescent="0.25">
      <c r="A1" s="137" t="s">
        <v>59</v>
      </c>
      <c r="B1" s="137" t="s">
        <v>60</v>
      </c>
      <c r="C1" s="137" t="s">
        <v>61</v>
      </c>
      <c r="D1" s="137" t="s">
        <v>62</v>
      </c>
      <c r="E1" s="137" t="s">
        <v>63</v>
      </c>
      <c r="F1" s="137" t="s">
        <v>15</v>
      </c>
      <c r="G1" s="137" t="s">
        <v>65</v>
      </c>
      <c r="H1" s="137" t="s">
        <v>66</v>
      </c>
      <c r="I1" s="137" t="s">
        <v>608</v>
      </c>
      <c r="J1" s="119"/>
      <c r="L1" s="138" t="s">
        <v>629</v>
      </c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</row>
    <row r="2" spans="1:27" ht="11.25" customHeight="1" x14ac:dyDescent="0.25">
      <c r="A2" s="137"/>
      <c r="B2" s="137"/>
      <c r="C2" s="137"/>
      <c r="D2" s="137"/>
      <c r="E2" s="137"/>
      <c r="F2" s="137"/>
      <c r="G2" s="137"/>
      <c r="H2" s="137"/>
      <c r="I2" s="137"/>
      <c r="J2" s="119"/>
      <c r="L2" s="138" t="s">
        <v>536</v>
      </c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</row>
    <row r="3" spans="1:27" ht="11.25" customHeight="1" x14ac:dyDescent="0.25">
      <c r="A3" s="137"/>
      <c r="B3" s="137"/>
      <c r="C3" s="137"/>
      <c r="D3" s="137"/>
      <c r="E3" s="137"/>
      <c r="F3" s="137"/>
      <c r="G3" s="137"/>
      <c r="H3" s="137"/>
      <c r="I3" s="137"/>
      <c r="J3" s="119"/>
      <c r="L3" s="138" t="s">
        <v>509</v>
      </c>
      <c r="M3" s="138"/>
      <c r="N3" s="138"/>
      <c r="O3" s="138"/>
      <c r="P3" s="138"/>
      <c r="Q3" s="138" t="s">
        <v>539</v>
      </c>
      <c r="R3" s="138"/>
      <c r="S3" s="138" t="s">
        <v>518</v>
      </c>
      <c r="T3" s="138"/>
      <c r="U3" s="138"/>
      <c r="V3" s="138"/>
      <c r="W3" s="138" t="s">
        <v>528</v>
      </c>
      <c r="X3" s="138"/>
      <c r="Y3" s="138" t="s">
        <v>531</v>
      </c>
      <c r="Z3" s="138"/>
      <c r="AA3" s="138" t="s">
        <v>517</v>
      </c>
    </row>
    <row r="4" spans="1:27" ht="11.25" customHeight="1" x14ac:dyDescent="0.25">
      <c r="A4" s="137"/>
      <c r="B4" s="137"/>
      <c r="C4" s="137"/>
      <c r="D4" s="137"/>
      <c r="E4" s="137"/>
      <c r="F4" s="137"/>
      <c r="G4" s="137"/>
      <c r="H4" s="137"/>
      <c r="I4" s="137"/>
      <c r="J4" s="119"/>
      <c r="L4" s="34" t="s">
        <v>511</v>
      </c>
      <c r="M4" s="34" t="s">
        <v>537</v>
      </c>
      <c r="N4" s="34" t="s">
        <v>538</v>
      </c>
      <c r="O4" s="34" t="s">
        <v>596</v>
      </c>
      <c r="P4" s="34" t="s">
        <v>517</v>
      </c>
      <c r="Q4" s="34" t="s">
        <v>540</v>
      </c>
      <c r="R4" s="34" t="s">
        <v>517</v>
      </c>
      <c r="S4" s="34" t="s">
        <v>541</v>
      </c>
      <c r="T4" s="34" t="s">
        <v>542</v>
      </c>
      <c r="U4" s="34" t="s">
        <v>543</v>
      </c>
      <c r="V4" s="34" t="s">
        <v>517</v>
      </c>
      <c r="W4" s="34" t="s">
        <v>529</v>
      </c>
      <c r="X4" s="34" t="s">
        <v>517</v>
      </c>
      <c r="Y4" s="34" t="s">
        <v>544</v>
      </c>
      <c r="Z4" s="34" t="s">
        <v>517</v>
      </c>
      <c r="AA4" s="139"/>
    </row>
    <row r="5" spans="1:27" ht="11.25" customHeight="1" x14ac:dyDescent="0.25">
      <c r="A5" s="136" t="s">
        <v>34</v>
      </c>
      <c r="B5" s="136" t="s">
        <v>68</v>
      </c>
      <c r="C5" s="136" t="s">
        <v>25</v>
      </c>
      <c r="D5" s="136" t="s">
        <v>25</v>
      </c>
      <c r="E5" s="136" t="s">
        <v>25</v>
      </c>
      <c r="F5" s="136" t="s">
        <v>25</v>
      </c>
      <c r="G5" s="32" t="s">
        <v>70</v>
      </c>
      <c r="H5" s="32" t="s">
        <v>69</v>
      </c>
      <c r="I5" s="32">
        <f>'MERCADO TE'!$U$2</f>
        <v>2.2919999999999998</v>
      </c>
      <c r="J5" s="17"/>
      <c r="L5" s="30">
        <v>1</v>
      </c>
      <c r="M5" s="30">
        <v>1</v>
      </c>
      <c r="N5" s="30">
        <v>1</v>
      </c>
      <c r="O5" s="30">
        <v>1</v>
      </c>
      <c r="P5" s="30"/>
      <c r="Q5" s="30">
        <v>1</v>
      </c>
      <c r="R5" s="30"/>
      <c r="S5" s="30">
        <v>1</v>
      </c>
      <c r="T5" s="30">
        <v>1</v>
      </c>
      <c r="U5" s="30">
        <v>1</v>
      </c>
      <c r="V5" s="30"/>
      <c r="W5" s="30"/>
      <c r="X5" s="30"/>
      <c r="Y5" s="30">
        <v>1</v>
      </c>
      <c r="Z5" s="30"/>
      <c r="AA5" s="30"/>
    </row>
    <row r="6" spans="1:27" ht="11.25" customHeight="1" x14ac:dyDescent="0.25">
      <c r="A6" s="136"/>
      <c r="B6" s="136"/>
      <c r="C6" s="136"/>
      <c r="D6" s="136"/>
      <c r="E6" s="136"/>
      <c r="F6" s="136"/>
      <c r="G6" s="32" t="s">
        <v>71</v>
      </c>
      <c r="H6" s="32" t="s">
        <v>69</v>
      </c>
      <c r="I6" s="32">
        <f>'MERCADO TE'!$U$3</f>
        <v>310.52600000000001</v>
      </c>
      <c r="J6" s="17"/>
      <c r="L6" s="30">
        <v>1</v>
      </c>
      <c r="M6" s="30">
        <v>1</v>
      </c>
      <c r="N6" s="30">
        <v>1</v>
      </c>
      <c r="O6" s="30">
        <v>1</v>
      </c>
      <c r="P6" s="30"/>
      <c r="Q6" s="30">
        <v>1</v>
      </c>
      <c r="R6" s="30"/>
      <c r="S6" s="30">
        <v>1</v>
      </c>
      <c r="T6" s="30">
        <v>1</v>
      </c>
      <c r="U6" s="30">
        <v>1</v>
      </c>
      <c r="V6" s="30"/>
      <c r="W6" s="30"/>
      <c r="X6" s="30"/>
      <c r="Y6" s="30">
        <v>1</v>
      </c>
      <c r="Z6" s="30"/>
      <c r="AA6" s="30"/>
    </row>
    <row r="7" spans="1:27" ht="11.25" customHeight="1" x14ac:dyDescent="0.25">
      <c r="A7" s="136"/>
      <c r="B7" s="33" t="s">
        <v>72</v>
      </c>
      <c r="C7" s="33" t="s">
        <v>25</v>
      </c>
      <c r="D7" s="33" t="s">
        <v>25</v>
      </c>
      <c r="E7" s="33" t="s">
        <v>25</v>
      </c>
      <c r="F7" s="33" t="s">
        <v>25</v>
      </c>
      <c r="G7" s="32" t="s">
        <v>73</v>
      </c>
      <c r="H7" s="32" t="s">
        <v>69</v>
      </c>
      <c r="I7" s="32">
        <f>'MERCADO TE'!$U$4</f>
        <v>0</v>
      </c>
      <c r="J7" s="17"/>
      <c r="L7" s="30">
        <v>1</v>
      </c>
      <c r="M7" s="30">
        <v>1</v>
      </c>
      <c r="N7" s="30">
        <v>1</v>
      </c>
      <c r="O7" s="30">
        <v>1</v>
      </c>
      <c r="P7" s="30"/>
      <c r="Q7" s="30">
        <v>1</v>
      </c>
      <c r="R7" s="30"/>
      <c r="S7" s="30">
        <v>1</v>
      </c>
      <c r="T7" s="30">
        <v>1</v>
      </c>
      <c r="U7" s="30">
        <v>1</v>
      </c>
      <c r="V7" s="30"/>
      <c r="W7" s="30"/>
      <c r="X7" s="30"/>
      <c r="Y7" s="30">
        <v>1</v>
      </c>
      <c r="Z7" s="30"/>
      <c r="AA7" s="30"/>
    </row>
    <row r="8" spans="1:27" ht="11.25" customHeight="1" x14ac:dyDescent="0.25">
      <c r="A8" s="136" t="s">
        <v>22</v>
      </c>
      <c r="B8" s="136" t="s">
        <v>68</v>
      </c>
      <c r="C8" s="136" t="s">
        <v>24</v>
      </c>
      <c r="D8" s="136" t="s">
        <v>24</v>
      </c>
      <c r="E8" s="136" t="s">
        <v>25</v>
      </c>
      <c r="F8" s="136" t="s">
        <v>25</v>
      </c>
      <c r="G8" s="32" t="s">
        <v>70</v>
      </c>
      <c r="H8" s="32" t="s">
        <v>69</v>
      </c>
      <c r="I8" s="32">
        <f>'MERCADO TE'!$U$5</f>
        <v>0</v>
      </c>
      <c r="J8" s="17"/>
      <c r="L8" s="30">
        <v>1</v>
      </c>
      <c r="M8" s="30">
        <v>1</v>
      </c>
      <c r="N8" s="30">
        <v>1</v>
      </c>
      <c r="O8" s="30">
        <v>1</v>
      </c>
      <c r="P8" s="30"/>
      <c r="Q8" s="30">
        <v>1</v>
      </c>
      <c r="R8" s="30"/>
      <c r="S8" s="30">
        <v>1</v>
      </c>
      <c r="T8" s="30">
        <v>1</v>
      </c>
      <c r="U8" s="30">
        <v>1</v>
      </c>
      <c r="V8" s="30"/>
      <c r="W8" s="30"/>
      <c r="X8" s="30"/>
      <c r="Y8" s="30">
        <v>1</v>
      </c>
      <c r="Z8" s="30"/>
      <c r="AA8" s="30"/>
    </row>
    <row r="9" spans="1:27" ht="11.25" customHeight="1" x14ac:dyDescent="0.25">
      <c r="A9" s="136"/>
      <c r="B9" s="136"/>
      <c r="C9" s="136"/>
      <c r="D9" s="136"/>
      <c r="E9" s="136"/>
      <c r="F9" s="136"/>
      <c r="G9" s="32" t="s">
        <v>83</v>
      </c>
      <c r="H9" s="32" t="s">
        <v>69</v>
      </c>
      <c r="I9" s="32">
        <f>'MERCADO TE'!$U$6</f>
        <v>5.0000000000000001E-3</v>
      </c>
      <c r="J9" s="17"/>
      <c r="L9" s="30">
        <v>1</v>
      </c>
      <c r="M9" s="30">
        <v>1</v>
      </c>
      <c r="N9" s="30">
        <v>1</v>
      </c>
      <c r="O9" s="30">
        <v>1</v>
      </c>
      <c r="P9" s="30"/>
      <c r="Q9" s="30">
        <v>1</v>
      </c>
      <c r="R9" s="30"/>
      <c r="S9" s="30">
        <v>1</v>
      </c>
      <c r="T9" s="30">
        <v>1</v>
      </c>
      <c r="U9" s="30">
        <v>1</v>
      </c>
      <c r="V9" s="30"/>
      <c r="W9" s="30"/>
      <c r="X9" s="30"/>
      <c r="Y9" s="30">
        <v>1</v>
      </c>
      <c r="Z9" s="30"/>
      <c r="AA9" s="30"/>
    </row>
    <row r="10" spans="1:27" ht="11.25" customHeight="1" x14ac:dyDescent="0.25">
      <c r="A10" s="136"/>
      <c r="B10" s="136"/>
      <c r="C10" s="136"/>
      <c r="D10" s="136"/>
      <c r="E10" s="136"/>
      <c r="F10" s="136"/>
      <c r="G10" s="32" t="s">
        <v>71</v>
      </c>
      <c r="H10" s="32" t="s">
        <v>69</v>
      </c>
      <c r="I10" s="32">
        <f>'MERCADO TE'!$U$7</f>
        <v>0.96600000000000008</v>
      </c>
      <c r="J10" s="17"/>
      <c r="L10" s="30">
        <v>1</v>
      </c>
      <c r="M10" s="30">
        <v>1</v>
      </c>
      <c r="N10" s="30">
        <v>1</v>
      </c>
      <c r="O10" s="30">
        <v>1</v>
      </c>
      <c r="P10" s="30"/>
      <c r="Q10" s="30">
        <v>1</v>
      </c>
      <c r="R10" s="30"/>
      <c r="S10" s="30">
        <v>1</v>
      </c>
      <c r="T10" s="30">
        <v>1</v>
      </c>
      <c r="U10" s="30">
        <v>1</v>
      </c>
      <c r="V10" s="30"/>
      <c r="W10" s="30"/>
      <c r="X10" s="30"/>
      <c r="Y10" s="30">
        <v>1</v>
      </c>
      <c r="Z10" s="30"/>
      <c r="AA10" s="30"/>
    </row>
    <row r="11" spans="1:27" ht="11.25" customHeight="1" x14ac:dyDescent="0.25">
      <c r="A11" s="136"/>
      <c r="B11" s="136" t="s">
        <v>72</v>
      </c>
      <c r="C11" s="136" t="s">
        <v>24</v>
      </c>
      <c r="D11" s="33" t="s">
        <v>24</v>
      </c>
      <c r="E11" s="33" t="s">
        <v>25</v>
      </c>
      <c r="F11" s="33" t="s">
        <v>25</v>
      </c>
      <c r="G11" s="32" t="s">
        <v>73</v>
      </c>
      <c r="H11" s="32" t="s">
        <v>69</v>
      </c>
      <c r="I11" s="32">
        <f>'MERCADO TE'!$U$8</f>
        <v>2520.6710000000003</v>
      </c>
      <c r="J11" s="17"/>
      <c r="L11" s="30">
        <v>1</v>
      </c>
      <c r="M11" s="30">
        <v>1</v>
      </c>
      <c r="N11" s="30">
        <v>1</v>
      </c>
      <c r="O11" s="30">
        <v>1</v>
      </c>
      <c r="P11" s="30"/>
      <c r="Q11" s="30">
        <v>1</v>
      </c>
      <c r="R11" s="30"/>
      <c r="S11" s="30">
        <v>1</v>
      </c>
      <c r="T11" s="30">
        <v>1</v>
      </c>
      <c r="U11" s="30">
        <v>1</v>
      </c>
      <c r="V11" s="30"/>
      <c r="W11" s="30"/>
      <c r="X11" s="30"/>
      <c r="Y11" s="30">
        <v>1</v>
      </c>
      <c r="Z11" s="30"/>
      <c r="AA11" s="30"/>
    </row>
    <row r="12" spans="1:27" ht="11.25" customHeight="1" x14ac:dyDescent="0.25">
      <c r="A12" s="136"/>
      <c r="B12" s="136"/>
      <c r="C12" s="136"/>
      <c r="D12" s="33" t="s">
        <v>28</v>
      </c>
      <c r="E12" s="33" t="s">
        <v>25</v>
      </c>
      <c r="F12" s="33" t="s">
        <v>25</v>
      </c>
      <c r="G12" s="32" t="s">
        <v>73</v>
      </c>
      <c r="H12" s="32" t="s">
        <v>69</v>
      </c>
      <c r="I12" s="32">
        <f>'MERCADO TE'!$U$9</f>
        <v>782.16</v>
      </c>
      <c r="J12" s="17"/>
      <c r="L12" s="30">
        <f>1 - CUSTOS!$M$24</f>
        <v>1</v>
      </c>
      <c r="M12" s="30">
        <f>1 - CUSTOS!$M$24</f>
        <v>1</v>
      </c>
      <c r="N12" s="30">
        <f>1 - CUSTOS!$M$24</f>
        <v>1</v>
      </c>
      <c r="O12" s="30">
        <f>1 - CUSTOS!$M$24</f>
        <v>1</v>
      </c>
      <c r="P12" s="30"/>
      <c r="Q12" s="30">
        <f>(1 - CUSTOS!$M$24)*1</f>
        <v>1</v>
      </c>
      <c r="R12" s="30"/>
      <c r="S12" s="30">
        <f>1 - CUSTOS!$M$24</f>
        <v>1</v>
      </c>
      <c r="T12" s="30">
        <f>1 - CUSTOS!$M$24</f>
        <v>1</v>
      </c>
      <c r="U12" s="30">
        <f>1 - CUSTOS!$M$24</f>
        <v>1</v>
      </c>
      <c r="V12" s="30"/>
      <c r="W12" s="30"/>
      <c r="X12" s="30"/>
      <c r="Y12" s="30">
        <f>1 - CUSTOS!$M$24</f>
        <v>1</v>
      </c>
      <c r="Z12" s="30"/>
      <c r="AA12" s="30"/>
    </row>
    <row r="13" spans="1:27" ht="11.25" customHeight="1" x14ac:dyDescent="0.25">
      <c r="A13" s="136"/>
      <c r="B13" s="136"/>
      <c r="C13" s="136"/>
      <c r="D13" s="33" t="s">
        <v>29</v>
      </c>
      <c r="E13" s="33" t="s">
        <v>25</v>
      </c>
      <c r="F13" s="33" t="s">
        <v>25</v>
      </c>
      <c r="G13" s="32" t="s">
        <v>73</v>
      </c>
      <c r="H13" s="32" t="s">
        <v>69</v>
      </c>
      <c r="I13" s="32">
        <f>'MERCADO TE'!$U$10</f>
        <v>1214.3559999999998</v>
      </c>
      <c r="J13" s="17"/>
      <c r="L13" s="30">
        <f>1 - CUSTOS!$M$25</f>
        <v>1</v>
      </c>
      <c r="M13" s="30">
        <f>1 - CUSTOS!$M$25</f>
        <v>1</v>
      </c>
      <c r="N13" s="30">
        <f>1 - CUSTOS!$M$25</f>
        <v>1</v>
      </c>
      <c r="O13" s="30">
        <f>1 - CUSTOS!$M$25</f>
        <v>1</v>
      </c>
      <c r="P13" s="30"/>
      <c r="Q13" s="30">
        <f>(1 - CUSTOS!$M$25)*1</f>
        <v>1</v>
      </c>
      <c r="R13" s="30"/>
      <c r="S13" s="30">
        <f>1 - CUSTOS!$M$25</f>
        <v>1</v>
      </c>
      <c r="T13" s="30">
        <f>1 - CUSTOS!$M$25</f>
        <v>1</v>
      </c>
      <c r="U13" s="30">
        <f>1 - CUSTOS!$M$25</f>
        <v>1</v>
      </c>
      <c r="V13" s="30"/>
      <c r="W13" s="30"/>
      <c r="X13" s="30"/>
      <c r="Y13" s="30">
        <f>1 - CUSTOS!$M$25</f>
        <v>1</v>
      </c>
      <c r="Z13" s="30"/>
      <c r="AA13" s="30"/>
    </row>
    <row r="14" spans="1:27" ht="11.25" customHeight="1" x14ac:dyDescent="0.25">
      <c r="A14" s="136"/>
      <c r="B14" s="136"/>
      <c r="C14" s="136"/>
      <c r="D14" s="33" t="s">
        <v>30</v>
      </c>
      <c r="E14" s="33" t="s">
        <v>25</v>
      </c>
      <c r="F14" s="33" t="s">
        <v>25</v>
      </c>
      <c r="G14" s="32" t="s">
        <v>73</v>
      </c>
      <c r="H14" s="32" t="s">
        <v>69</v>
      </c>
      <c r="I14" s="32">
        <f>'MERCADO TE'!$U$11</f>
        <v>403.89</v>
      </c>
      <c r="J14" s="17"/>
      <c r="L14" s="30">
        <f>1 - CUSTOS!$M$26</f>
        <v>1</v>
      </c>
      <c r="M14" s="30">
        <f>1 - CUSTOS!$M$26</f>
        <v>1</v>
      </c>
      <c r="N14" s="30">
        <f>1 - CUSTOS!$M$26</f>
        <v>1</v>
      </c>
      <c r="O14" s="30">
        <f>1 - CUSTOS!$M$26</f>
        <v>1</v>
      </c>
      <c r="P14" s="30"/>
      <c r="Q14" s="30">
        <f>(1 - CUSTOS!$M$26)*1</f>
        <v>1</v>
      </c>
      <c r="R14" s="30"/>
      <c r="S14" s="30">
        <f>1 - CUSTOS!$M$26</f>
        <v>1</v>
      </c>
      <c r="T14" s="30">
        <f>1 - CUSTOS!$M$26</f>
        <v>1</v>
      </c>
      <c r="U14" s="30">
        <f>1 - CUSTOS!$M$26</f>
        <v>1</v>
      </c>
      <c r="V14" s="30"/>
      <c r="W14" s="30"/>
      <c r="X14" s="30"/>
      <c r="Y14" s="30">
        <f>1 - CUSTOS!$M$26</f>
        <v>1</v>
      </c>
      <c r="Z14" s="30"/>
      <c r="AA14" s="30"/>
    </row>
    <row r="15" spans="1:27" ht="11.25" customHeight="1" x14ac:dyDescent="0.25">
      <c r="A15" s="136"/>
      <c r="B15" s="136"/>
      <c r="C15" s="136"/>
      <c r="D15" s="33" t="s">
        <v>31</v>
      </c>
      <c r="E15" s="33" t="s">
        <v>25</v>
      </c>
      <c r="F15" s="33" t="s">
        <v>25</v>
      </c>
      <c r="G15" s="32" t="s">
        <v>73</v>
      </c>
      <c r="H15" s="32" t="s">
        <v>69</v>
      </c>
      <c r="I15" s="32">
        <f>'MERCADO TE'!$U$12</f>
        <v>103.88300000000001</v>
      </c>
      <c r="J15" s="17"/>
      <c r="L15" s="30">
        <f>1 - CUSTOS!$M$27</f>
        <v>1</v>
      </c>
      <c r="M15" s="30">
        <f>1 - CUSTOS!$M$27</f>
        <v>1</v>
      </c>
      <c r="N15" s="30">
        <f>1 - CUSTOS!$M$27</f>
        <v>1</v>
      </c>
      <c r="O15" s="30">
        <f>1 - CUSTOS!$M$27</f>
        <v>1</v>
      </c>
      <c r="P15" s="30"/>
      <c r="Q15" s="30">
        <f>(1 - CUSTOS!$M$27)*1</f>
        <v>1</v>
      </c>
      <c r="R15" s="30"/>
      <c r="S15" s="30">
        <f>1 - CUSTOS!$M$27</f>
        <v>1</v>
      </c>
      <c r="T15" s="30">
        <f>1 - CUSTOS!$M$27</f>
        <v>1</v>
      </c>
      <c r="U15" s="30">
        <f>1 - CUSTOS!$M$27</f>
        <v>1</v>
      </c>
      <c r="V15" s="30"/>
      <c r="W15" s="30"/>
      <c r="X15" s="30"/>
      <c r="Y15" s="30">
        <f>1 - CUSTOS!$M$27</f>
        <v>1</v>
      </c>
      <c r="Z15" s="30"/>
      <c r="AA15" s="30"/>
    </row>
    <row r="16" spans="1:27" ht="11.25" customHeight="1" x14ac:dyDescent="0.25">
      <c r="A16" s="136"/>
      <c r="B16" s="136" t="s">
        <v>84</v>
      </c>
      <c r="C16" s="136" t="s">
        <v>24</v>
      </c>
      <c r="D16" s="33" t="s">
        <v>24</v>
      </c>
      <c r="E16" s="33" t="s">
        <v>25</v>
      </c>
      <c r="F16" s="33" t="s">
        <v>25</v>
      </c>
      <c r="G16" s="32" t="s">
        <v>73</v>
      </c>
      <c r="H16" s="32" t="s">
        <v>69</v>
      </c>
      <c r="I16" s="32">
        <f>'MERCADO TE'!$U$13</f>
        <v>0</v>
      </c>
      <c r="J16" s="17"/>
      <c r="L16" s="30">
        <v>1</v>
      </c>
      <c r="M16" s="30">
        <v>1</v>
      </c>
      <c r="N16" s="30">
        <v>1</v>
      </c>
      <c r="O16" s="30">
        <v>1</v>
      </c>
      <c r="P16" s="30"/>
      <c r="Q16" s="30">
        <v>1</v>
      </c>
      <c r="R16" s="30"/>
      <c r="S16" s="30">
        <v>1</v>
      </c>
      <c r="T16" s="30">
        <v>1</v>
      </c>
      <c r="U16" s="30">
        <v>1</v>
      </c>
      <c r="V16" s="30"/>
      <c r="W16" s="30"/>
      <c r="X16" s="30"/>
      <c r="Y16" s="30">
        <v>1</v>
      </c>
      <c r="Z16" s="30"/>
      <c r="AA16" s="30"/>
    </row>
    <row r="17" spans="1:27" ht="11.25" customHeight="1" x14ac:dyDescent="0.25">
      <c r="A17" s="136"/>
      <c r="B17" s="136"/>
      <c r="C17" s="136"/>
      <c r="D17" s="33" t="s">
        <v>28</v>
      </c>
      <c r="E17" s="33" t="s">
        <v>25</v>
      </c>
      <c r="F17" s="33" t="s">
        <v>25</v>
      </c>
      <c r="G17" s="32" t="s">
        <v>73</v>
      </c>
      <c r="H17" s="32" t="s">
        <v>69</v>
      </c>
      <c r="I17" s="32">
        <f>'MERCADO TE'!$U$14</f>
        <v>0</v>
      </c>
      <c r="J17" s="17"/>
      <c r="L17" s="30">
        <f>1 - CUSTOS!$M$24</f>
        <v>1</v>
      </c>
      <c r="M17" s="30">
        <f>1 - CUSTOS!$M$24</f>
        <v>1</v>
      </c>
      <c r="N17" s="30">
        <f>1 - CUSTOS!$M$24</f>
        <v>1</v>
      </c>
      <c r="O17" s="30">
        <f>1 - CUSTOS!$M$24</f>
        <v>1</v>
      </c>
      <c r="P17" s="30"/>
      <c r="Q17" s="30">
        <f>(1 - CUSTOS!$M$24)*1</f>
        <v>1</v>
      </c>
      <c r="R17" s="30"/>
      <c r="S17" s="30">
        <f>1 - CUSTOS!$M$24</f>
        <v>1</v>
      </c>
      <c r="T17" s="30">
        <f>1 - CUSTOS!$M$24</f>
        <v>1</v>
      </c>
      <c r="U17" s="30">
        <f>1 - CUSTOS!$M$24</f>
        <v>1</v>
      </c>
      <c r="V17" s="30"/>
      <c r="W17" s="30"/>
      <c r="X17" s="30"/>
      <c r="Y17" s="30">
        <f>1 - CUSTOS!$M$24</f>
        <v>1</v>
      </c>
      <c r="Z17" s="30"/>
      <c r="AA17" s="30"/>
    </row>
    <row r="18" spans="1:27" ht="11.25" customHeight="1" x14ac:dyDescent="0.25">
      <c r="A18" s="136"/>
      <c r="B18" s="136"/>
      <c r="C18" s="136"/>
      <c r="D18" s="33" t="s">
        <v>29</v>
      </c>
      <c r="E18" s="33" t="s">
        <v>25</v>
      </c>
      <c r="F18" s="33" t="s">
        <v>25</v>
      </c>
      <c r="G18" s="32" t="s">
        <v>73</v>
      </c>
      <c r="H18" s="32" t="s">
        <v>69</v>
      </c>
      <c r="I18" s="32">
        <f>'MERCADO TE'!$U$15</f>
        <v>0</v>
      </c>
      <c r="J18" s="17"/>
      <c r="L18" s="30">
        <f>1 - CUSTOS!$M$25</f>
        <v>1</v>
      </c>
      <c r="M18" s="30">
        <f>1 - CUSTOS!$M$25</f>
        <v>1</v>
      </c>
      <c r="N18" s="30">
        <f>1 - CUSTOS!$M$25</f>
        <v>1</v>
      </c>
      <c r="O18" s="30">
        <f>1 - CUSTOS!$M$25</f>
        <v>1</v>
      </c>
      <c r="P18" s="30"/>
      <c r="Q18" s="30">
        <f>(1 - CUSTOS!$M$25)*1</f>
        <v>1</v>
      </c>
      <c r="R18" s="30"/>
      <c r="S18" s="30">
        <f>1 - CUSTOS!$M$25</f>
        <v>1</v>
      </c>
      <c r="T18" s="30">
        <f>1 - CUSTOS!$M$25</f>
        <v>1</v>
      </c>
      <c r="U18" s="30">
        <f>1 - CUSTOS!$M$25</f>
        <v>1</v>
      </c>
      <c r="V18" s="30"/>
      <c r="W18" s="30"/>
      <c r="X18" s="30"/>
      <c r="Y18" s="30">
        <f>1 - CUSTOS!$M$25</f>
        <v>1</v>
      </c>
      <c r="Z18" s="30"/>
      <c r="AA18" s="30"/>
    </row>
    <row r="19" spans="1:27" ht="11.25" customHeight="1" x14ac:dyDescent="0.25">
      <c r="A19" s="136"/>
      <c r="B19" s="136"/>
      <c r="C19" s="136"/>
      <c r="D19" s="33" t="s">
        <v>30</v>
      </c>
      <c r="E19" s="33" t="s">
        <v>25</v>
      </c>
      <c r="F19" s="33" t="s">
        <v>25</v>
      </c>
      <c r="G19" s="32" t="s">
        <v>73</v>
      </c>
      <c r="H19" s="32" t="s">
        <v>69</v>
      </c>
      <c r="I19" s="32">
        <f>'MERCADO TE'!$U$16</f>
        <v>0</v>
      </c>
      <c r="J19" s="17"/>
      <c r="L19" s="30">
        <f>1 - CUSTOS!$M$26</f>
        <v>1</v>
      </c>
      <c r="M19" s="30">
        <f>1 - CUSTOS!$M$26</f>
        <v>1</v>
      </c>
      <c r="N19" s="30">
        <f>1 - CUSTOS!$M$26</f>
        <v>1</v>
      </c>
      <c r="O19" s="30">
        <f>1 - CUSTOS!$M$26</f>
        <v>1</v>
      </c>
      <c r="P19" s="30"/>
      <c r="Q19" s="30">
        <f>(1 - CUSTOS!$M$26)*1</f>
        <v>1</v>
      </c>
      <c r="R19" s="30"/>
      <c r="S19" s="30">
        <f>1 - CUSTOS!$M$26</f>
        <v>1</v>
      </c>
      <c r="T19" s="30">
        <f>1 - CUSTOS!$M$26</f>
        <v>1</v>
      </c>
      <c r="U19" s="30">
        <f>1 - CUSTOS!$M$26</f>
        <v>1</v>
      </c>
      <c r="V19" s="30"/>
      <c r="W19" s="30"/>
      <c r="X19" s="30"/>
      <c r="Y19" s="30">
        <f>1 - CUSTOS!$M$26</f>
        <v>1</v>
      </c>
      <c r="Z19" s="30"/>
      <c r="AA19" s="30"/>
    </row>
    <row r="20" spans="1:27" ht="11.25" customHeight="1" x14ac:dyDescent="0.25">
      <c r="A20" s="136"/>
      <c r="B20" s="136"/>
      <c r="C20" s="136"/>
      <c r="D20" s="33" t="s">
        <v>31</v>
      </c>
      <c r="E20" s="33" t="s">
        <v>25</v>
      </c>
      <c r="F20" s="33" t="s">
        <v>25</v>
      </c>
      <c r="G20" s="32" t="s">
        <v>73</v>
      </c>
      <c r="H20" s="32" t="s">
        <v>69</v>
      </c>
      <c r="I20" s="32">
        <f>'MERCADO TE'!$U$17</f>
        <v>0</v>
      </c>
      <c r="J20" s="17"/>
      <c r="L20" s="30">
        <f>1 - CUSTOS!$M$27</f>
        <v>1</v>
      </c>
      <c r="M20" s="30">
        <f>1 - CUSTOS!$M$27</f>
        <v>1</v>
      </c>
      <c r="N20" s="30">
        <f>1 - CUSTOS!$M$27</f>
        <v>1</v>
      </c>
      <c r="O20" s="30">
        <f>1 - CUSTOS!$M$27</f>
        <v>1</v>
      </c>
      <c r="P20" s="30"/>
      <c r="Q20" s="30">
        <f>(1 - CUSTOS!$M$27)*1</f>
        <v>1</v>
      </c>
      <c r="R20" s="30"/>
      <c r="S20" s="30">
        <f>1 - CUSTOS!$M$27</f>
        <v>1</v>
      </c>
      <c r="T20" s="30">
        <f>1 - CUSTOS!$M$27</f>
        <v>1</v>
      </c>
      <c r="U20" s="30">
        <f>1 - CUSTOS!$M$27</f>
        <v>1</v>
      </c>
      <c r="V20" s="30"/>
      <c r="W20" s="30"/>
      <c r="X20" s="30"/>
      <c r="Y20" s="30">
        <f>1 - CUSTOS!$M$27</f>
        <v>1</v>
      </c>
      <c r="Z20" s="30"/>
      <c r="AA20" s="30"/>
    </row>
    <row r="21" spans="1:27" ht="11.25" customHeight="1" x14ac:dyDescent="0.25">
      <c r="A21" s="136" t="s">
        <v>41</v>
      </c>
      <c r="B21" s="136" t="s">
        <v>68</v>
      </c>
      <c r="C21" s="136" t="s">
        <v>42</v>
      </c>
      <c r="D21" s="136" t="s">
        <v>25</v>
      </c>
      <c r="E21" s="136" t="s">
        <v>25</v>
      </c>
      <c r="F21" s="136" t="s">
        <v>25</v>
      </c>
      <c r="G21" s="32" t="s">
        <v>70</v>
      </c>
      <c r="H21" s="32" t="s">
        <v>69</v>
      </c>
      <c r="I21" s="32">
        <f>'MERCADO TE'!$U$18</f>
        <v>0.34100000000000003</v>
      </c>
      <c r="J21" s="17"/>
      <c r="L21" s="30">
        <f>1 - CUSTOS!$M$28</f>
        <v>1</v>
      </c>
      <c r="M21" s="30">
        <f>1 - CUSTOS!$M$28</f>
        <v>1</v>
      </c>
      <c r="N21" s="30">
        <f>1 - CUSTOS!$M$28</f>
        <v>1</v>
      </c>
      <c r="O21" s="30">
        <f>1 - CUSTOS!$M$28</f>
        <v>1</v>
      </c>
      <c r="P21" s="30"/>
      <c r="Q21" s="30">
        <f>(1 - CUSTOS!$M$28)*1</f>
        <v>1</v>
      </c>
      <c r="R21" s="30"/>
      <c r="S21" s="30">
        <f>1 - CUSTOS!$M$28</f>
        <v>1</v>
      </c>
      <c r="T21" s="30">
        <f>1 - CUSTOS!$M$28</f>
        <v>1</v>
      </c>
      <c r="U21" s="30">
        <f>1 - CUSTOS!$M$28</f>
        <v>1</v>
      </c>
      <c r="V21" s="30"/>
      <c r="W21" s="30"/>
      <c r="X21" s="30"/>
      <c r="Y21" s="30">
        <f>1 - CUSTOS!$M$28</f>
        <v>1</v>
      </c>
      <c r="Z21" s="30"/>
      <c r="AA21" s="30"/>
    </row>
    <row r="22" spans="1:27" ht="11.25" customHeight="1" x14ac:dyDescent="0.25">
      <c r="A22" s="136"/>
      <c r="B22" s="136"/>
      <c r="C22" s="136"/>
      <c r="D22" s="136"/>
      <c r="E22" s="136"/>
      <c r="F22" s="136"/>
      <c r="G22" s="32" t="s">
        <v>83</v>
      </c>
      <c r="H22" s="32" t="s">
        <v>69</v>
      </c>
      <c r="I22" s="32">
        <f>'MERCADO TE'!$U$19</f>
        <v>0.55500000000000005</v>
      </c>
      <c r="J22" s="17"/>
      <c r="L22" s="30">
        <f>1 - CUSTOS!$M$28</f>
        <v>1</v>
      </c>
      <c r="M22" s="30">
        <f>1 - CUSTOS!$M$28</f>
        <v>1</v>
      </c>
      <c r="N22" s="30">
        <f>1 - CUSTOS!$M$28</f>
        <v>1</v>
      </c>
      <c r="O22" s="30">
        <f>1 - CUSTOS!$M$28</f>
        <v>1</v>
      </c>
      <c r="P22" s="30"/>
      <c r="Q22" s="30">
        <f>(1 - CUSTOS!$M$28)*1</f>
        <v>1</v>
      </c>
      <c r="R22" s="30"/>
      <c r="S22" s="30">
        <f>1 - CUSTOS!$M$28</f>
        <v>1</v>
      </c>
      <c r="T22" s="30">
        <f>1 - CUSTOS!$M$28</f>
        <v>1</v>
      </c>
      <c r="U22" s="30">
        <f>1 - CUSTOS!$M$28</f>
        <v>1</v>
      </c>
      <c r="V22" s="30"/>
      <c r="W22" s="30"/>
      <c r="X22" s="30"/>
      <c r="Y22" s="30">
        <f>1 - CUSTOS!$M$28</f>
        <v>1</v>
      </c>
      <c r="Z22" s="30"/>
      <c r="AA22" s="30"/>
    </row>
    <row r="23" spans="1:27" ht="11.25" customHeight="1" x14ac:dyDescent="0.25">
      <c r="A23" s="136"/>
      <c r="B23" s="136"/>
      <c r="C23" s="136"/>
      <c r="D23" s="136"/>
      <c r="E23" s="136"/>
      <c r="F23" s="136"/>
      <c r="G23" s="32" t="s">
        <v>71</v>
      </c>
      <c r="H23" s="32" t="s">
        <v>69</v>
      </c>
      <c r="I23" s="32">
        <f>'MERCADO TE'!$U$20</f>
        <v>16.565999999999999</v>
      </c>
      <c r="J23" s="17"/>
      <c r="L23" s="30">
        <f>1 - CUSTOS!$M$28</f>
        <v>1</v>
      </c>
      <c r="M23" s="30">
        <f>1 - CUSTOS!$M$28</f>
        <v>1</v>
      </c>
      <c r="N23" s="30">
        <f>1 - CUSTOS!$M$28</f>
        <v>1</v>
      </c>
      <c r="O23" s="30">
        <f>1 - CUSTOS!$M$28</f>
        <v>1</v>
      </c>
      <c r="P23" s="30"/>
      <c r="Q23" s="30">
        <f>(1 - CUSTOS!$M$28)*1</f>
        <v>1</v>
      </c>
      <c r="R23" s="30"/>
      <c r="S23" s="30">
        <f>1 - CUSTOS!$M$28</f>
        <v>1</v>
      </c>
      <c r="T23" s="30">
        <f>1 - CUSTOS!$M$28</f>
        <v>1</v>
      </c>
      <c r="U23" s="30">
        <f>1 - CUSTOS!$M$28</f>
        <v>1</v>
      </c>
      <c r="V23" s="30"/>
      <c r="W23" s="30"/>
      <c r="X23" s="30"/>
      <c r="Y23" s="30">
        <f>1 - CUSTOS!$M$28</f>
        <v>1</v>
      </c>
      <c r="Z23" s="30"/>
      <c r="AA23" s="30"/>
    </row>
    <row r="24" spans="1:27" ht="11.25" customHeight="1" x14ac:dyDescent="0.25">
      <c r="A24" s="136"/>
      <c r="B24" s="33" t="s">
        <v>72</v>
      </c>
      <c r="C24" s="33" t="s">
        <v>42</v>
      </c>
      <c r="D24" s="33" t="s">
        <v>25</v>
      </c>
      <c r="E24" s="33" t="s">
        <v>25</v>
      </c>
      <c r="F24" s="33" t="s">
        <v>25</v>
      </c>
      <c r="G24" s="32" t="s">
        <v>73</v>
      </c>
      <c r="H24" s="32" t="s">
        <v>69</v>
      </c>
      <c r="I24" s="32">
        <f>'MERCADO TE'!$U$21</f>
        <v>2549.6099999999997</v>
      </c>
      <c r="J24" s="17"/>
      <c r="L24" s="30">
        <f>1 - CUSTOS!$M$28</f>
        <v>1</v>
      </c>
      <c r="M24" s="30">
        <f>1 - CUSTOS!$M$28</f>
        <v>1</v>
      </c>
      <c r="N24" s="30">
        <f>1 - CUSTOS!$M$28</f>
        <v>1</v>
      </c>
      <c r="O24" s="30">
        <f>1 - CUSTOS!$M$28</f>
        <v>1</v>
      </c>
      <c r="P24" s="30"/>
      <c r="Q24" s="30">
        <f>(1 - CUSTOS!$M$28)*1</f>
        <v>1</v>
      </c>
      <c r="R24" s="30"/>
      <c r="S24" s="30">
        <f>1 - CUSTOS!$M$28</f>
        <v>1</v>
      </c>
      <c r="T24" s="30">
        <f>1 - CUSTOS!$M$28</f>
        <v>1</v>
      </c>
      <c r="U24" s="30">
        <f>1 - CUSTOS!$M$28</f>
        <v>1</v>
      </c>
      <c r="V24" s="30"/>
      <c r="W24" s="30"/>
      <c r="X24" s="30"/>
      <c r="Y24" s="30">
        <f>1 - CUSTOS!$M$28</f>
        <v>1</v>
      </c>
      <c r="Z24" s="30"/>
      <c r="AA24" s="30"/>
    </row>
    <row r="25" spans="1:27" ht="11.25" customHeight="1" x14ac:dyDescent="0.25">
      <c r="A25" s="136"/>
      <c r="B25" s="136" t="s">
        <v>68</v>
      </c>
      <c r="C25" s="136" t="s">
        <v>42</v>
      </c>
      <c r="D25" s="136" t="s">
        <v>86</v>
      </c>
      <c r="E25" s="136" t="s">
        <v>25</v>
      </c>
      <c r="F25" s="136" t="s">
        <v>25</v>
      </c>
      <c r="G25" s="32" t="s">
        <v>70</v>
      </c>
      <c r="H25" s="32" t="s">
        <v>69</v>
      </c>
      <c r="I25" s="32">
        <f>'MERCADO TE'!$U$22</f>
        <v>0</v>
      </c>
      <c r="J25" s="17"/>
      <c r="L25" s="30">
        <f>1 - CUSTOS!$M$29</f>
        <v>1</v>
      </c>
      <c r="M25" s="30">
        <f>1 - CUSTOS!$M$29</f>
        <v>1</v>
      </c>
      <c r="N25" s="30">
        <f>1 - CUSTOS!$M$29</f>
        <v>1</v>
      </c>
      <c r="O25" s="30">
        <f>1 - CUSTOS!$M$29</f>
        <v>1</v>
      </c>
      <c r="P25" s="30"/>
      <c r="Q25" s="30">
        <f>(1 - CUSTOS!$M$29)*1</f>
        <v>1</v>
      </c>
      <c r="R25" s="30"/>
      <c r="S25" s="30">
        <f>1 - CUSTOS!$M$29</f>
        <v>1</v>
      </c>
      <c r="T25" s="30">
        <f>1 - CUSTOS!$M$29</f>
        <v>1</v>
      </c>
      <c r="U25" s="30">
        <f>1 - CUSTOS!$M$29</f>
        <v>1</v>
      </c>
      <c r="V25" s="30"/>
      <c r="W25" s="30"/>
      <c r="X25" s="30"/>
      <c r="Y25" s="30">
        <f>1 - CUSTOS!$M$29</f>
        <v>1</v>
      </c>
      <c r="Z25" s="30"/>
      <c r="AA25" s="30"/>
    </row>
    <row r="26" spans="1:27" ht="11.25" customHeight="1" x14ac:dyDescent="0.25">
      <c r="A26" s="136"/>
      <c r="B26" s="136"/>
      <c r="C26" s="136"/>
      <c r="D26" s="136"/>
      <c r="E26" s="136"/>
      <c r="F26" s="136"/>
      <c r="G26" s="32" t="s">
        <v>83</v>
      </c>
      <c r="H26" s="32" t="s">
        <v>69</v>
      </c>
      <c r="I26" s="32">
        <f>'MERCADO TE'!$U$23</f>
        <v>0</v>
      </c>
      <c r="J26" s="17"/>
      <c r="L26" s="30">
        <f>1 - CUSTOS!$M$29</f>
        <v>1</v>
      </c>
      <c r="M26" s="30">
        <f>1 - CUSTOS!$M$29</f>
        <v>1</v>
      </c>
      <c r="N26" s="30">
        <f>1 - CUSTOS!$M$29</f>
        <v>1</v>
      </c>
      <c r="O26" s="30">
        <f>1 - CUSTOS!$M$29</f>
        <v>1</v>
      </c>
      <c r="P26" s="30"/>
      <c r="Q26" s="30">
        <f>(1 - CUSTOS!$M$29)*1</f>
        <v>1</v>
      </c>
      <c r="R26" s="30"/>
      <c r="S26" s="30">
        <f>1 - CUSTOS!$M$29</f>
        <v>1</v>
      </c>
      <c r="T26" s="30">
        <f>1 - CUSTOS!$M$29</f>
        <v>1</v>
      </c>
      <c r="U26" s="30">
        <f>1 - CUSTOS!$M$29</f>
        <v>1</v>
      </c>
      <c r="V26" s="30"/>
      <c r="W26" s="30"/>
      <c r="X26" s="30"/>
      <c r="Y26" s="30">
        <f>1 - CUSTOS!$M$29</f>
        <v>1</v>
      </c>
      <c r="Z26" s="30"/>
      <c r="AA26" s="30"/>
    </row>
    <row r="27" spans="1:27" ht="11.25" customHeight="1" x14ac:dyDescent="0.25">
      <c r="A27" s="136"/>
      <c r="B27" s="136"/>
      <c r="C27" s="136"/>
      <c r="D27" s="136"/>
      <c r="E27" s="136"/>
      <c r="F27" s="136"/>
      <c r="G27" s="32" t="s">
        <v>71</v>
      </c>
      <c r="H27" s="32" t="s">
        <v>69</v>
      </c>
      <c r="I27" s="32">
        <f>'MERCADO TE'!$U$24</f>
        <v>0</v>
      </c>
      <c r="J27" s="17"/>
      <c r="L27" s="30">
        <f>1 - CUSTOS!$M$29</f>
        <v>1</v>
      </c>
      <c r="M27" s="30">
        <f>1 - CUSTOS!$M$29</f>
        <v>1</v>
      </c>
      <c r="N27" s="30">
        <f>1 - CUSTOS!$M$29</f>
        <v>1</v>
      </c>
      <c r="O27" s="30">
        <f>1 - CUSTOS!$M$29</f>
        <v>1</v>
      </c>
      <c r="P27" s="30"/>
      <c r="Q27" s="30">
        <f>(1 - CUSTOS!$M$29)*1</f>
        <v>1</v>
      </c>
      <c r="R27" s="30"/>
      <c r="S27" s="30">
        <f>1 - CUSTOS!$M$29</f>
        <v>1</v>
      </c>
      <c r="T27" s="30">
        <f>1 - CUSTOS!$M$29</f>
        <v>1</v>
      </c>
      <c r="U27" s="30">
        <f>1 - CUSTOS!$M$29</f>
        <v>1</v>
      </c>
      <c r="V27" s="30"/>
      <c r="W27" s="30"/>
      <c r="X27" s="30"/>
      <c r="Y27" s="30">
        <f>1 - CUSTOS!$M$29</f>
        <v>1</v>
      </c>
      <c r="Z27" s="30"/>
      <c r="AA27" s="30"/>
    </row>
    <row r="28" spans="1:27" ht="11.25" customHeight="1" x14ac:dyDescent="0.25">
      <c r="A28" s="136"/>
      <c r="B28" s="33" t="s">
        <v>72</v>
      </c>
      <c r="C28" s="33" t="s">
        <v>42</v>
      </c>
      <c r="D28" s="33" t="s">
        <v>86</v>
      </c>
      <c r="E28" s="33" t="s">
        <v>25</v>
      </c>
      <c r="F28" s="33" t="s">
        <v>25</v>
      </c>
      <c r="G28" s="32" t="s">
        <v>73</v>
      </c>
      <c r="H28" s="32" t="s">
        <v>69</v>
      </c>
      <c r="I28" s="32">
        <f>'MERCADO TE'!$U$25</f>
        <v>0</v>
      </c>
      <c r="J28" s="17"/>
      <c r="L28" s="30">
        <f>1 - CUSTOS!$M$29</f>
        <v>1</v>
      </c>
      <c r="M28" s="30">
        <f>1 - CUSTOS!$M$29</f>
        <v>1</v>
      </c>
      <c r="N28" s="30">
        <f>1 - CUSTOS!$M$29</f>
        <v>1</v>
      </c>
      <c r="O28" s="30">
        <f>1 - CUSTOS!$M$29</f>
        <v>1</v>
      </c>
      <c r="P28" s="30"/>
      <c r="Q28" s="30">
        <f>(1 - CUSTOS!$M$29)*1</f>
        <v>1</v>
      </c>
      <c r="R28" s="30"/>
      <c r="S28" s="30">
        <f>1 - CUSTOS!$M$29</f>
        <v>1</v>
      </c>
      <c r="T28" s="30">
        <f>1 - CUSTOS!$M$29</f>
        <v>1</v>
      </c>
      <c r="U28" s="30">
        <f>1 - CUSTOS!$M$29</f>
        <v>1</v>
      </c>
      <c r="V28" s="30"/>
      <c r="W28" s="30"/>
      <c r="X28" s="30"/>
      <c r="Y28" s="30">
        <f>1 - CUSTOS!$M$29</f>
        <v>1</v>
      </c>
      <c r="Z28" s="30"/>
      <c r="AA28" s="30"/>
    </row>
    <row r="29" spans="1:27" ht="11.25" customHeight="1" x14ac:dyDescent="0.25">
      <c r="A29" s="136"/>
      <c r="B29" s="136" t="s">
        <v>68</v>
      </c>
      <c r="C29" s="136" t="s">
        <v>42</v>
      </c>
      <c r="D29" s="136" t="s">
        <v>87</v>
      </c>
      <c r="E29" s="136" t="s">
        <v>25</v>
      </c>
      <c r="F29" s="136" t="s">
        <v>25</v>
      </c>
      <c r="G29" s="32" t="s">
        <v>70</v>
      </c>
      <c r="H29" s="32" t="s">
        <v>69</v>
      </c>
      <c r="I29" s="32">
        <f>'MERCADO TE'!$U$26</f>
        <v>0</v>
      </c>
      <c r="J29" s="17"/>
      <c r="L29" s="30">
        <f>1 - CUSTOS!$M$30</f>
        <v>1</v>
      </c>
      <c r="M29" s="30">
        <f>1 - CUSTOS!$M$30</f>
        <v>1</v>
      </c>
      <c r="N29" s="30">
        <f>1 - CUSTOS!$M$30</f>
        <v>1</v>
      </c>
      <c r="O29" s="30">
        <f>1 - CUSTOS!$M$30</f>
        <v>1</v>
      </c>
      <c r="P29" s="30"/>
      <c r="Q29" s="30">
        <f>(1 - CUSTOS!$M$30)*1</f>
        <v>1</v>
      </c>
      <c r="R29" s="30"/>
      <c r="S29" s="30">
        <f>1 - CUSTOS!$M$30</f>
        <v>1</v>
      </c>
      <c r="T29" s="30">
        <f>1 - CUSTOS!$M$30</f>
        <v>1</v>
      </c>
      <c r="U29" s="30">
        <f>1 - CUSTOS!$M$30</f>
        <v>1</v>
      </c>
      <c r="V29" s="30"/>
      <c r="W29" s="30"/>
      <c r="X29" s="30"/>
      <c r="Y29" s="30">
        <f>1 - CUSTOS!$M$30</f>
        <v>1</v>
      </c>
      <c r="Z29" s="30"/>
      <c r="AA29" s="30"/>
    </row>
    <row r="30" spans="1:27" ht="11.25" customHeight="1" x14ac:dyDescent="0.25">
      <c r="A30" s="136"/>
      <c r="B30" s="136"/>
      <c r="C30" s="136"/>
      <c r="D30" s="136"/>
      <c r="E30" s="136"/>
      <c r="F30" s="136"/>
      <c r="G30" s="32" t="s">
        <v>83</v>
      </c>
      <c r="H30" s="32" t="s">
        <v>69</v>
      </c>
      <c r="I30" s="32">
        <f>'MERCADO TE'!$U$27</f>
        <v>0</v>
      </c>
      <c r="J30" s="17"/>
      <c r="L30" s="30">
        <f>1 - CUSTOS!$M$30</f>
        <v>1</v>
      </c>
      <c r="M30" s="30">
        <f>1 - CUSTOS!$M$30</f>
        <v>1</v>
      </c>
      <c r="N30" s="30">
        <f>1 - CUSTOS!$M$30</f>
        <v>1</v>
      </c>
      <c r="O30" s="30">
        <f>1 - CUSTOS!$M$30</f>
        <v>1</v>
      </c>
      <c r="P30" s="30"/>
      <c r="Q30" s="30">
        <f>(1 - CUSTOS!$M$30)*1</f>
        <v>1</v>
      </c>
      <c r="R30" s="30"/>
      <c r="S30" s="30">
        <f>1 - CUSTOS!$M$30</f>
        <v>1</v>
      </c>
      <c r="T30" s="30">
        <f>1 - CUSTOS!$M$30</f>
        <v>1</v>
      </c>
      <c r="U30" s="30">
        <f>1 - CUSTOS!$M$30</f>
        <v>1</v>
      </c>
      <c r="V30" s="30"/>
      <c r="W30" s="30"/>
      <c r="X30" s="30"/>
      <c r="Y30" s="30">
        <f>1 - CUSTOS!$M$30</f>
        <v>1</v>
      </c>
      <c r="Z30" s="30"/>
      <c r="AA30" s="30"/>
    </row>
    <row r="31" spans="1:27" ht="11.25" customHeight="1" x14ac:dyDescent="0.25">
      <c r="A31" s="136"/>
      <c r="B31" s="136"/>
      <c r="C31" s="136"/>
      <c r="D31" s="136"/>
      <c r="E31" s="136"/>
      <c r="F31" s="136"/>
      <c r="G31" s="32" t="s">
        <v>71</v>
      </c>
      <c r="H31" s="32" t="s">
        <v>69</v>
      </c>
      <c r="I31" s="32">
        <f>'MERCADO TE'!$U$28</f>
        <v>0</v>
      </c>
      <c r="J31" s="17"/>
      <c r="L31" s="30">
        <f>1 - CUSTOS!$M$30</f>
        <v>1</v>
      </c>
      <c r="M31" s="30">
        <f>1 - CUSTOS!$M$30</f>
        <v>1</v>
      </c>
      <c r="N31" s="30">
        <f>1 - CUSTOS!$M$30</f>
        <v>1</v>
      </c>
      <c r="O31" s="30">
        <f>1 - CUSTOS!$M$30</f>
        <v>1</v>
      </c>
      <c r="P31" s="30"/>
      <c r="Q31" s="30">
        <f>(1 - CUSTOS!$M$30)*1</f>
        <v>1</v>
      </c>
      <c r="R31" s="30"/>
      <c r="S31" s="30">
        <f>1 - CUSTOS!$M$30</f>
        <v>1</v>
      </c>
      <c r="T31" s="30">
        <f>1 - CUSTOS!$M$30</f>
        <v>1</v>
      </c>
      <c r="U31" s="30">
        <f>1 - CUSTOS!$M$30</f>
        <v>1</v>
      </c>
      <c r="V31" s="30"/>
      <c r="W31" s="30"/>
      <c r="X31" s="30"/>
      <c r="Y31" s="30">
        <f>1 - CUSTOS!$M$30</f>
        <v>1</v>
      </c>
      <c r="Z31" s="30"/>
      <c r="AA31" s="30"/>
    </row>
    <row r="32" spans="1:27" ht="11.25" customHeight="1" x14ac:dyDescent="0.25">
      <c r="A32" s="136"/>
      <c r="B32" s="33" t="s">
        <v>72</v>
      </c>
      <c r="C32" s="33" t="s">
        <v>42</v>
      </c>
      <c r="D32" s="33" t="s">
        <v>87</v>
      </c>
      <c r="E32" s="33" t="s">
        <v>25</v>
      </c>
      <c r="F32" s="33" t="s">
        <v>25</v>
      </c>
      <c r="G32" s="32" t="s">
        <v>73</v>
      </c>
      <c r="H32" s="32" t="s">
        <v>69</v>
      </c>
      <c r="I32" s="32">
        <f>'MERCADO TE'!$U$29</f>
        <v>0</v>
      </c>
      <c r="J32" s="17"/>
      <c r="L32" s="30">
        <f>1 - CUSTOS!$M$30</f>
        <v>1</v>
      </c>
      <c r="M32" s="30">
        <f>1 - CUSTOS!$M$30</f>
        <v>1</v>
      </c>
      <c r="N32" s="30">
        <f>1 - CUSTOS!$M$30</f>
        <v>1</v>
      </c>
      <c r="O32" s="30">
        <f>1 - CUSTOS!$M$30</f>
        <v>1</v>
      </c>
      <c r="P32" s="30"/>
      <c r="Q32" s="30">
        <f>(1 - CUSTOS!$M$30)*1</f>
        <v>1</v>
      </c>
      <c r="R32" s="30"/>
      <c r="S32" s="30">
        <f>1 - CUSTOS!$M$30</f>
        <v>1</v>
      </c>
      <c r="T32" s="30">
        <f>1 - CUSTOS!$M$30</f>
        <v>1</v>
      </c>
      <c r="U32" s="30">
        <f>1 - CUSTOS!$M$30</f>
        <v>1</v>
      </c>
      <c r="V32" s="30"/>
      <c r="W32" s="30"/>
      <c r="X32" s="30"/>
      <c r="Y32" s="30">
        <f>1 - CUSTOS!$M$30</f>
        <v>1</v>
      </c>
      <c r="Z32" s="30"/>
      <c r="AA32" s="30"/>
    </row>
    <row r="33" spans="1:27" ht="11.25" customHeight="1" x14ac:dyDescent="0.25">
      <c r="A33" s="136"/>
      <c r="B33" s="136" t="s">
        <v>84</v>
      </c>
      <c r="C33" s="136" t="s">
        <v>42</v>
      </c>
      <c r="D33" s="33" t="s">
        <v>25</v>
      </c>
      <c r="E33" s="33" t="s">
        <v>25</v>
      </c>
      <c r="F33" s="33" t="s">
        <v>25</v>
      </c>
      <c r="G33" s="32" t="s">
        <v>73</v>
      </c>
      <c r="H33" s="32" t="s">
        <v>69</v>
      </c>
      <c r="I33" s="32">
        <f>'MERCADO TE'!$U$30</f>
        <v>0</v>
      </c>
      <c r="J33" s="17"/>
      <c r="L33" s="30">
        <f>1 - CUSTOS!$M$28</f>
        <v>1</v>
      </c>
      <c r="M33" s="30">
        <f>1 - CUSTOS!$M$28</f>
        <v>1</v>
      </c>
      <c r="N33" s="30">
        <f>1 - CUSTOS!$M$28</f>
        <v>1</v>
      </c>
      <c r="O33" s="30">
        <f>1 - CUSTOS!$M$28</f>
        <v>1</v>
      </c>
      <c r="P33" s="30"/>
      <c r="Q33" s="30">
        <f>(1 - CUSTOS!$M$28)*1</f>
        <v>1</v>
      </c>
      <c r="R33" s="30"/>
      <c r="S33" s="30">
        <f>1 - CUSTOS!$M$28</f>
        <v>1</v>
      </c>
      <c r="T33" s="30">
        <f>1 - CUSTOS!$M$28</f>
        <v>1</v>
      </c>
      <c r="U33" s="30">
        <f>1 - CUSTOS!$M$28</f>
        <v>1</v>
      </c>
      <c r="V33" s="30"/>
      <c r="W33" s="30"/>
      <c r="X33" s="30"/>
      <c r="Y33" s="30">
        <f>1 - CUSTOS!$M$28</f>
        <v>1</v>
      </c>
      <c r="Z33" s="30"/>
      <c r="AA33" s="30"/>
    </row>
    <row r="34" spans="1:27" ht="11.25" customHeight="1" x14ac:dyDescent="0.25">
      <c r="A34" s="136"/>
      <c r="B34" s="136"/>
      <c r="C34" s="136"/>
      <c r="D34" s="33" t="s">
        <v>86</v>
      </c>
      <c r="E34" s="33" t="s">
        <v>25</v>
      </c>
      <c r="F34" s="33" t="s">
        <v>25</v>
      </c>
      <c r="G34" s="32" t="s">
        <v>73</v>
      </c>
      <c r="H34" s="32" t="s">
        <v>69</v>
      </c>
      <c r="I34" s="32">
        <f>'MERCADO TE'!$U$31</f>
        <v>0</v>
      </c>
      <c r="J34" s="17"/>
      <c r="L34" s="30">
        <f>1 - CUSTOS!$M$29</f>
        <v>1</v>
      </c>
      <c r="M34" s="30">
        <f>1 - CUSTOS!$M$29</f>
        <v>1</v>
      </c>
      <c r="N34" s="30">
        <f>1 - CUSTOS!$M$29</f>
        <v>1</v>
      </c>
      <c r="O34" s="30">
        <f>1 - CUSTOS!$M$29</f>
        <v>1</v>
      </c>
      <c r="P34" s="30"/>
      <c r="Q34" s="30">
        <f>(1 - CUSTOS!$M$29)*1</f>
        <v>1</v>
      </c>
      <c r="R34" s="30"/>
      <c r="S34" s="30">
        <f>1 - CUSTOS!$M$29</f>
        <v>1</v>
      </c>
      <c r="T34" s="30">
        <f>1 - CUSTOS!$M$29</f>
        <v>1</v>
      </c>
      <c r="U34" s="30">
        <f>1 - CUSTOS!$M$29</f>
        <v>1</v>
      </c>
      <c r="V34" s="30"/>
      <c r="W34" s="30"/>
      <c r="X34" s="30"/>
      <c r="Y34" s="30">
        <f>1 - CUSTOS!$M$29</f>
        <v>1</v>
      </c>
      <c r="Z34" s="30"/>
      <c r="AA34" s="30"/>
    </row>
    <row r="35" spans="1:27" ht="11.25" customHeight="1" x14ac:dyDescent="0.25">
      <c r="A35" s="136"/>
      <c r="B35" s="136"/>
      <c r="C35" s="136"/>
      <c r="D35" s="33" t="s">
        <v>87</v>
      </c>
      <c r="E35" s="33" t="s">
        <v>25</v>
      </c>
      <c r="F35" s="33" t="s">
        <v>25</v>
      </c>
      <c r="G35" s="32" t="s">
        <v>73</v>
      </c>
      <c r="H35" s="32" t="s">
        <v>69</v>
      </c>
      <c r="I35" s="32">
        <f>'MERCADO TE'!$U$32</f>
        <v>0</v>
      </c>
      <c r="J35" s="17"/>
      <c r="L35" s="30">
        <f>1 - CUSTOS!$M$30</f>
        <v>1</v>
      </c>
      <c r="M35" s="30">
        <f>1 - CUSTOS!$M$30</f>
        <v>1</v>
      </c>
      <c r="N35" s="30">
        <f>1 - CUSTOS!$M$30</f>
        <v>1</v>
      </c>
      <c r="O35" s="30">
        <f>1 - CUSTOS!$M$30</f>
        <v>1</v>
      </c>
      <c r="P35" s="30"/>
      <c r="Q35" s="30">
        <f>(1 - CUSTOS!$M$30)*1</f>
        <v>1</v>
      </c>
      <c r="R35" s="30"/>
      <c r="S35" s="30">
        <f>1 - CUSTOS!$M$30</f>
        <v>1</v>
      </c>
      <c r="T35" s="30">
        <f>1 - CUSTOS!$M$30</f>
        <v>1</v>
      </c>
      <c r="U35" s="30">
        <f>1 - CUSTOS!$M$30</f>
        <v>1</v>
      </c>
      <c r="V35" s="30"/>
      <c r="W35" s="30"/>
      <c r="X35" s="30"/>
      <c r="Y35" s="30">
        <f>1 - CUSTOS!$M$30</f>
        <v>1</v>
      </c>
      <c r="Z35" s="30"/>
      <c r="AA35" s="30"/>
    </row>
    <row r="36" spans="1:27" ht="11.25" customHeight="1" x14ac:dyDescent="0.25">
      <c r="A36" s="136" t="s">
        <v>32</v>
      </c>
      <c r="B36" s="136" t="s">
        <v>68</v>
      </c>
      <c r="C36" s="136" t="s">
        <v>25</v>
      </c>
      <c r="D36" s="136" t="s">
        <v>25</v>
      </c>
      <c r="E36" s="136" t="s">
        <v>25</v>
      </c>
      <c r="F36" s="136" t="s">
        <v>25</v>
      </c>
      <c r="G36" s="32" t="s">
        <v>70</v>
      </c>
      <c r="H36" s="32" t="s">
        <v>69</v>
      </c>
      <c r="I36" s="32">
        <f>'MERCADO TE'!$U$33</f>
        <v>0.13600000000000001</v>
      </c>
      <c r="J36" s="17"/>
      <c r="L36" s="30">
        <f>1 - CUSTOS!$M$31</f>
        <v>1</v>
      </c>
      <c r="M36" s="30">
        <f>1 - CUSTOS!$M$31</f>
        <v>1</v>
      </c>
      <c r="N36" s="30">
        <f>1 - CUSTOS!$M$31</f>
        <v>1</v>
      </c>
      <c r="O36" s="30">
        <f>1 - CUSTOS!$M$31</f>
        <v>1</v>
      </c>
      <c r="P36" s="30"/>
      <c r="Q36" s="30">
        <f>(1 - CUSTOS!$M$31)*1</f>
        <v>1</v>
      </c>
      <c r="R36" s="30"/>
      <c r="S36" s="30">
        <f>1 - CUSTOS!$M$31</f>
        <v>1</v>
      </c>
      <c r="T36" s="30">
        <f>1 - CUSTOS!$M$31</f>
        <v>1</v>
      </c>
      <c r="U36" s="30">
        <f>1 - CUSTOS!$M$31</f>
        <v>1</v>
      </c>
      <c r="V36" s="30"/>
      <c r="W36" s="30"/>
      <c r="X36" s="30"/>
      <c r="Y36" s="30">
        <f>1 - CUSTOS!$M$31</f>
        <v>1</v>
      </c>
      <c r="Z36" s="30"/>
      <c r="AA36" s="30"/>
    </row>
    <row r="37" spans="1:27" ht="11.25" customHeight="1" x14ac:dyDescent="0.25">
      <c r="A37" s="136"/>
      <c r="B37" s="136"/>
      <c r="C37" s="136"/>
      <c r="D37" s="136"/>
      <c r="E37" s="136"/>
      <c r="F37" s="136"/>
      <c r="G37" s="32" t="s">
        <v>83</v>
      </c>
      <c r="H37" s="32" t="s">
        <v>69</v>
      </c>
      <c r="I37" s="32">
        <f>'MERCADO TE'!$U$34</f>
        <v>0.16400000000000003</v>
      </c>
      <c r="J37" s="17"/>
      <c r="L37" s="30">
        <f>1 - CUSTOS!$M$31</f>
        <v>1</v>
      </c>
      <c r="M37" s="30">
        <f>1 - CUSTOS!$M$31</f>
        <v>1</v>
      </c>
      <c r="N37" s="30">
        <f>1 - CUSTOS!$M$31</f>
        <v>1</v>
      </c>
      <c r="O37" s="30">
        <f>1 - CUSTOS!$M$31</f>
        <v>1</v>
      </c>
      <c r="P37" s="30"/>
      <c r="Q37" s="30">
        <f>(1 - CUSTOS!$M$31)*1</f>
        <v>1</v>
      </c>
      <c r="R37" s="30"/>
      <c r="S37" s="30">
        <f>1 - CUSTOS!$M$31</f>
        <v>1</v>
      </c>
      <c r="T37" s="30">
        <f>1 - CUSTOS!$M$31</f>
        <v>1</v>
      </c>
      <c r="U37" s="30">
        <f>1 - CUSTOS!$M$31</f>
        <v>1</v>
      </c>
      <c r="V37" s="30"/>
      <c r="W37" s="30"/>
      <c r="X37" s="30"/>
      <c r="Y37" s="30">
        <f>1 - CUSTOS!$M$31</f>
        <v>1</v>
      </c>
      <c r="Z37" s="30"/>
      <c r="AA37" s="30"/>
    </row>
    <row r="38" spans="1:27" ht="11.25" customHeight="1" x14ac:dyDescent="0.25">
      <c r="A38" s="136"/>
      <c r="B38" s="136"/>
      <c r="C38" s="136"/>
      <c r="D38" s="136"/>
      <c r="E38" s="136"/>
      <c r="F38" s="136"/>
      <c r="G38" s="32" t="s">
        <v>71</v>
      </c>
      <c r="H38" s="32" t="s">
        <v>69</v>
      </c>
      <c r="I38" s="32">
        <f>'MERCADO TE'!$U$35</f>
        <v>5.0719999999999992</v>
      </c>
      <c r="J38" s="17"/>
      <c r="L38" s="30">
        <f>1 - CUSTOS!$M$31</f>
        <v>1</v>
      </c>
      <c r="M38" s="30">
        <f>1 - CUSTOS!$M$31</f>
        <v>1</v>
      </c>
      <c r="N38" s="30">
        <f>1 - CUSTOS!$M$31</f>
        <v>1</v>
      </c>
      <c r="O38" s="30">
        <f>1 - CUSTOS!$M$31</f>
        <v>1</v>
      </c>
      <c r="P38" s="30"/>
      <c r="Q38" s="30">
        <f>(1 - CUSTOS!$M$31)*1</f>
        <v>1</v>
      </c>
      <c r="R38" s="30"/>
      <c r="S38" s="30">
        <f>1 - CUSTOS!$M$31</f>
        <v>1</v>
      </c>
      <c r="T38" s="30">
        <f>1 - CUSTOS!$M$31</f>
        <v>1</v>
      </c>
      <c r="U38" s="30">
        <f>1 - CUSTOS!$M$31</f>
        <v>1</v>
      </c>
      <c r="V38" s="30"/>
      <c r="W38" s="30"/>
      <c r="X38" s="30"/>
      <c r="Y38" s="30">
        <f>1 - CUSTOS!$M$31</f>
        <v>1</v>
      </c>
      <c r="Z38" s="30"/>
      <c r="AA38" s="30"/>
    </row>
    <row r="39" spans="1:27" ht="11.25" customHeight="1" x14ac:dyDescent="0.25">
      <c r="A39" s="136"/>
      <c r="B39" s="33" t="s">
        <v>72</v>
      </c>
      <c r="C39" s="33" t="s">
        <v>25</v>
      </c>
      <c r="D39" s="33" t="s">
        <v>25</v>
      </c>
      <c r="E39" s="33" t="s">
        <v>25</v>
      </c>
      <c r="F39" s="33" t="s">
        <v>25</v>
      </c>
      <c r="G39" s="32" t="s">
        <v>73</v>
      </c>
      <c r="H39" s="32" t="s">
        <v>69</v>
      </c>
      <c r="I39" s="32">
        <f>'MERCADO TE'!$U$36</f>
        <v>1791.422</v>
      </c>
      <c r="J39" s="17"/>
      <c r="L39" s="30">
        <f>1 - CUSTOS!$M$31</f>
        <v>1</v>
      </c>
      <c r="M39" s="30">
        <f>1 - CUSTOS!$M$31</f>
        <v>1</v>
      </c>
      <c r="N39" s="30">
        <f>1 - CUSTOS!$M$31</f>
        <v>1</v>
      </c>
      <c r="O39" s="30">
        <f>1 - CUSTOS!$M$31</f>
        <v>1</v>
      </c>
      <c r="P39" s="30"/>
      <c r="Q39" s="30">
        <f>(1 - CUSTOS!$M$31)*1</f>
        <v>1</v>
      </c>
      <c r="R39" s="30"/>
      <c r="S39" s="30">
        <f>1 - CUSTOS!$M$31</f>
        <v>1</v>
      </c>
      <c r="T39" s="30">
        <f>1 - CUSTOS!$M$31</f>
        <v>1</v>
      </c>
      <c r="U39" s="30">
        <f>1 - CUSTOS!$M$31</f>
        <v>1</v>
      </c>
      <c r="V39" s="30"/>
      <c r="W39" s="30"/>
      <c r="X39" s="30"/>
      <c r="Y39" s="30">
        <f>1 - CUSTOS!$M$31</f>
        <v>1</v>
      </c>
      <c r="Z39" s="30"/>
      <c r="AA39" s="30"/>
    </row>
    <row r="40" spans="1:27" ht="11.25" customHeight="1" x14ac:dyDescent="0.25">
      <c r="A40" s="136"/>
      <c r="B40" s="33" t="s">
        <v>84</v>
      </c>
      <c r="C40" s="33" t="s">
        <v>25</v>
      </c>
      <c r="D40" s="33" t="s">
        <v>25</v>
      </c>
      <c r="E40" s="33" t="s">
        <v>25</v>
      </c>
      <c r="F40" s="33" t="s">
        <v>25</v>
      </c>
      <c r="G40" s="32" t="s">
        <v>73</v>
      </c>
      <c r="H40" s="32" t="s">
        <v>69</v>
      </c>
      <c r="I40" s="32">
        <f>'MERCADO TE'!$U$37</f>
        <v>0</v>
      </c>
      <c r="J40" s="17"/>
      <c r="L40" s="30">
        <f>1 - CUSTOS!$M$31</f>
        <v>1</v>
      </c>
      <c r="M40" s="30">
        <f>1 - CUSTOS!$M$31</f>
        <v>1</v>
      </c>
      <c r="N40" s="30">
        <f>1 - CUSTOS!$M$31</f>
        <v>1</v>
      </c>
      <c r="O40" s="30">
        <f>1 - CUSTOS!$M$31</f>
        <v>1</v>
      </c>
      <c r="P40" s="30"/>
      <c r="Q40" s="30">
        <f>(1 - CUSTOS!$M$31)*1</f>
        <v>1</v>
      </c>
      <c r="R40" s="30"/>
      <c r="S40" s="30">
        <f>1 - CUSTOS!$M$31</f>
        <v>1</v>
      </c>
      <c r="T40" s="30">
        <f>1 - CUSTOS!$M$31</f>
        <v>1</v>
      </c>
      <c r="U40" s="30">
        <f>1 - CUSTOS!$M$31</f>
        <v>1</v>
      </c>
      <c r="V40" s="30"/>
      <c r="W40" s="30"/>
      <c r="X40" s="30"/>
      <c r="Y40" s="30">
        <f>1 - CUSTOS!$M$31</f>
        <v>1</v>
      </c>
      <c r="Z40" s="30"/>
      <c r="AA40" s="30"/>
    </row>
    <row r="41" spans="1:27" ht="11.25" customHeight="1" x14ac:dyDescent="0.25">
      <c r="A41" s="136" t="s">
        <v>44</v>
      </c>
      <c r="B41" s="136" t="s">
        <v>72</v>
      </c>
      <c r="C41" s="136" t="s">
        <v>45</v>
      </c>
      <c r="D41" s="33" t="s">
        <v>46</v>
      </c>
      <c r="E41" s="33" t="s">
        <v>25</v>
      </c>
      <c r="F41" s="33" t="s">
        <v>25</v>
      </c>
      <c r="G41" s="32" t="s">
        <v>73</v>
      </c>
      <c r="H41" s="32" t="s">
        <v>69</v>
      </c>
      <c r="I41" s="32">
        <f>'MERCADO TE'!$U$38</f>
        <v>1518.0680000000002</v>
      </c>
      <c r="J41" s="17"/>
      <c r="L41" s="30">
        <f>1 - CUSTOS!$M$32</f>
        <v>0.55000000000000004</v>
      </c>
      <c r="M41" s="30">
        <f>1 - CUSTOS!$M$32</f>
        <v>0.55000000000000004</v>
      </c>
      <c r="N41" s="30">
        <f>1 - CUSTOS!$M$32</f>
        <v>0.55000000000000004</v>
      </c>
      <c r="O41" s="30">
        <f>1 - CUSTOS!$M$32</f>
        <v>0.55000000000000004</v>
      </c>
      <c r="P41" s="30"/>
      <c r="Q41" s="30">
        <f>(1 - CUSTOS!$M$32)*1</f>
        <v>0.55000000000000004</v>
      </c>
      <c r="R41" s="30"/>
      <c r="S41" s="30">
        <f>1 - CUSTOS!$M$32</f>
        <v>0.55000000000000004</v>
      </c>
      <c r="T41" s="30">
        <f>1 - CUSTOS!$M$32</f>
        <v>0.55000000000000004</v>
      </c>
      <c r="U41" s="30">
        <f>1 - CUSTOS!$M$32</f>
        <v>0.55000000000000004</v>
      </c>
      <c r="V41" s="30"/>
      <c r="W41" s="30"/>
      <c r="X41" s="30"/>
      <c r="Y41" s="30">
        <f>1 - CUSTOS!$M$32</f>
        <v>0.55000000000000004</v>
      </c>
      <c r="Z41" s="30"/>
      <c r="AA41" s="30"/>
    </row>
    <row r="42" spans="1:27" ht="11.25" customHeight="1" x14ac:dyDescent="0.25">
      <c r="A42" s="136"/>
      <c r="B42" s="136"/>
      <c r="C42" s="136"/>
      <c r="D42" s="32" t="s">
        <v>88</v>
      </c>
      <c r="E42" s="32" t="s">
        <v>25</v>
      </c>
      <c r="F42" s="32" t="s">
        <v>25</v>
      </c>
      <c r="G42" s="32" t="s">
        <v>73</v>
      </c>
      <c r="H42" s="32" t="s">
        <v>69</v>
      </c>
      <c r="I42" s="32">
        <f>'MERCADO TE'!$U$39</f>
        <v>0</v>
      </c>
      <c r="J42" s="17"/>
      <c r="L42" s="30">
        <f>1 - CUSTOS!$M$33</f>
        <v>0.6</v>
      </c>
      <c r="M42" s="30">
        <f>1 - CUSTOS!$M$33</f>
        <v>0.6</v>
      </c>
      <c r="N42" s="30">
        <f>1 - CUSTOS!$M$33</f>
        <v>0.6</v>
      </c>
      <c r="O42" s="30">
        <f>1 - CUSTOS!$M$33</f>
        <v>0.6</v>
      </c>
      <c r="P42" s="30"/>
      <c r="Q42" s="30">
        <f>(1 - CUSTOS!$M$33)*1</f>
        <v>0.6</v>
      </c>
      <c r="R42" s="30"/>
      <c r="S42" s="30">
        <f>1 - CUSTOS!$M$33</f>
        <v>0.6</v>
      </c>
      <c r="T42" s="30">
        <f>1 - CUSTOS!$M$33</f>
        <v>0.6</v>
      </c>
      <c r="U42" s="30">
        <f>1 - CUSTOS!$M$33</f>
        <v>0.6</v>
      </c>
      <c r="V42" s="30"/>
      <c r="W42" s="30"/>
      <c r="X42" s="30"/>
      <c r="Y42" s="30">
        <f>1 - CUSTOS!$M$33</f>
        <v>0.6</v>
      </c>
      <c r="Z42" s="30"/>
      <c r="AA42" s="30"/>
    </row>
    <row r="44" spans="1:27" ht="11.25" customHeight="1" x14ac:dyDescent="0.25">
      <c r="K44" s="35" t="s">
        <v>630</v>
      </c>
      <c r="L44" s="30">
        <f t="shared" ref="L44:AA44" si="0">SUMPRODUCT($I$5:$I$42,L$5:L$42)</f>
        <v>10537.5524</v>
      </c>
      <c r="M44" s="30">
        <f t="shared" si="0"/>
        <v>10537.5524</v>
      </c>
      <c r="N44" s="30">
        <f t="shared" si="0"/>
        <v>10537.5524</v>
      </c>
      <c r="O44" s="30">
        <f t="shared" si="0"/>
        <v>10537.5524</v>
      </c>
      <c r="P44" s="30">
        <f t="shared" si="0"/>
        <v>0</v>
      </c>
      <c r="Q44" s="30">
        <f t="shared" si="0"/>
        <v>10537.5524</v>
      </c>
      <c r="R44" s="30">
        <f t="shared" si="0"/>
        <v>0</v>
      </c>
      <c r="S44" s="30">
        <f t="shared" si="0"/>
        <v>10537.5524</v>
      </c>
      <c r="T44" s="30">
        <f t="shared" si="0"/>
        <v>10537.5524</v>
      </c>
      <c r="U44" s="30">
        <f t="shared" si="0"/>
        <v>10537.5524</v>
      </c>
      <c r="V44" s="30">
        <f t="shared" si="0"/>
        <v>0</v>
      </c>
      <c r="W44" s="30">
        <f t="shared" si="0"/>
        <v>0</v>
      </c>
      <c r="X44" s="30">
        <f t="shared" si="0"/>
        <v>0</v>
      </c>
      <c r="Y44" s="30">
        <f t="shared" si="0"/>
        <v>10537.5524</v>
      </c>
      <c r="Z44" s="30">
        <f t="shared" si="0"/>
        <v>0</v>
      </c>
      <c r="AA44" s="30">
        <f t="shared" si="0"/>
        <v>0</v>
      </c>
    </row>
    <row r="45" spans="1:27" ht="11.25" customHeight="1" x14ac:dyDescent="0.25">
      <c r="K45" s="35" t="s">
        <v>549</v>
      </c>
      <c r="L45" s="30">
        <f>CUSTOS!$D$30</f>
        <v>0</v>
      </c>
      <c r="M45" s="30">
        <f>CUSTOS!$D$31</f>
        <v>0</v>
      </c>
      <c r="N45" s="30">
        <f>CUSTOS!$D$32</f>
        <v>0</v>
      </c>
      <c r="O45" s="30">
        <f>CUSTOS!$D$33</f>
        <v>0</v>
      </c>
      <c r="P45" s="30">
        <f>CUSTOS!$D$34</f>
        <v>0</v>
      </c>
      <c r="Q45" s="30">
        <f>CUSTOS!$D$35</f>
        <v>2810087.9282794264</v>
      </c>
      <c r="R45" s="30">
        <f>CUSTOS!$D$36</f>
        <v>2810087.9282794264</v>
      </c>
      <c r="S45" s="30">
        <f>CUSTOS!$D$37</f>
        <v>0</v>
      </c>
      <c r="T45" s="30">
        <f>CUSTOS!$D$38</f>
        <v>0</v>
      </c>
      <c r="U45" s="30">
        <f>CUSTOS!$D$39</f>
        <v>0</v>
      </c>
      <c r="V45" s="30">
        <f>CUSTOS!$D$40</f>
        <v>0</v>
      </c>
      <c r="W45" s="30">
        <f>CUSTOS!$D$41</f>
        <v>0</v>
      </c>
      <c r="X45" s="30">
        <f>CUSTOS!$D$42</f>
        <v>0</v>
      </c>
      <c r="Y45" s="30">
        <f>CUSTOS!$D$43</f>
        <v>0</v>
      </c>
      <c r="Z45" s="30">
        <f>CUSTOS!$D$44</f>
        <v>0</v>
      </c>
      <c r="AA45" s="30">
        <f>CUSTOS!$D$45</f>
        <v>2810087.9282794264</v>
      </c>
    </row>
    <row r="46" spans="1:27" ht="11.25" customHeight="1" x14ac:dyDescent="0.25">
      <c r="K46" s="35" t="s">
        <v>550</v>
      </c>
      <c r="L46" s="30">
        <f>CUSTOS!$E$30</f>
        <v>0</v>
      </c>
      <c r="M46" s="30">
        <f>CUSTOS!$E$31</f>
        <v>0</v>
      </c>
      <c r="N46" s="30">
        <f>CUSTOS!$E$32</f>
        <v>0</v>
      </c>
      <c r="O46" s="30">
        <f>CUSTOS!$E$33</f>
        <v>0</v>
      </c>
      <c r="P46" s="30">
        <f>CUSTOS!$E$34</f>
        <v>0</v>
      </c>
      <c r="Q46" s="30">
        <f>CUSTOS!$E$35</f>
        <v>-135306.5116078635</v>
      </c>
      <c r="R46" s="30">
        <f>CUSTOS!$E$36</f>
        <v>-135306.5116078635</v>
      </c>
      <c r="S46" s="30">
        <f>CUSTOS!$E$37</f>
        <v>0</v>
      </c>
      <c r="T46" s="30">
        <f>CUSTOS!$E$38</f>
        <v>0</v>
      </c>
      <c r="U46" s="30">
        <f>CUSTOS!$E$39</f>
        <v>0</v>
      </c>
      <c r="V46" s="30">
        <f>CUSTOS!$E$40</f>
        <v>0</v>
      </c>
      <c r="W46" s="30">
        <f>CUSTOS!$E$41</f>
        <v>30125.721087432001</v>
      </c>
      <c r="X46" s="30">
        <f>CUSTOS!$E$42</f>
        <v>30125.721087432001</v>
      </c>
      <c r="Y46" s="30">
        <f>CUSTOS!$E$43</f>
        <v>0</v>
      </c>
      <c r="Z46" s="30">
        <f>CUSTOS!$E$44</f>
        <v>0</v>
      </c>
      <c r="AA46" s="30">
        <f>CUSTOS!$E$45</f>
        <v>-105180.7905204315</v>
      </c>
    </row>
    <row r="47" spans="1:27" ht="11.25" customHeight="1" x14ac:dyDescent="0.25">
      <c r="K47" s="35" t="s">
        <v>551</v>
      </c>
      <c r="L47" s="30">
        <f>CUSTOS!$F$30</f>
        <v>0</v>
      </c>
      <c r="M47" s="30">
        <f>CUSTOS!$F$31</f>
        <v>0</v>
      </c>
      <c r="N47" s="30">
        <f>CUSTOS!$F$32</f>
        <v>0</v>
      </c>
      <c r="O47" s="30">
        <f>CUSTOS!$F$33</f>
        <v>0</v>
      </c>
      <c r="P47" s="30">
        <f>CUSTOS!$F$34</f>
        <v>0</v>
      </c>
      <c r="Q47" s="30">
        <f>CUSTOS!$F$35</f>
        <v>0</v>
      </c>
      <c r="R47" s="30">
        <f>CUSTOS!$F$36</f>
        <v>0</v>
      </c>
      <c r="S47" s="30">
        <f>CUSTOS!$F$37</f>
        <v>0</v>
      </c>
      <c r="T47" s="30">
        <f>CUSTOS!$F$38</f>
        <v>0</v>
      </c>
      <c r="U47" s="30">
        <f>CUSTOS!$F$39</f>
        <v>0</v>
      </c>
      <c r="V47" s="30">
        <f>CUSTOS!$F$40</f>
        <v>0</v>
      </c>
      <c r="W47" s="30">
        <f>CUSTOS!$F$41</f>
        <v>0</v>
      </c>
      <c r="X47" s="30">
        <f>CUSTOS!$F$42</f>
        <v>0</v>
      </c>
      <c r="Y47" s="30">
        <f>CUSTOS!$F$43</f>
        <v>0</v>
      </c>
      <c r="Z47" s="30">
        <f>CUSTOS!$F$44</f>
        <v>0</v>
      </c>
      <c r="AA47" s="30">
        <f>CUSTOS!$F$45</f>
        <v>0</v>
      </c>
    </row>
    <row r="48" spans="1:27" ht="11.25" customHeight="1" x14ac:dyDescent="0.25">
      <c r="K48" s="35" t="s">
        <v>631</v>
      </c>
      <c r="L48" s="30">
        <f>IF(SUMPRODUCT($I$5:$I$42,$L$5:$L$42)&lt;&gt;0,L45/SUMPRODUCT($I$5:$I$42,$L$5:$L$42),0)</f>
        <v>0</v>
      </c>
      <c r="M48" s="30">
        <f>IF(SUMPRODUCT($I$5:$I$42,$M$5:$M$42)&lt;&gt;0,M45/SUMPRODUCT($I$5:$I$42,$M$5:$M$42),0)</f>
        <v>0</v>
      </c>
      <c r="N48" s="30">
        <f>IF(SUMPRODUCT($I$5:$I$42,$N$5:$N$42)&lt;&gt;0,N45/SUMPRODUCT($I$5:$I$42,$N$5:$N$42),0)</f>
        <v>0</v>
      </c>
      <c r="O48" s="30">
        <f>IF(SUMPRODUCT($I$5:$I$42,$O$5:$O$42)&lt;&gt;0,O45/SUMPRODUCT($I$5:$I$42,$O$5:$O$42),0)</f>
        <v>0</v>
      </c>
      <c r="P48" s="30"/>
      <c r="Q48" s="30">
        <f>IF((CUSTOS!$M$12-CUSTOS!$M$13)&lt;&gt;0,(CUSTOS!$M$12*CUSTOS!$M$14)/(CUSTOS!$M$12-CUSTOS!$M$13),0)</f>
        <v>253.57</v>
      </c>
      <c r="R48" s="30"/>
      <c r="S48" s="30">
        <f>IF(SUMPRODUCT($I$5:$I$42,$S$5:$S$42)&lt;&gt;0,S45/SUMPRODUCT($I$5:$I$42,$S$5:$S$42),0)</f>
        <v>0</v>
      </c>
      <c r="T48" s="30">
        <f>IF(SUMPRODUCT($I$5:$I$42,$T$5:$T$42)&lt;&gt;0,T45/SUMPRODUCT($I$5:$I$42,$T$5:$T$42),0)</f>
        <v>0</v>
      </c>
      <c r="U48" s="30">
        <f>IF(SUMPRODUCT($I$5:$I$42,$U$5:$U$42)&lt;&gt;0,U45/SUMPRODUCT($I$5:$I$42,$U$5:$U$42),0)</f>
        <v>0</v>
      </c>
      <c r="V48" s="30"/>
      <c r="W48" s="30">
        <f>IF(SUMPRODUCT($I$5:$I$42,$W$5:$W$42)&lt;&gt;0,W45/SUMPRODUCT($I$5:$I$42,$W$5:$W$42),0)</f>
        <v>0</v>
      </c>
      <c r="X48" s="30"/>
      <c r="Y48" s="30">
        <f>IF(SUMPRODUCT($I$5:$I$42,$Y$5:$Y$42)&lt;&gt;0,Y45/SUMPRODUCT($I$5:$I$42,$Y$5:$Y$42),0)</f>
        <v>0</v>
      </c>
      <c r="Z48" s="30"/>
      <c r="AA48" s="30"/>
    </row>
    <row r="49" spans="11:27" ht="11.25" customHeight="1" x14ac:dyDescent="0.25">
      <c r="K49" s="35" t="s">
        <v>632</v>
      </c>
      <c r="L49" s="30">
        <f>IF(L44&lt;&gt;0,(L45-L48*0)/(L44-0),0)</f>
        <v>0</v>
      </c>
      <c r="M49" s="30">
        <f>IF(M44&lt;&gt;0,(M45-M48*0)/(M44-0),0)</f>
        <v>0</v>
      </c>
      <c r="N49" s="30">
        <f>IF(N44&lt;&gt;0,(N45-N48*0)/(N44-0),0)</f>
        <v>0</v>
      </c>
      <c r="O49" s="30">
        <f>IF(O44&lt;&gt;0,(O45-O48*0)/(O44-0),0)</f>
        <v>0</v>
      </c>
      <c r="P49" s="30"/>
      <c r="Q49" s="30">
        <f>IF(Q44&lt;&gt;0,(Q45-Q48*0)/(Q44-0),0)</f>
        <v>266.67368489474143</v>
      </c>
      <c r="R49" s="30"/>
      <c r="S49" s="30">
        <f>IF(S44&lt;&gt;0,(S45-S48*0)/(S44-0),0)</f>
        <v>0</v>
      </c>
      <c r="T49" s="30">
        <f>IF(T44&lt;&gt;0,(T45-T48*0)/(T44-0),0)</f>
        <v>0</v>
      </c>
      <c r="U49" s="30">
        <f>IF(U44&lt;&gt;0,(U45-U48*0)/(U44-0),0)</f>
        <v>0</v>
      </c>
      <c r="V49" s="30"/>
      <c r="W49" s="30">
        <f>IF(W44&lt;&gt;0,(W45-W48*0)/(W44-0),0)</f>
        <v>0</v>
      </c>
      <c r="X49" s="30"/>
      <c r="Y49" s="30">
        <f>IF(Y44&lt;&gt;0,(Y45-Y48*0)/(Y44-0),0)</f>
        <v>0</v>
      </c>
      <c r="Z49" s="30"/>
      <c r="AA49" s="30"/>
    </row>
    <row r="50" spans="11:27" ht="11.25" customHeight="1" x14ac:dyDescent="0.25">
      <c r="K50" s="35" t="s">
        <v>633</v>
      </c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</row>
  </sheetData>
  <mergeCells count="61">
    <mergeCell ref="Y3:Z3"/>
    <mergeCell ref="AA3:AA4"/>
    <mergeCell ref="G1:G4"/>
    <mergeCell ref="H1:H4"/>
    <mergeCell ref="I1:I4"/>
    <mergeCell ref="J1:J4"/>
    <mergeCell ref="L1:AA1"/>
    <mergeCell ref="L2:AA2"/>
    <mergeCell ref="L3:P3"/>
    <mergeCell ref="Q3:R3"/>
    <mergeCell ref="S3:V3"/>
    <mergeCell ref="W3:X3"/>
    <mergeCell ref="A1:A4"/>
    <mergeCell ref="B1:B4"/>
    <mergeCell ref="C1:C4"/>
    <mergeCell ref="D1:D4"/>
    <mergeCell ref="E1:E4"/>
    <mergeCell ref="F1:F4"/>
    <mergeCell ref="E36:E38"/>
    <mergeCell ref="F36:F38"/>
    <mergeCell ref="A41:A42"/>
    <mergeCell ref="B41:B42"/>
    <mergeCell ref="C41:C42"/>
    <mergeCell ref="B33:B35"/>
    <mergeCell ref="C33:C35"/>
    <mergeCell ref="A36:A40"/>
    <mergeCell ref="B36:B38"/>
    <mergeCell ref="C36:C38"/>
    <mergeCell ref="D36:D38"/>
    <mergeCell ref="F25:F27"/>
    <mergeCell ref="B29:B31"/>
    <mergeCell ref="C29:C31"/>
    <mergeCell ref="D29:D31"/>
    <mergeCell ref="E29:E31"/>
    <mergeCell ref="F29:F31"/>
    <mergeCell ref="A21:A35"/>
    <mergeCell ref="B21:B23"/>
    <mergeCell ref="C21:C23"/>
    <mergeCell ref="D21:D23"/>
    <mergeCell ref="E21:E23"/>
    <mergeCell ref="F21:F23"/>
    <mergeCell ref="B25:B27"/>
    <mergeCell ref="C25:C27"/>
    <mergeCell ref="D25:D27"/>
    <mergeCell ref="E25:E27"/>
    <mergeCell ref="A8:A20"/>
    <mergeCell ref="B8:B10"/>
    <mergeCell ref="C8:C10"/>
    <mergeCell ref="D8:D10"/>
    <mergeCell ref="E8:E10"/>
    <mergeCell ref="F8:F10"/>
    <mergeCell ref="B11:B15"/>
    <mergeCell ref="C11:C15"/>
    <mergeCell ref="B16:B20"/>
    <mergeCell ref="C16:C20"/>
    <mergeCell ref="F5:F6"/>
    <mergeCell ref="A5:A7"/>
    <mergeCell ref="B5:B6"/>
    <mergeCell ref="C5:C6"/>
    <mergeCell ref="D5:D6"/>
    <mergeCell ref="E5:E6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91CB-67CA-4E66-B0C8-46816A8B61BE}">
  <dimension ref="A1:AA50"/>
  <sheetViews>
    <sheetView showGridLines="0" topLeftCell="L1" workbookViewId="0">
      <selection activeCell="AA44" sqref="AA44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" style="9" bestFit="1" customWidth="1"/>
    <col min="10" max="10" width="9.140625" style="9"/>
    <col min="11" max="11" width="20" style="9" bestFit="1" customWidth="1"/>
    <col min="12" max="14" width="7.85546875" style="9" bestFit="1" customWidth="1"/>
    <col min="15" max="15" width="11.140625" style="9" bestFit="1" customWidth="1"/>
    <col min="16" max="16" width="9.28515625" style="9" bestFit="1" customWidth="1"/>
    <col min="17" max="17" width="15" style="9" bestFit="1" customWidth="1"/>
    <col min="18" max="18" width="10" style="9" bestFit="1" customWidth="1"/>
    <col min="19" max="19" width="7.85546875" style="9" bestFit="1" customWidth="1"/>
    <col min="20" max="20" width="10.42578125" style="9" bestFit="1" customWidth="1"/>
    <col min="21" max="21" width="7.85546875" style="9" bestFit="1" customWidth="1"/>
    <col min="22" max="22" width="9.28515625" style="9" bestFit="1" customWidth="1"/>
    <col min="23" max="23" width="8" style="9" bestFit="1" customWidth="1"/>
    <col min="24" max="24" width="9.28515625" style="9" bestFit="1" customWidth="1"/>
    <col min="25" max="25" width="11" style="9" bestFit="1" customWidth="1"/>
    <col min="26" max="26" width="9.28515625" style="9" bestFit="1" customWidth="1"/>
    <col min="27" max="27" width="10" style="9" bestFit="1" customWidth="1"/>
    <col min="28" max="16384" width="9.140625" style="9"/>
  </cols>
  <sheetData>
    <row r="1" spans="1:27" ht="11.25" customHeight="1" x14ac:dyDescent="0.25">
      <c r="A1" s="137" t="s">
        <v>59</v>
      </c>
      <c r="B1" s="137" t="s">
        <v>60</v>
      </c>
      <c r="C1" s="137" t="s">
        <v>61</v>
      </c>
      <c r="D1" s="137" t="s">
        <v>62</v>
      </c>
      <c r="E1" s="137" t="s">
        <v>63</v>
      </c>
      <c r="F1" s="137" t="s">
        <v>15</v>
      </c>
      <c r="G1" s="137" t="s">
        <v>65</v>
      </c>
      <c r="H1" s="137" t="s">
        <v>66</v>
      </c>
      <c r="I1" s="137" t="s">
        <v>608</v>
      </c>
      <c r="J1" s="119"/>
      <c r="L1" s="138" t="s">
        <v>634</v>
      </c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</row>
    <row r="2" spans="1:27" ht="11.25" customHeight="1" x14ac:dyDescent="0.25">
      <c r="A2" s="137"/>
      <c r="B2" s="137"/>
      <c r="C2" s="137"/>
      <c r="D2" s="137"/>
      <c r="E2" s="137"/>
      <c r="F2" s="137"/>
      <c r="G2" s="137"/>
      <c r="H2" s="137"/>
      <c r="I2" s="137"/>
      <c r="J2" s="119"/>
      <c r="L2" s="138" t="s">
        <v>536</v>
      </c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</row>
    <row r="3" spans="1:27" ht="11.25" customHeight="1" x14ac:dyDescent="0.25">
      <c r="A3" s="137"/>
      <c r="B3" s="137"/>
      <c r="C3" s="137"/>
      <c r="D3" s="137"/>
      <c r="E3" s="137"/>
      <c r="F3" s="137"/>
      <c r="G3" s="137"/>
      <c r="H3" s="137"/>
      <c r="I3" s="137"/>
      <c r="J3" s="119"/>
      <c r="L3" s="138" t="s">
        <v>509</v>
      </c>
      <c r="M3" s="138"/>
      <c r="N3" s="138"/>
      <c r="O3" s="138"/>
      <c r="P3" s="138"/>
      <c r="Q3" s="138" t="s">
        <v>539</v>
      </c>
      <c r="R3" s="138"/>
      <c r="S3" s="138" t="s">
        <v>518</v>
      </c>
      <c r="T3" s="138"/>
      <c r="U3" s="138"/>
      <c r="V3" s="138"/>
      <c r="W3" s="138" t="s">
        <v>528</v>
      </c>
      <c r="X3" s="138"/>
      <c r="Y3" s="138" t="s">
        <v>531</v>
      </c>
      <c r="Z3" s="138"/>
      <c r="AA3" s="138" t="s">
        <v>517</v>
      </c>
    </row>
    <row r="4" spans="1:27" ht="11.25" customHeight="1" x14ac:dyDescent="0.25">
      <c r="A4" s="137"/>
      <c r="B4" s="137"/>
      <c r="C4" s="137"/>
      <c r="D4" s="137"/>
      <c r="E4" s="137"/>
      <c r="F4" s="137"/>
      <c r="G4" s="137"/>
      <c r="H4" s="137"/>
      <c r="I4" s="137"/>
      <c r="J4" s="119"/>
      <c r="L4" s="34" t="s">
        <v>511</v>
      </c>
      <c r="M4" s="34" t="s">
        <v>537</v>
      </c>
      <c r="N4" s="34" t="s">
        <v>538</v>
      </c>
      <c r="O4" s="34" t="s">
        <v>596</v>
      </c>
      <c r="P4" s="34" t="s">
        <v>517</v>
      </c>
      <c r="Q4" s="34" t="s">
        <v>540</v>
      </c>
      <c r="R4" s="34" t="s">
        <v>517</v>
      </c>
      <c r="S4" s="34" t="s">
        <v>541</v>
      </c>
      <c r="T4" s="34" t="s">
        <v>542</v>
      </c>
      <c r="U4" s="34" t="s">
        <v>543</v>
      </c>
      <c r="V4" s="34" t="s">
        <v>517</v>
      </c>
      <c r="W4" s="34" t="s">
        <v>529</v>
      </c>
      <c r="X4" s="34" t="s">
        <v>517</v>
      </c>
      <c r="Y4" s="34" t="s">
        <v>544</v>
      </c>
      <c r="Z4" s="34" t="s">
        <v>517</v>
      </c>
      <c r="AA4" s="139"/>
    </row>
    <row r="5" spans="1:27" ht="11.25" customHeight="1" x14ac:dyDescent="0.25">
      <c r="A5" s="136" t="s">
        <v>34</v>
      </c>
      <c r="B5" s="136" t="s">
        <v>68</v>
      </c>
      <c r="C5" s="136" t="s">
        <v>25</v>
      </c>
      <c r="D5" s="136" t="s">
        <v>25</v>
      </c>
      <c r="E5" s="136" t="s">
        <v>25</v>
      </c>
      <c r="F5" s="136" t="s">
        <v>25</v>
      </c>
      <c r="G5" s="32" t="s">
        <v>70</v>
      </c>
      <c r="H5" s="32" t="s">
        <v>69</v>
      </c>
      <c r="I5" s="32">
        <f>'MERCADO TE'!$U$2</f>
        <v>2.2919999999999998</v>
      </c>
      <c r="J5" s="17"/>
      <c r="L5" s="30">
        <f>'TR TE'!$L$5*'TR TE'!$L$49</f>
        <v>0</v>
      </c>
      <c r="M5" s="30">
        <f>'TR TE'!$M$5*'TR TE'!$M$49</f>
        <v>0</v>
      </c>
      <c r="N5" s="30">
        <f>'TR TE'!$N$5*'TR TE'!$N$49</f>
        <v>0</v>
      </c>
      <c r="O5" s="30">
        <f>'TR TE'!$O$5*'TR TE'!$O$49</f>
        <v>0</v>
      </c>
      <c r="P5" s="30">
        <f>SUM($L$5:$O$5)</f>
        <v>0</v>
      </c>
      <c r="Q5" s="30">
        <f>'TR TE'!$Q$5*'TR TE'!$Q$49</f>
        <v>266.67368489474143</v>
      </c>
      <c r="R5" s="30">
        <f>SUM($Q$5:$Q$5)</f>
        <v>266.67368489474143</v>
      </c>
      <c r="S5" s="30">
        <f>'TR TE'!$S$5*'TR TE'!$S$49</f>
        <v>0</v>
      </c>
      <c r="T5" s="30">
        <f>'TR TE'!$T$5*'TR TE'!$T$49</f>
        <v>0</v>
      </c>
      <c r="U5" s="30">
        <f>'TR TE'!$U$5*'TR TE'!$U$49</f>
        <v>0</v>
      </c>
      <c r="V5" s="30">
        <f>SUM($S$5:$U$5)</f>
        <v>0</v>
      </c>
      <c r="W5" s="30"/>
      <c r="X5" s="30">
        <f>SUM($W$5:$W$5)</f>
        <v>0</v>
      </c>
      <c r="Y5" s="30">
        <f>'TR TE'!$Y$5*'TR TE'!$Y$49</f>
        <v>0</v>
      </c>
      <c r="Z5" s="30">
        <f>SUM($Y$5:$Y$5)</f>
        <v>0</v>
      </c>
      <c r="AA5" s="30">
        <f>SUMIF($L$4:$Z$4,"SUBTOTAL",$L$5:$Z$5)</f>
        <v>266.67368489474143</v>
      </c>
    </row>
    <row r="6" spans="1:27" ht="11.25" customHeight="1" x14ac:dyDescent="0.25">
      <c r="A6" s="136"/>
      <c r="B6" s="136"/>
      <c r="C6" s="136"/>
      <c r="D6" s="136"/>
      <c r="E6" s="136"/>
      <c r="F6" s="136"/>
      <c r="G6" s="32" t="s">
        <v>71</v>
      </c>
      <c r="H6" s="32" t="s">
        <v>69</v>
      </c>
      <c r="I6" s="32">
        <f>'MERCADO TE'!$U$3</f>
        <v>310.52600000000001</v>
      </c>
      <c r="J6" s="17"/>
      <c r="L6" s="30">
        <f>'TR TE'!$L$6*'TR TE'!$L$49</f>
        <v>0</v>
      </c>
      <c r="M6" s="30">
        <f>'TR TE'!$M$6*'TR TE'!$M$49</f>
        <v>0</v>
      </c>
      <c r="N6" s="30">
        <f>'TR TE'!$N$6*'TR TE'!$N$49</f>
        <v>0</v>
      </c>
      <c r="O6" s="30">
        <f>'TR TE'!$O$6*'TR TE'!$O$49</f>
        <v>0</v>
      </c>
      <c r="P6" s="30">
        <f>SUM($L$6:$O$6)</f>
        <v>0</v>
      </c>
      <c r="Q6" s="30">
        <f>'TR TE'!$Q$6*'TR TE'!$Q$49</f>
        <v>266.67368489474143</v>
      </c>
      <c r="R6" s="30">
        <f>SUM($Q$6:$Q$6)</f>
        <v>266.67368489474143</v>
      </c>
      <c r="S6" s="30">
        <f>'TR TE'!$S$6*'TR TE'!$S$49</f>
        <v>0</v>
      </c>
      <c r="T6" s="30">
        <f>'TR TE'!$T$6*'TR TE'!$T$49</f>
        <v>0</v>
      </c>
      <c r="U6" s="30">
        <f>'TR TE'!$U$6*'TR TE'!$U$49</f>
        <v>0</v>
      </c>
      <c r="V6" s="30">
        <f>SUM($S$6:$U$6)</f>
        <v>0</v>
      </c>
      <c r="W6" s="30"/>
      <c r="X6" s="30">
        <f>SUM($W$6:$W$6)</f>
        <v>0</v>
      </c>
      <c r="Y6" s="30">
        <f>'TR TE'!$Y$6*'TR TE'!$Y$49</f>
        <v>0</v>
      </c>
      <c r="Z6" s="30">
        <f>SUM($Y$6:$Y$6)</f>
        <v>0</v>
      </c>
      <c r="AA6" s="30">
        <f>SUMIF($L$4:$Z$4,"SUBTOTAL",$L$6:$Z$6)</f>
        <v>266.67368489474143</v>
      </c>
    </row>
    <row r="7" spans="1:27" ht="11.25" customHeight="1" x14ac:dyDescent="0.25">
      <c r="A7" s="136"/>
      <c r="B7" s="33" t="s">
        <v>72</v>
      </c>
      <c r="C7" s="33" t="s">
        <v>25</v>
      </c>
      <c r="D7" s="33" t="s">
        <v>25</v>
      </c>
      <c r="E7" s="33" t="s">
        <v>25</v>
      </c>
      <c r="F7" s="33" t="s">
        <v>25</v>
      </c>
      <c r="G7" s="32" t="s">
        <v>73</v>
      </c>
      <c r="H7" s="32" t="s">
        <v>69</v>
      </c>
      <c r="I7" s="32">
        <f>'MERCADO TE'!$U$4</f>
        <v>0</v>
      </c>
      <c r="J7" s="17"/>
      <c r="L7" s="30">
        <f>'TR TE'!$L$7*'TR TE'!$L$49</f>
        <v>0</v>
      </c>
      <c r="M7" s="30">
        <f>'TR TE'!$M$7*'TR TE'!$M$49</f>
        <v>0</v>
      </c>
      <c r="N7" s="30">
        <f>'TR TE'!$N$7*'TR TE'!$N$49</f>
        <v>0</v>
      </c>
      <c r="O7" s="30">
        <f>'TR TE'!$O$7*'TR TE'!$O$49</f>
        <v>0</v>
      </c>
      <c r="P7" s="30">
        <f>SUM($L$7:$O$7)</f>
        <v>0</v>
      </c>
      <c r="Q7" s="30">
        <f>'TR TE'!$Q$7*'TR TE'!$Q$49</f>
        <v>266.67368489474143</v>
      </c>
      <c r="R7" s="30">
        <f>SUM($Q$7:$Q$7)</f>
        <v>266.67368489474143</v>
      </c>
      <c r="S7" s="30">
        <f>'TR TE'!$S$7*'TR TE'!$S$49</f>
        <v>0</v>
      </c>
      <c r="T7" s="30">
        <f>'TR TE'!$T$7*'TR TE'!$T$49</f>
        <v>0</v>
      </c>
      <c r="U7" s="30">
        <f>'TR TE'!$U$7*'TR TE'!$U$49</f>
        <v>0</v>
      </c>
      <c r="V7" s="30">
        <f>SUM($S$7:$U$7)</f>
        <v>0</v>
      </c>
      <c r="W7" s="30"/>
      <c r="X7" s="30">
        <f>SUM($W$7:$W$7)</f>
        <v>0</v>
      </c>
      <c r="Y7" s="30">
        <f>'TR TE'!$Y$7*'TR TE'!$Y$49</f>
        <v>0</v>
      </c>
      <c r="Z7" s="30">
        <f>SUM($Y$7:$Y$7)</f>
        <v>0</v>
      </c>
      <c r="AA7" s="30">
        <f>SUMIF($L$4:$Z$4,"SUBTOTAL",$L$7:$Z$7)</f>
        <v>266.67368489474143</v>
      </c>
    </row>
    <row r="8" spans="1:27" ht="11.25" customHeight="1" x14ac:dyDescent="0.25">
      <c r="A8" s="136" t="s">
        <v>22</v>
      </c>
      <c r="B8" s="136" t="s">
        <v>68</v>
      </c>
      <c r="C8" s="136" t="s">
        <v>24</v>
      </c>
      <c r="D8" s="136" t="s">
        <v>24</v>
      </c>
      <c r="E8" s="136" t="s">
        <v>25</v>
      </c>
      <c r="F8" s="136" t="s">
        <v>25</v>
      </c>
      <c r="G8" s="32" t="s">
        <v>70</v>
      </c>
      <c r="H8" s="32" t="s">
        <v>69</v>
      </c>
      <c r="I8" s="32">
        <f>'MERCADO TE'!$U$5</f>
        <v>0</v>
      </c>
      <c r="J8" s="17"/>
      <c r="L8" s="30">
        <f>'TR TE'!$L$8*'TR TE'!$L$49</f>
        <v>0</v>
      </c>
      <c r="M8" s="30">
        <f>'TR TE'!$M$8*'TR TE'!$M$49</f>
        <v>0</v>
      </c>
      <c r="N8" s="30">
        <f>'TR TE'!$N$8*'TR TE'!$N$49</f>
        <v>0</v>
      </c>
      <c r="O8" s="30">
        <f>'TR TE'!$O$8*'TR TE'!$O$49</f>
        <v>0</v>
      </c>
      <c r="P8" s="30">
        <f>SUM($L$8:$O$8)</f>
        <v>0</v>
      </c>
      <c r="Q8" s="30">
        <f>'TR TE'!$Q$8*'TR TE'!$Q$49</f>
        <v>266.67368489474143</v>
      </c>
      <c r="R8" s="30">
        <f>SUM($Q$8:$Q$8)</f>
        <v>266.67368489474143</v>
      </c>
      <c r="S8" s="30">
        <f>'TR TE'!$S$8*'TR TE'!$S$49</f>
        <v>0</v>
      </c>
      <c r="T8" s="30">
        <f>'TR TE'!$T$8*'TR TE'!$T$49</f>
        <v>0</v>
      </c>
      <c r="U8" s="30">
        <f>'TR TE'!$U$8*'TR TE'!$U$49</f>
        <v>0</v>
      </c>
      <c r="V8" s="30">
        <f>SUM($S$8:$U$8)</f>
        <v>0</v>
      </c>
      <c r="W8" s="30"/>
      <c r="X8" s="30">
        <f>SUM($W$8:$W$8)</f>
        <v>0</v>
      </c>
      <c r="Y8" s="30">
        <f>'TR TE'!$Y$8*'TR TE'!$Y$49</f>
        <v>0</v>
      </c>
      <c r="Z8" s="30">
        <f>SUM($Y$8:$Y$8)</f>
        <v>0</v>
      </c>
      <c r="AA8" s="30">
        <f>SUMIF($L$4:$Z$4,"SUBTOTAL",$L$8:$Z$8)</f>
        <v>266.67368489474143</v>
      </c>
    </row>
    <row r="9" spans="1:27" ht="11.25" customHeight="1" x14ac:dyDescent="0.25">
      <c r="A9" s="136"/>
      <c r="B9" s="136"/>
      <c r="C9" s="136"/>
      <c r="D9" s="136"/>
      <c r="E9" s="136"/>
      <c r="F9" s="136"/>
      <c r="G9" s="32" t="s">
        <v>83</v>
      </c>
      <c r="H9" s="32" t="s">
        <v>69</v>
      </c>
      <c r="I9" s="32">
        <f>'MERCADO TE'!$U$6</f>
        <v>5.0000000000000001E-3</v>
      </c>
      <c r="J9" s="17"/>
      <c r="L9" s="30">
        <f>'TR TE'!$L$9*'TR TE'!$L$49</f>
        <v>0</v>
      </c>
      <c r="M9" s="30">
        <f>'TR TE'!$M$9*'TR TE'!$M$49</f>
        <v>0</v>
      </c>
      <c r="N9" s="30">
        <f>'TR TE'!$N$9*'TR TE'!$N$49</f>
        <v>0</v>
      </c>
      <c r="O9" s="30">
        <f>'TR TE'!$O$9*'TR TE'!$O$49</f>
        <v>0</v>
      </c>
      <c r="P9" s="30">
        <f>SUM($L$9:$O$9)</f>
        <v>0</v>
      </c>
      <c r="Q9" s="30">
        <f>'TR TE'!$Q$9*'TR TE'!$Q$49</f>
        <v>266.67368489474143</v>
      </c>
      <c r="R9" s="30">
        <f>SUM($Q$9:$Q$9)</f>
        <v>266.67368489474143</v>
      </c>
      <c r="S9" s="30">
        <f>'TR TE'!$S$9*'TR TE'!$S$49</f>
        <v>0</v>
      </c>
      <c r="T9" s="30">
        <f>'TR TE'!$T$9*'TR TE'!$T$49</f>
        <v>0</v>
      </c>
      <c r="U9" s="30">
        <f>'TR TE'!$U$9*'TR TE'!$U$49</f>
        <v>0</v>
      </c>
      <c r="V9" s="30">
        <f>SUM($S$9:$U$9)</f>
        <v>0</v>
      </c>
      <c r="W9" s="30"/>
      <c r="X9" s="30">
        <f>SUM($W$9:$W$9)</f>
        <v>0</v>
      </c>
      <c r="Y9" s="30">
        <f>'TR TE'!$Y$9*'TR TE'!$Y$49</f>
        <v>0</v>
      </c>
      <c r="Z9" s="30">
        <f>SUM($Y$9:$Y$9)</f>
        <v>0</v>
      </c>
      <c r="AA9" s="30">
        <f>SUMIF($L$4:$Z$4,"SUBTOTAL",$L$9:$Z$9)</f>
        <v>266.67368489474143</v>
      </c>
    </row>
    <row r="10" spans="1:27" ht="11.25" customHeight="1" x14ac:dyDescent="0.25">
      <c r="A10" s="136"/>
      <c r="B10" s="136"/>
      <c r="C10" s="136"/>
      <c r="D10" s="136"/>
      <c r="E10" s="136"/>
      <c r="F10" s="136"/>
      <c r="G10" s="32" t="s">
        <v>71</v>
      </c>
      <c r="H10" s="32" t="s">
        <v>69</v>
      </c>
      <c r="I10" s="32">
        <f>'MERCADO TE'!$U$7</f>
        <v>0.96600000000000008</v>
      </c>
      <c r="J10" s="17"/>
      <c r="L10" s="30">
        <f>'TR TE'!$L$10*'TR TE'!$L$49</f>
        <v>0</v>
      </c>
      <c r="M10" s="30">
        <f>'TR TE'!$M$10*'TR TE'!$M$49</f>
        <v>0</v>
      </c>
      <c r="N10" s="30">
        <f>'TR TE'!$N$10*'TR TE'!$N$49</f>
        <v>0</v>
      </c>
      <c r="O10" s="30">
        <f>'TR TE'!$O$10*'TR TE'!$O$49</f>
        <v>0</v>
      </c>
      <c r="P10" s="30">
        <f>SUM($L$10:$O$10)</f>
        <v>0</v>
      </c>
      <c r="Q10" s="30">
        <f>'TR TE'!$Q$10*'TR TE'!$Q$49</f>
        <v>266.67368489474143</v>
      </c>
      <c r="R10" s="30">
        <f>SUM($Q$10:$Q$10)</f>
        <v>266.67368489474143</v>
      </c>
      <c r="S10" s="30">
        <f>'TR TE'!$S$10*'TR TE'!$S$49</f>
        <v>0</v>
      </c>
      <c r="T10" s="30">
        <f>'TR TE'!$T$10*'TR TE'!$T$49</f>
        <v>0</v>
      </c>
      <c r="U10" s="30">
        <f>'TR TE'!$U$10*'TR TE'!$U$49</f>
        <v>0</v>
      </c>
      <c r="V10" s="30">
        <f>SUM($S$10:$U$10)</f>
        <v>0</v>
      </c>
      <c r="W10" s="30"/>
      <c r="X10" s="30">
        <f>SUM($W$10:$W$10)</f>
        <v>0</v>
      </c>
      <c r="Y10" s="30">
        <f>'TR TE'!$Y$10*'TR TE'!$Y$49</f>
        <v>0</v>
      </c>
      <c r="Z10" s="30">
        <f>SUM($Y$10:$Y$10)</f>
        <v>0</v>
      </c>
      <c r="AA10" s="30">
        <f>SUMIF($L$4:$Z$4,"SUBTOTAL",$L$10:$Z$10)</f>
        <v>266.67368489474143</v>
      </c>
    </row>
    <row r="11" spans="1:27" ht="11.25" customHeight="1" x14ac:dyDescent="0.25">
      <c r="A11" s="136"/>
      <c r="B11" s="136" t="s">
        <v>72</v>
      </c>
      <c r="C11" s="136" t="s">
        <v>24</v>
      </c>
      <c r="D11" s="33" t="s">
        <v>24</v>
      </c>
      <c r="E11" s="33" t="s">
        <v>25</v>
      </c>
      <c r="F11" s="33" t="s">
        <v>25</v>
      </c>
      <c r="G11" s="32" t="s">
        <v>73</v>
      </c>
      <c r="H11" s="32" t="s">
        <v>69</v>
      </c>
      <c r="I11" s="32">
        <f>'MERCADO TE'!$U$8</f>
        <v>2520.6710000000003</v>
      </c>
      <c r="J11" s="17"/>
      <c r="L11" s="30">
        <f>'TR TE'!$L$11*'TR TE'!$L$49</f>
        <v>0</v>
      </c>
      <c r="M11" s="30">
        <f>'TR TE'!$M$11*'TR TE'!$M$49</f>
        <v>0</v>
      </c>
      <c r="N11" s="30">
        <f>'TR TE'!$N$11*'TR TE'!$N$49</f>
        <v>0</v>
      </c>
      <c r="O11" s="30">
        <f>'TR TE'!$O$11*'TR TE'!$O$49</f>
        <v>0</v>
      </c>
      <c r="P11" s="30">
        <f>SUM($L$11:$O$11)</f>
        <v>0</v>
      </c>
      <c r="Q11" s="30">
        <f>'TR TE'!$Q$11*'TR TE'!$Q$49</f>
        <v>266.67368489474143</v>
      </c>
      <c r="R11" s="30">
        <f>SUM($Q$11:$Q$11)</f>
        <v>266.67368489474143</v>
      </c>
      <c r="S11" s="30">
        <f>'TR TE'!$S$11*'TR TE'!$S$49</f>
        <v>0</v>
      </c>
      <c r="T11" s="30">
        <f>'TR TE'!$T$11*'TR TE'!$T$49</f>
        <v>0</v>
      </c>
      <c r="U11" s="30">
        <f>'TR TE'!$U$11*'TR TE'!$U$49</f>
        <v>0</v>
      </c>
      <c r="V11" s="30">
        <f>SUM($S$11:$U$11)</f>
        <v>0</v>
      </c>
      <c r="W11" s="30"/>
      <c r="X11" s="30">
        <f>SUM($W$11:$W$11)</f>
        <v>0</v>
      </c>
      <c r="Y11" s="30">
        <f>'TR TE'!$Y$11*'TR TE'!$Y$49</f>
        <v>0</v>
      </c>
      <c r="Z11" s="30">
        <f>SUM($Y$11:$Y$11)</f>
        <v>0</v>
      </c>
      <c r="AA11" s="30">
        <f>SUMIF($L$4:$Z$4,"SUBTOTAL",$L$11:$Z$11)</f>
        <v>266.67368489474143</v>
      </c>
    </row>
    <row r="12" spans="1:27" ht="11.25" customHeight="1" x14ac:dyDescent="0.25">
      <c r="A12" s="136"/>
      <c r="B12" s="136"/>
      <c r="C12" s="136"/>
      <c r="D12" s="33" t="s">
        <v>28</v>
      </c>
      <c r="E12" s="33" t="s">
        <v>25</v>
      </c>
      <c r="F12" s="33" t="s">
        <v>25</v>
      </c>
      <c r="G12" s="32" t="s">
        <v>73</v>
      </c>
      <c r="H12" s="32" t="s">
        <v>69</v>
      </c>
      <c r="I12" s="32">
        <f>'MERCADO TE'!$U$9</f>
        <v>782.16</v>
      </c>
      <c r="J12" s="17"/>
      <c r="L12" s="30">
        <f>'TR TE'!$L$12*'TR TE'!$L$49</f>
        <v>0</v>
      </c>
      <c r="M12" s="30">
        <f>'TR TE'!$M$12*'TR TE'!$M$49</f>
        <v>0</v>
      </c>
      <c r="N12" s="30">
        <f>'TR TE'!$N$12*'TR TE'!$N$49</f>
        <v>0</v>
      </c>
      <c r="O12" s="30">
        <f>'TR TE'!$O$12*'TR TE'!$O$49</f>
        <v>0</v>
      </c>
      <c r="P12" s="30">
        <f>SUM($L$12:$O$12)</f>
        <v>0</v>
      </c>
      <c r="Q12" s="30">
        <f>'TR TE'!$Q$12*'TR TE'!$Q$49</f>
        <v>266.67368489474143</v>
      </c>
      <c r="R12" s="30">
        <f>SUM($Q$12:$Q$12)</f>
        <v>266.67368489474143</v>
      </c>
      <c r="S12" s="30">
        <f>'TR TE'!$S$12*'TR TE'!$S$49</f>
        <v>0</v>
      </c>
      <c r="T12" s="30">
        <f>'TR TE'!$T$12*'TR TE'!$T$49</f>
        <v>0</v>
      </c>
      <c r="U12" s="30">
        <f>'TR TE'!$U$12*'TR TE'!$U$49</f>
        <v>0</v>
      </c>
      <c r="V12" s="30">
        <f>SUM($S$12:$U$12)</f>
        <v>0</v>
      </c>
      <c r="W12" s="30"/>
      <c r="X12" s="30">
        <f>SUM($W$12:$W$12)</f>
        <v>0</v>
      </c>
      <c r="Y12" s="30">
        <f>'TR TE'!$Y$12*'TR TE'!$Y$49</f>
        <v>0</v>
      </c>
      <c r="Z12" s="30">
        <f>SUM($Y$12:$Y$12)</f>
        <v>0</v>
      </c>
      <c r="AA12" s="30">
        <f>SUMIF($L$4:$Z$4,"SUBTOTAL",$L$12:$Z$12)</f>
        <v>266.67368489474143</v>
      </c>
    </row>
    <row r="13" spans="1:27" ht="11.25" customHeight="1" x14ac:dyDescent="0.25">
      <c r="A13" s="136"/>
      <c r="B13" s="136"/>
      <c r="C13" s="136"/>
      <c r="D13" s="33" t="s">
        <v>29</v>
      </c>
      <c r="E13" s="33" t="s">
        <v>25</v>
      </c>
      <c r="F13" s="33" t="s">
        <v>25</v>
      </c>
      <c r="G13" s="32" t="s">
        <v>73</v>
      </c>
      <c r="H13" s="32" t="s">
        <v>69</v>
      </c>
      <c r="I13" s="32">
        <f>'MERCADO TE'!$U$10</f>
        <v>1214.3559999999998</v>
      </c>
      <c r="J13" s="17"/>
      <c r="L13" s="30">
        <f>'TR TE'!$L$13*'TR TE'!$L$49</f>
        <v>0</v>
      </c>
      <c r="M13" s="30">
        <f>'TR TE'!$M$13*'TR TE'!$M$49</f>
        <v>0</v>
      </c>
      <c r="N13" s="30">
        <f>'TR TE'!$N$13*'TR TE'!$N$49</f>
        <v>0</v>
      </c>
      <c r="O13" s="30">
        <f>'TR TE'!$O$13*'TR TE'!$O$49</f>
        <v>0</v>
      </c>
      <c r="P13" s="30">
        <f>SUM($L$13:$O$13)</f>
        <v>0</v>
      </c>
      <c r="Q13" s="30">
        <f>'TR TE'!$Q$13*'TR TE'!$Q$49</f>
        <v>266.67368489474143</v>
      </c>
      <c r="R13" s="30">
        <f>SUM($Q$13:$Q$13)</f>
        <v>266.67368489474143</v>
      </c>
      <c r="S13" s="30">
        <f>'TR TE'!$S$13*'TR TE'!$S$49</f>
        <v>0</v>
      </c>
      <c r="T13" s="30">
        <f>'TR TE'!$T$13*'TR TE'!$T$49</f>
        <v>0</v>
      </c>
      <c r="U13" s="30">
        <f>'TR TE'!$U$13*'TR TE'!$U$49</f>
        <v>0</v>
      </c>
      <c r="V13" s="30">
        <f>SUM($S$13:$U$13)</f>
        <v>0</v>
      </c>
      <c r="W13" s="30"/>
      <c r="X13" s="30">
        <f>SUM($W$13:$W$13)</f>
        <v>0</v>
      </c>
      <c r="Y13" s="30">
        <f>'TR TE'!$Y$13*'TR TE'!$Y$49</f>
        <v>0</v>
      </c>
      <c r="Z13" s="30">
        <f>SUM($Y$13:$Y$13)</f>
        <v>0</v>
      </c>
      <c r="AA13" s="30">
        <f>SUMIF($L$4:$Z$4,"SUBTOTAL",$L$13:$Z$13)</f>
        <v>266.67368489474143</v>
      </c>
    </row>
    <row r="14" spans="1:27" ht="11.25" customHeight="1" x14ac:dyDescent="0.25">
      <c r="A14" s="136"/>
      <c r="B14" s="136"/>
      <c r="C14" s="136"/>
      <c r="D14" s="33" t="s">
        <v>30</v>
      </c>
      <c r="E14" s="33" t="s">
        <v>25</v>
      </c>
      <c r="F14" s="33" t="s">
        <v>25</v>
      </c>
      <c r="G14" s="32" t="s">
        <v>73</v>
      </c>
      <c r="H14" s="32" t="s">
        <v>69</v>
      </c>
      <c r="I14" s="32">
        <f>'MERCADO TE'!$U$11</f>
        <v>403.89</v>
      </c>
      <c r="J14" s="17"/>
      <c r="L14" s="30">
        <f>'TR TE'!$L$14*'TR TE'!$L$49</f>
        <v>0</v>
      </c>
      <c r="M14" s="30">
        <f>'TR TE'!$M$14*'TR TE'!$M$49</f>
        <v>0</v>
      </c>
      <c r="N14" s="30">
        <f>'TR TE'!$N$14*'TR TE'!$N$49</f>
        <v>0</v>
      </c>
      <c r="O14" s="30">
        <f>'TR TE'!$O$14*'TR TE'!$O$49</f>
        <v>0</v>
      </c>
      <c r="P14" s="30">
        <f>SUM($L$14:$O$14)</f>
        <v>0</v>
      </c>
      <c r="Q14" s="30">
        <f>'TR TE'!$Q$14*'TR TE'!$Q$49</f>
        <v>266.67368489474143</v>
      </c>
      <c r="R14" s="30">
        <f>SUM($Q$14:$Q$14)</f>
        <v>266.67368489474143</v>
      </c>
      <c r="S14" s="30">
        <f>'TR TE'!$S$14*'TR TE'!$S$49</f>
        <v>0</v>
      </c>
      <c r="T14" s="30">
        <f>'TR TE'!$T$14*'TR TE'!$T$49</f>
        <v>0</v>
      </c>
      <c r="U14" s="30">
        <f>'TR TE'!$U$14*'TR TE'!$U$49</f>
        <v>0</v>
      </c>
      <c r="V14" s="30">
        <f>SUM($S$14:$U$14)</f>
        <v>0</v>
      </c>
      <c r="W14" s="30"/>
      <c r="X14" s="30">
        <f>SUM($W$14:$W$14)</f>
        <v>0</v>
      </c>
      <c r="Y14" s="30">
        <f>'TR TE'!$Y$14*'TR TE'!$Y$49</f>
        <v>0</v>
      </c>
      <c r="Z14" s="30">
        <f>SUM($Y$14:$Y$14)</f>
        <v>0</v>
      </c>
      <c r="AA14" s="30">
        <f>SUMIF($L$4:$Z$4,"SUBTOTAL",$L$14:$Z$14)</f>
        <v>266.67368489474143</v>
      </c>
    </row>
    <row r="15" spans="1:27" ht="11.25" customHeight="1" x14ac:dyDescent="0.25">
      <c r="A15" s="136"/>
      <c r="B15" s="136"/>
      <c r="C15" s="136"/>
      <c r="D15" s="33" t="s">
        <v>31</v>
      </c>
      <c r="E15" s="33" t="s">
        <v>25</v>
      </c>
      <c r="F15" s="33" t="s">
        <v>25</v>
      </c>
      <c r="G15" s="32" t="s">
        <v>73</v>
      </c>
      <c r="H15" s="32" t="s">
        <v>69</v>
      </c>
      <c r="I15" s="32">
        <f>'MERCADO TE'!$U$12</f>
        <v>103.88300000000001</v>
      </c>
      <c r="J15" s="17"/>
      <c r="L15" s="30">
        <f>'TR TE'!$L$15*'TR TE'!$L$49</f>
        <v>0</v>
      </c>
      <c r="M15" s="30">
        <f>'TR TE'!$M$15*'TR TE'!$M$49</f>
        <v>0</v>
      </c>
      <c r="N15" s="30">
        <f>'TR TE'!$N$15*'TR TE'!$N$49</f>
        <v>0</v>
      </c>
      <c r="O15" s="30">
        <f>'TR TE'!$O$15*'TR TE'!$O$49</f>
        <v>0</v>
      </c>
      <c r="P15" s="30">
        <f>SUM($L$15:$O$15)</f>
        <v>0</v>
      </c>
      <c r="Q15" s="30">
        <f>'TR TE'!$Q$15*'TR TE'!$Q$49</f>
        <v>266.67368489474143</v>
      </c>
      <c r="R15" s="30">
        <f>SUM($Q$15:$Q$15)</f>
        <v>266.67368489474143</v>
      </c>
      <c r="S15" s="30">
        <f>'TR TE'!$S$15*'TR TE'!$S$49</f>
        <v>0</v>
      </c>
      <c r="T15" s="30">
        <f>'TR TE'!$T$15*'TR TE'!$T$49</f>
        <v>0</v>
      </c>
      <c r="U15" s="30">
        <f>'TR TE'!$U$15*'TR TE'!$U$49</f>
        <v>0</v>
      </c>
      <c r="V15" s="30">
        <f>SUM($S$15:$U$15)</f>
        <v>0</v>
      </c>
      <c r="W15" s="30"/>
      <c r="X15" s="30">
        <f>SUM($W$15:$W$15)</f>
        <v>0</v>
      </c>
      <c r="Y15" s="30">
        <f>'TR TE'!$Y$15*'TR TE'!$Y$49</f>
        <v>0</v>
      </c>
      <c r="Z15" s="30">
        <f>SUM($Y$15:$Y$15)</f>
        <v>0</v>
      </c>
      <c r="AA15" s="30">
        <f>SUMIF($L$4:$Z$4,"SUBTOTAL",$L$15:$Z$15)</f>
        <v>266.67368489474143</v>
      </c>
    </row>
    <row r="16" spans="1:27" ht="11.25" customHeight="1" x14ac:dyDescent="0.25">
      <c r="A16" s="136"/>
      <c r="B16" s="136" t="s">
        <v>84</v>
      </c>
      <c r="C16" s="136" t="s">
        <v>24</v>
      </c>
      <c r="D16" s="33" t="s">
        <v>24</v>
      </c>
      <c r="E16" s="33" t="s">
        <v>25</v>
      </c>
      <c r="F16" s="33" t="s">
        <v>25</v>
      </c>
      <c r="G16" s="32" t="s">
        <v>73</v>
      </c>
      <c r="H16" s="32" t="s">
        <v>69</v>
      </c>
      <c r="I16" s="32">
        <f>'MERCADO TE'!$U$13</f>
        <v>0</v>
      </c>
      <c r="J16" s="17"/>
      <c r="L16" s="30">
        <f>'TR TE'!$L$16*'TR TE'!$L$49</f>
        <v>0</v>
      </c>
      <c r="M16" s="30">
        <f>'TR TE'!$M$16*'TR TE'!$M$49</f>
        <v>0</v>
      </c>
      <c r="N16" s="30">
        <f>'TR TE'!$N$16*'TR TE'!$N$49</f>
        <v>0</v>
      </c>
      <c r="O16" s="30">
        <f>'TR TE'!$O$16*'TR TE'!$O$49</f>
        <v>0</v>
      </c>
      <c r="P16" s="30">
        <f>SUM($L$16:$O$16)</f>
        <v>0</v>
      </c>
      <c r="Q16" s="30">
        <f>'TR TE'!$Q$16*'TR TE'!$Q$49</f>
        <v>266.67368489474143</v>
      </c>
      <c r="R16" s="30">
        <f>SUM($Q$16:$Q$16)</f>
        <v>266.67368489474143</v>
      </c>
      <c r="S16" s="30">
        <f>'TR TE'!$S$16*'TR TE'!$S$49</f>
        <v>0</v>
      </c>
      <c r="T16" s="30">
        <f>'TR TE'!$T$16*'TR TE'!$T$49</f>
        <v>0</v>
      </c>
      <c r="U16" s="30">
        <f>'TR TE'!$U$16*'TR TE'!$U$49</f>
        <v>0</v>
      </c>
      <c r="V16" s="30">
        <f>SUM($S$16:$U$16)</f>
        <v>0</v>
      </c>
      <c r="W16" s="30"/>
      <c r="X16" s="30">
        <f>SUM($W$16:$W$16)</f>
        <v>0</v>
      </c>
      <c r="Y16" s="30">
        <f>'TR TE'!$Y$16*'TR TE'!$Y$49</f>
        <v>0</v>
      </c>
      <c r="Z16" s="30">
        <f>SUM($Y$16:$Y$16)</f>
        <v>0</v>
      </c>
      <c r="AA16" s="30">
        <f>SUMIF($L$4:$Z$4,"SUBTOTAL",$L$16:$Z$16)</f>
        <v>266.67368489474143</v>
      </c>
    </row>
    <row r="17" spans="1:27" ht="11.25" customHeight="1" x14ac:dyDescent="0.25">
      <c r="A17" s="136"/>
      <c r="B17" s="136"/>
      <c r="C17" s="136"/>
      <c r="D17" s="33" t="s">
        <v>28</v>
      </c>
      <c r="E17" s="33" t="s">
        <v>25</v>
      </c>
      <c r="F17" s="33" t="s">
        <v>25</v>
      </c>
      <c r="G17" s="32" t="s">
        <v>73</v>
      </c>
      <c r="H17" s="32" t="s">
        <v>69</v>
      </c>
      <c r="I17" s="32">
        <f>'MERCADO TE'!$U$14</f>
        <v>0</v>
      </c>
      <c r="J17" s="17"/>
      <c r="L17" s="30">
        <f>'TR TE'!$L$17*'TR TE'!$L$49</f>
        <v>0</v>
      </c>
      <c r="M17" s="30">
        <f>'TR TE'!$M$17*'TR TE'!$M$49</f>
        <v>0</v>
      </c>
      <c r="N17" s="30">
        <f>'TR TE'!$N$17*'TR TE'!$N$49</f>
        <v>0</v>
      </c>
      <c r="O17" s="30">
        <f>'TR TE'!$O$17*'TR TE'!$O$49</f>
        <v>0</v>
      </c>
      <c r="P17" s="30">
        <f>SUM($L$17:$O$17)</f>
        <v>0</v>
      </c>
      <c r="Q17" s="30">
        <f>'TR TE'!$Q$17*'TR TE'!$Q$49</f>
        <v>266.67368489474143</v>
      </c>
      <c r="R17" s="30">
        <f>SUM($Q$17:$Q$17)</f>
        <v>266.67368489474143</v>
      </c>
      <c r="S17" s="30">
        <f>'TR TE'!$S$17*'TR TE'!$S$49</f>
        <v>0</v>
      </c>
      <c r="T17" s="30">
        <f>'TR TE'!$T$17*'TR TE'!$T$49</f>
        <v>0</v>
      </c>
      <c r="U17" s="30">
        <f>'TR TE'!$U$17*'TR TE'!$U$49</f>
        <v>0</v>
      </c>
      <c r="V17" s="30">
        <f>SUM($S$17:$U$17)</f>
        <v>0</v>
      </c>
      <c r="W17" s="30"/>
      <c r="X17" s="30">
        <f>SUM($W$17:$W$17)</f>
        <v>0</v>
      </c>
      <c r="Y17" s="30">
        <f>'TR TE'!$Y$17*'TR TE'!$Y$49</f>
        <v>0</v>
      </c>
      <c r="Z17" s="30">
        <f>SUM($Y$17:$Y$17)</f>
        <v>0</v>
      </c>
      <c r="AA17" s="30">
        <f>SUMIF($L$4:$Z$4,"SUBTOTAL",$L$17:$Z$17)</f>
        <v>266.67368489474143</v>
      </c>
    </row>
    <row r="18" spans="1:27" ht="11.25" customHeight="1" x14ac:dyDescent="0.25">
      <c r="A18" s="136"/>
      <c r="B18" s="136"/>
      <c r="C18" s="136"/>
      <c r="D18" s="33" t="s">
        <v>29</v>
      </c>
      <c r="E18" s="33" t="s">
        <v>25</v>
      </c>
      <c r="F18" s="33" t="s">
        <v>25</v>
      </c>
      <c r="G18" s="32" t="s">
        <v>73</v>
      </c>
      <c r="H18" s="32" t="s">
        <v>69</v>
      </c>
      <c r="I18" s="32">
        <f>'MERCADO TE'!$U$15</f>
        <v>0</v>
      </c>
      <c r="J18" s="17"/>
      <c r="L18" s="30">
        <f>'TR TE'!$L$18*'TR TE'!$L$49</f>
        <v>0</v>
      </c>
      <c r="M18" s="30">
        <f>'TR TE'!$M$18*'TR TE'!$M$49</f>
        <v>0</v>
      </c>
      <c r="N18" s="30">
        <f>'TR TE'!$N$18*'TR TE'!$N$49</f>
        <v>0</v>
      </c>
      <c r="O18" s="30">
        <f>'TR TE'!$O$18*'TR TE'!$O$49</f>
        <v>0</v>
      </c>
      <c r="P18" s="30">
        <f>SUM($L$18:$O$18)</f>
        <v>0</v>
      </c>
      <c r="Q18" s="30">
        <f>'TR TE'!$Q$18*'TR TE'!$Q$49</f>
        <v>266.67368489474143</v>
      </c>
      <c r="R18" s="30">
        <f>SUM($Q$18:$Q$18)</f>
        <v>266.67368489474143</v>
      </c>
      <c r="S18" s="30">
        <f>'TR TE'!$S$18*'TR TE'!$S$49</f>
        <v>0</v>
      </c>
      <c r="T18" s="30">
        <f>'TR TE'!$T$18*'TR TE'!$T$49</f>
        <v>0</v>
      </c>
      <c r="U18" s="30">
        <f>'TR TE'!$U$18*'TR TE'!$U$49</f>
        <v>0</v>
      </c>
      <c r="V18" s="30">
        <f>SUM($S$18:$U$18)</f>
        <v>0</v>
      </c>
      <c r="W18" s="30"/>
      <c r="X18" s="30">
        <f>SUM($W$18:$W$18)</f>
        <v>0</v>
      </c>
      <c r="Y18" s="30">
        <f>'TR TE'!$Y$18*'TR TE'!$Y$49</f>
        <v>0</v>
      </c>
      <c r="Z18" s="30">
        <f>SUM($Y$18:$Y$18)</f>
        <v>0</v>
      </c>
      <c r="AA18" s="30">
        <f>SUMIF($L$4:$Z$4,"SUBTOTAL",$L$18:$Z$18)</f>
        <v>266.67368489474143</v>
      </c>
    </row>
    <row r="19" spans="1:27" ht="11.25" customHeight="1" x14ac:dyDescent="0.25">
      <c r="A19" s="136"/>
      <c r="B19" s="136"/>
      <c r="C19" s="136"/>
      <c r="D19" s="33" t="s">
        <v>30</v>
      </c>
      <c r="E19" s="33" t="s">
        <v>25</v>
      </c>
      <c r="F19" s="33" t="s">
        <v>25</v>
      </c>
      <c r="G19" s="32" t="s">
        <v>73</v>
      </c>
      <c r="H19" s="32" t="s">
        <v>69</v>
      </c>
      <c r="I19" s="32">
        <f>'MERCADO TE'!$U$16</f>
        <v>0</v>
      </c>
      <c r="J19" s="17"/>
      <c r="L19" s="30">
        <f>'TR TE'!$L$19*'TR TE'!$L$49</f>
        <v>0</v>
      </c>
      <c r="M19" s="30">
        <f>'TR TE'!$M$19*'TR TE'!$M$49</f>
        <v>0</v>
      </c>
      <c r="N19" s="30">
        <f>'TR TE'!$N$19*'TR TE'!$N$49</f>
        <v>0</v>
      </c>
      <c r="O19" s="30">
        <f>'TR TE'!$O$19*'TR TE'!$O$49</f>
        <v>0</v>
      </c>
      <c r="P19" s="30">
        <f>SUM($L$19:$O$19)</f>
        <v>0</v>
      </c>
      <c r="Q19" s="30">
        <f>'TR TE'!$Q$19*'TR TE'!$Q$49</f>
        <v>266.67368489474143</v>
      </c>
      <c r="R19" s="30">
        <f>SUM($Q$19:$Q$19)</f>
        <v>266.67368489474143</v>
      </c>
      <c r="S19" s="30">
        <f>'TR TE'!$S$19*'TR TE'!$S$49</f>
        <v>0</v>
      </c>
      <c r="T19" s="30">
        <f>'TR TE'!$T$19*'TR TE'!$T$49</f>
        <v>0</v>
      </c>
      <c r="U19" s="30">
        <f>'TR TE'!$U$19*'TR TE'!$U$49</f>
        <v>0</v>
      </c>
      <c r="V19" s="30">
        <f>SUM($S$19:$U$19)</f>
        <v>0</v>
      </c>
      <c r="W19" s="30"/>
      <c r="X19" s="30">
        <f>SUM($W$19:$W$19)</f>
        <v>0</v>
      </c>
      <c r="Y19" s="30">
        <f>'TR TE'!$Y$19*'TR TE'!$Y$49</f>
        <v>0</v>
      </c>
      <c r="Z19" s="30">
        <f>SUM($Y$19:$Y$19)</f>
        <v>0</v>
      </c>
      <c r="AA19" s="30">
        <f>SUMIF($L$4:$Z$4,"SUBTOTAL",$L$19:$Z$19)</f>
        <v>266.67368489474143</v>
      </c>
    </row>
    <row r="20" spans="1:27" ht="11.25" customHeight="1" x14ac:dyDescent="0.25">
      <c r="A20" s="136"/>
      <c r="B20" s="136"/>
      <c r="C20" s="136"/>
      <c r="D20" s="33" t="s">
        <v>31</v>
      </c>
      <c r="E20" s="33" t="s">
        <v>25</v>
      </c>
      <c r="F20" s="33" t="s">
        <v>25</v>
      </c>
      <c r="G20" s="32" t="s">
        <v>73</v>
      </c>
      <c r="H20" s="32" t="s">
        <v>69</v>
      </c>
      <c r="I20" s="32">
        <f>'MERCADO TE'!$U$17</f>
        <v>0</v>
      </c>
      <c r="J20" s="17"/>
      <c r="L20" s="30">
        <f>'TR TE'!$L$20*'TR TE'!$L$49</f>
        <v>0</v>
      </c>
      <c r="M20" s="30">
        <f>'TR TE'!$M$20*'TR TE'!$M$49</f>
        <v>0</v>
      </c>
      <c r="N20" s="30">
        <f>'TR TE'!$N$20*'TR TE'!$N$49</f>
        <v>0</v>
      </c>
      <c r="O20" s="30">
        <f>'TR TE'!$O$20*'TR TE'!$O$49</f>
        <v>0</v>
      </c>
      <c r="P20" s="30">
        <f>SUM($L$20:$O$20)</f>
        <v>0</v>
      </c>
      <c r="Q20" s="30">
        <f>'TR TE'!$Q$20*'TR TE'!$Q$49</f>
        <v>266.67368489474143</v>
      </c>
      <c r="R20" s="30">
        <f>SUM($Q$20:$Q$20)</f>
        <v>266.67368489474143</v>
      </c>
      <c r="S20" s="30">
        <f>'TR TE'!$S$20*'TR TE'!$S$49</f>
        <v>0</v>
      </c>
      <c r="T20" s="30">
        <f>'TR TE'!$T$20*'TR TE'!$T$49</f>
        <v>0</v>
      </c>
      <c r="U20" s="30">
        <f>'TR TE'!$U$20*'TR TE'!$U$49</f>
        <v>0</v>
      </c>
      <c r="V20" s="30">
        <f>SUM($S$20:$U$20)</f>
        <v>0</v>
      </c>
      <c r="W20" s="30"/>
      <c r="X20" s="30">
        <f>SUM($W$20:$W$20)</f>
        <v>0</v>
      </c>
      <c r="Y20" s="30">
        <f>'TR TE'!$Y$20*'TR TE'!$Y$49</f>
        <v>0</v>
      </c>
      <c r="Z20" s="30">
        <f>SUM($Y$20:$Y$20)</f>
        <v>0</v>
      </c>
      <c r="AA20" s="30">
        <f>SUMIF($L$4:$Z$4,"SUBTOTAL",$L$20:$Z$20)</f>
        <v>266.67368489474143</v>
      </c>
    </row>
    <row r="21" spans="1:27" ht="11.25" customHeight="1" x14ac:dyDescent="0.25">
      <c r="A21" s="136" t="s">
        <v>41</v>
      </c>
      <c r="B21" s="136" t="s">
        <v>68</v>
      </c>
      <c r="C21" s="136" t="s">
        <v>42</v>
      </c>
      <c r="D21" s="136" t="s">
        <v>25</v>
      </c>
      <c r="E21" s="136" t="s">
        <v>25</v>
      </c>
      <c r="F21" s="136" t="s">
        <v>25</v>
      </c>
      <c r="G21" s="32" t="s">
        <v>70</v>
      </c>
      <c r="H21" s="32" t="s">
        <v>69</v>
      </c>
      <c r="I21" s="32">
        <f>'MERCADO TE'!$U$18</f>
        <v>0.34100000000000003</v>
      </c>
      <c r="J21" s="17"/>
      <c r="L21" s="30">
        <f>'TR TE'!$L$21*'TR TE'!$L$49</f>
        <v>0</v>
      </c>
      <c r="M21" s="30">
        <f>'TR TE'!$M$21*'TR TE'!$M$49</f>
        <v>0</v>
      </c>
      <c r="N21" s="30">
        <f>'TR TE'!$N$21*'TR TE'!$N$49</f>
        <v>0</v>
      </c>
      <c r="O21" s="30">
        <f>'TR TE'!$O$21*'TR TE'!$O$49</f>
        <v>0</v>
      </c>
      <c r="P21" s="30">
        <f>SUM($L$21:$O$21)</f>
        <v>0</v>
      </c>
      <c r="Q21" s="30">
        <f>'TR TE'!$Q$21*'TR TE'!$Q$49</f>
        <v>266.67368489474143</v>
      </c>
      <c r="R21" s="30">
        <f>SUM($Q$21:$Q$21)</f>
        <v>266.67368489474143</v>
      </c>
      <c r="S21" s="30">
        <f>'TR TE'!$S$21*'TR TE'!$S$49</f>
        <v>0</v>
      </c>
      <c r="T21" s="30">
        <f>'TR TE'!$T$21*'TR TE'!$T$49</f>
        <v>0</v>
      </c>
      <c r="U21" s="30">
        <f>'TR TE'!$U$21*'TR TE'!$U$49</f>
        <v>0</v>
      </c>
      <c r="V21" s="30">
        <f>SUM($S$21:$U$21)</f>
        <v>0</v>
      </c>
      <c r="W21" s="30"/>
      <c r="X21" s="30">
        <f>SUM($W$21:$W$21)</f>
        <v>0</v>
      </c>
      <c r="Y21" s="30">
        <f>'TR TE'!$Y$21*'TR TE'!$Y$49</f>
        <v>0</v>
      </c>
      <c r="Z21" s="30">
        <f>SUM($Y$21:$Y$21)</f>
        <v>0</v>
      </c>
      <c r="AA21" s="30">
        <f>SUMIF($L$4:$Z$4,"SUBTOTAL",$L$21:$Z$21)</f>
        <v>266.67368489474143</v>
      </c>
    </row>
    <row r="22" spans="1:27" ht="11.25" customHeight="1" x14ac:dyDescent="0.25">
      <c r="A22" s="136"/>
      <c r="B22" s="136"/>
      <c r="C22" s="136"/>
      <c r="D22" s="136"/>
      <c r="E22" s="136"/>
      <c r="F22" s="136"/>
      <c r="G22" s="32" t="s">
        <v>83</v>
      </c>
      <c r="H22" s="32" t="s">
        <v>69</v>
      </c>
      <c r="I22" s="32">
        <f>'MERCADO TE'!$U$19</f>
        <v>0.55500000000000005</v>
      </c>
      <c r="J22" s="17"/>
      <c r="L22" s="30">
        <f>'TR TE'!$L$22*'TR TE'!$L$49</f>
        <v>0</v>
      </c>
      <c r="M22" s="30">
        <f>'TR TE'!$M$22*'TR TE'!$M$49</f>
        <v>0</v>
      </c>
      <c r="N22" s="30">
        <f>'TR TE'!$N$22*'TR TE'!$N$49</f>
        <v>0</v>
      </c>
      <c r="O22" s="30">
        <f>'TR TE'!$O$22*'TR TE'!$O$49</f>
        <v>0</v>
      </c>
      <c r="P22" s="30">
        <f>SUM($L$22:$O$22)</f>
        <v>0</v>
      </c>
      <c r="Q22" s="30">
        <f>'TR TE'!$Q$22*'TR TE'!$Q$49</f>
        <v>266.67368489474143</v>
      </c>
      <c r="R22" s="30">
        <f>SUM($Q$22:$Q$22)</f>
        <v>266.67368489474143</v>
      </c>
      <c r="S22" s="30">
        <f>'TR TE'!$S$22*'TR TE'!$S$49</f>
        <v>0</v>
      </c>
      <c r="T22" s="30">
        <f>'TR TE'!$T$22*'TR TE'!$T$49</f>
        <v>0</v>
      </c>
      <c r="U22" s="30">
        <f>'TR TE'!$U$22*'TR TE'!$U$49</f>
        <v>0</v>
      </c>
      <c r="V22" s="30">
        <f>SUM($S$22:$U$22)</f>
        <v>0</v>
      </c>
      <c r="W22" s="30"/>
      <c r="X22" s="30">
        <f>SUM($W$22:$W$22)</f>
        <v>0</v>
      </c>
      <c r="Y22" s="30">
        <f>'TR TE'!$Y$22*'TR TE'!$Y$49</f>
        <v>0</v>
      </c>
      <c r="Z22" s="30">
        <f>SUM($Y$22:$Y$22)</f>
        <v>0</v>
      </c>
      <c r="AA22" s="30">
        <f>SUMIF($L$4:$Z$4,"SUBTOTAL",$L$22:$Z$22)</f>
        <v>266.67368489474143</v>
      </c>
    </row>
    <row r="23" spans="1:27" ht="11.25" customHeight="1" x14ac:dyDescent="0.25">
      <c r="A23" s="136"/>
      <c r="B23" s="136"/>
      <c r="C23" s="136"/>
      <c r="D23" s="136"/>
      <c r="E23" s="136"/>
      <c r="F23" s="136"/>
      <c r="G23" s="32" t="s">
        <v>71</v>
      </c>
      <c r="H23" s="32" t="s">
        <v>69</v>
      </c>
      <c r="I23" s="32">
        <f>'MERCADO TE'!$U$20</f>
        <v>16.565999999999999</v>
      </c>
      <c r="J23" s="17"/>
      <c r="L23" s="30">
        <f>'TR TE'!$L$23*'TR TE'!$L$49</f>
        <v>0</v>
      </c>
      <c r="M23" s="30">
        <f>'TR TE'!$M$23*'TR TE'!$M$49</f>
        <v>0</v>
      </c>
      <c r="N23" s="30">
        <f>'TR TE'!$N$23*'TR TE'!$N$49</f>
        <v>0</v>
      </c>
      <c r="O23" s="30">
        <f>'TR TE'!$O$23*'TR TE'!$O$49</f>
        <v>0</v>
      </c>
      <c r="P23" s="30">
        <f>SUM($L$23:$O$23)</f>
        <v>0</v>
      </c>
      <c r="Q23" s="30">
        <f>'TR TE'!$Q$23*'TR TE'!$Q$49</f>
        <v>266.67368489474143</v>
      </c>
      <c r="R23" s="30">
        <f>SUM($Q$23:$Q$23)</f>
        <v>266.67368489474143</v>
      </c>
      <c r="S23" s="30">
        <f>'TR TE'!$S$23*'TR TE'!$S$49</f>
        <v>0</v>
      </c>
      <c r="T23" s="30">
        <f>'TR TE'!$T$23*'TR TE'!$T$49</f>
        <v>0</v>
      </c>
      <c r="U23" s="30">
        <f>'TR TE'!$U$23*'TR TE'!$U$49</f>
        <v>0</v>
      </c>
      <c r="V23" s="30">
        <f>SUM($S$23:$U$23)</f>
        <v>0</v>
      </c>
      <c r="W23" s="30"/>
      <c r="X23" s="30">
        <f>SUM($W$23:$W$23)</f>
        <v>0</v>
      </c>
      <c r="Y23" s="30">
        <f>'TR TE'!$Y$23*'TR TE'!$Y$49</f>
        <v>0</v>
      </c>
      <c r="Z23" s="30">
        <f>SUM($Y$23:$Y$23)</f>
        <v>0</v>
      </c>
      <c r="AA23" s="30">
        <f>SUMIF($L$4:$Z$4,"SUBTOTAL",$L$23:$Z$23)</f>
        <v>266.67368489474143</v>
      </c>
    </row>
    <row r="24" spans="1:27" ht="11.25" customHeight="1" x14ac:dyDescent="0.25">
      <c r="A24" s="136"/>
      <c r="B24" s="33" t="s">
        <v>72</v>
      </c>
      <c r="C24" s="33" t="s">
        <v>42</v>
      </c>
      <c r="D24" s="33" t="s">
        <v>25</v>
      </c>
      <c r="E24" s="33" t="s">
        <v>25</v>
      </c>
      <c r="F24" s="33" t="s">
        <v>25</v>
      </c>
      <c r="G24" s="32" t="s">
        <v>73</v>
      </c>
      <c r="H24" s="32" t="s">
        <v>69</v>
      </c>
      <c r="I24" s="32">
        <f>'MERCADO TE'!$U$21</f>
        <v>2549.6099999999997</v>
      </c>
      <c r="J24" s="17"/>
      <c r="L24" s="30">
        <f>'TR TE'!$L$24*'TR TE'!$L$49</f>
        <v>0</v>
      </c>
      <c r="M24" s="30">
        <f>'TR TE'!$M$24*'TR TE'!$M$49</f>
        <v>0</v>
      </c>
      <c r="N24" s="30">
        <f>'TR TE'!$N$24*'TR TE'!$N$49</f>
        <v>0</v>
      </c>
      <c r="O24" s="30">
        <f>'TR TE'!$O$24*'TR TE'!$O$49</f>
        <v>0</v>
      </c>
      <c r="P24" s="30">
        <f>SUM($L$24:$O$24)</f>
        <v>0</v>
      </c>
      <c r="Q24" s="30">
        <f>'TR TE'!$Q$24*'TR TE'!$Q$49</f>
        <v>266.67368489474143</v>
      </c>
      <c r="R24" s="30">
        <f>SUM($Q$24:$Q$24)</f>
        <v>266.67368489474143</v>
      </c>
      <c r="S24" s="30">
        <f>'TR TE'!$S$24*'TR TE'!$S$49</f>
        <v>0</v>
      </c>
      <c r="T24" s="30">
        <f>'TR TE'!$T$24*'TR TE'!$T$49</f>
        <v>0</v>
      </c>
      <c r="U24" s="30">
        <f>'TR TE'!$U$24*'TR TE'!$U$49</f>
        <v>0</v>
      </c>
      <c r="V24" s="30">
        <f>SUM($S$24:$U$24)</f>
        <v>0</v>
      </c>
      <c r="W24" s="30"/>
      <c r="X24" s="30">
        <f>SUM($W$24:$W$24)</f>
        <v>0</v>
      </c>
      <c r="Y24" s="30">
        <f>'TR TE'!$Y$24*'TR TE'!$Y$49</f>
        <v>0</v>
      </c>
      <c r="Z24" s="30">
        <f>SUM($Y$24:$Y$24)</f>
        <v>0</v>
      </c>
      <c r="AA24" s="30">
        <f>SUMIF($L$4:$Z$4,"SUBTOTAL",$L$24:$Z$24)</f>
        <v>266.67368489474143</v>
      </c>
    </row>
    <row r="25" spans="1:27" ht="11.25" customHeight="1" x14ac:dyDescent="0.25">
      <c r="A25" s="136"/>
      <c r="B25" s="136" t="s">
        <v>68</v>
      </c>
      <c r="C25" s="136" t="s">
        <v>42</v>
      </c>
      <c r="D25" s="136" t="s">
        <v>86</v>
      </c>
      <c r="E25" s="136" t="s">
        <v>25</v>
      </c>
      <c r="F25" s="136" t="s">
        <v>25</v>
      </c>
      <c r="G25" s="32" t="s">
        <v>70</v>
      </c>
      <c r="H25" s="32" t="s">
        <v>69</v>
      </c>
      <c r="I25" s="32">
        <f>'MERCADO TE'!$U$22</f>
        <v>0</v>
      </c>
      <c r="J25" s="17"/>
      <c r="L25" s="30">
        <f>'TR TE'!$L$25*'TR TE'!$L$49</f>
        <v>0</v>
      </c>
      <c r="M25" s="30">
        <f>'TR TE'!$M$25*'TR TE'!$M$49</f>
        <v>0</v>
      </c>
      <c r="N25" s="30">
        <f>'TR TE'!$N$25*'TR TE'!$N$49</f>
        <v>0</v>
      </c>
      <c r="O25" s="30">
        <f>'TR TE'!$O$25*'TR TE'!$O$49</f>
        <v>0</v>
      </c>
      <c r="P25" s="30">
        <f>SUM($L$25:$O$25)</f>
        <v>0</v>
      </c>
      <c r="Q25" s="30">
        <f>'TR TE'!$Q$25*'TR TE'!$Q$49</f>
        <v>266.67368489474143</v>
      </c>
      <c r="R25" s="30">
        <f>SUM($Q$25:$Q$25)</f>
        <v>266.67368489474143</v>
      </c>
      <c r="S25" s="30">
        <f>'TR TE'!$S$25*'TR TE'!$S$49</f>
        <v>0</v>
      </c>
      <c r="T25" s="30">
        <f>'TR TE'!$T$25*'TR TE'!$T$49</f>
        <v>0</v>
      </c>
      <c r="U25" s="30">
        <f>'TR TE'!$U$25*'TR TE'!$U$49</f>
        <v>0</v>
      </c>
      <c r="V25" s="30">
        <f>SUM($S$25:$U$25)</f>
        <v>0</v>
      </c>
      <c r="W25" s="30"/>
      <c r="X25" s="30">
        <f>SUM($W$25:$W$25)</f>
        <v>0</v>
      </c>
      <c r="Y25" s="30">
        <f>'TR TE'!$Y$25*'TR TE'!$Y$49</f>
        <v>0</v>
      </c>
      <c r="Z25" s="30">
        <f>SUM($Y$25:$Y$25)</f>
        <v>0</v>
      </c>
      <c r="AA25" s="30">
        <f>SUMIF($L$4:$Z$4,"SUBTOTAL",$L$25:$Z$25)</f>
        <v>266.67368489474143</v>
      </c>
    </row>
    <row r="26" spans="1:27" ht="11.25" customHeight="1" x14ac:dyDescent="0.25">
      <c r="A26" s="136"/>
      <c r="B26" s="136"/>
      <c r="C26" s="136"/>
      <c r="D26" s="136"/>
      <c r="E26" s="136"/>
      <c r="F26" s="136"/>
      <c r="G26" s="32" t="s">
        <v>83</v>
      </c>
      <c r="H26" s="32" t="s">
        <v>69</v>
      </c>
      <c r="I26" s="32">
        <f>'MERCADO TE'!$U$23</f>
        <v>0</v>
      </c>
      <c r="J26" s="17"/>
      <c r="L26" s="30">
        <f>'TR TE'!$L$26*'TR TE'!$L$49</f>
        <v>0</v>
      </c>
      <c r="M26" s="30">
        <f>'TR TE'!$M$26*'TR TE'!$M$49</f>
        <v>0</v>
      </c>
      <c r="N26" s="30">
        <f>'TR TE'!$N$26*'TR TE'!$N$49</f>
        <v>0</v>
      </c>
      <c r="O26" s="30">
        <f>'TR TE'!$O$26*'TR TE'!$O$49</f>
        <v>0</v>
      </c>
      <c r="P26" s="30">
        <f>SUM($L$26:$O$26)</f>
        <v>0</v>
      </c>
      <c r="Q26" s="30">
        <f>'TR TE'!$Q$26*'TR TE'!$Q$49</f>
        <v>266.67368489474143</v>
      </c>
      <c r="R26" s="30">
        <f>SUM($Q$26:$Q$26)</f>
        <v>266.67368489474143</v>
      </c>
      <c r="S26" s="30">
        <f>'TR TE'!$S$26*'TR TE'!$S$49</f>
        <v>0</v>
      </c>
      <c r="T26" s="30">
        <f>'TR TE'!$T$26*'TR TE'!$T$49</f>
        <v>0</v>
      </c>
      <c r="U26" s="30">
        <f>'TR TE'!$U$26*'TR TE'!$U$49</f>
        <v>0</v>
      </c>
      <c r="V26" s="30">
        <f>SUM($S$26:$U$26)</f>
        <v>0</v>
      </c>
      <c r="W26" s="30"/>
      <c r="X26" s="30">
        <f>SUM($W$26:$W$26)</f>
        <v>0</v>
      </c>
      <c r="Y26" s="30">
        <f>'TR TE'!$Y$26*'TR TE'!$Y$49</f>
        <v>0</v>
      </c>
      <c r="Z26" s="30">
        <f>SUM($Y$26:$Y$26)</f>
        <v>0</v>
      </c>
      <c r="AA26" s="30">
        <f>SUMIF($L$4:$Z$4,"SUBTOTAL",$L$26:$Z$26)</f>
        <v>266.67368489474143</v>
      </c>
    </row>
    <row r="27" spans="1:27" ht="11.25" customHeight="1" x14ac:dyDescent="0.25">
      <c r="A27" s="136"/>
      <c r="B27" s="136"/>
      <c r="C27" s="136"/>
      <c r="D27" s="136"/>
      <c r="E27" s="136"/>
      <c r="F27" s="136"/>
      <c r="G27" s="32" t="s">
        <v>71</v>
      </c>
      <c r="H27" s="32" t="s">
        <v>69</v>
      </c>
      <c r="I27" s="32">
        <f>'MERCADO TE'!$U$24</f>
        <v>0</v>
      </c>
      <c r="J27" s="17"/>
      <c r="L27" s="30">
        <f>'TR TE'!$L$27*'TR TE'!$L$49</f>
        <v>0</v>
      </c>
      <c r="M27" s="30">
        <f>'TR TE'!$M$27*'TR TE'!$M$49</f>
        <v>0</v>
      </c>
      <c r="N27" s="30">
        <f>'TR TE'!$N$27*'TR TE'!$N$49</f>
        <v>0</v>
      </c>
      <c r="O27" s="30">
        <f>'TR TE'!$O$27*'TR TE'!$O$49</f>
        <v>0</v>
      </c>
      <c r="P27" s="30">
        <f>SUM($L$27:$O$27)</f>
        <v>0</v>
      </c>
      <c r="Q27" s="30">
        <f>'TR TE'!$Q$27*'TR TE'!$Q$49</f>
        <v>266.67368489474143</v>
      </c>
      <c r="R27" s="30">
        <f>SUM($Q$27:$Q$27)</f>
        <v>266.67368489474143</v>
      </c>
      <c r="S27" s="30">
        <f>'TR TE'!$S$27*'TR TE'!$S$49</f>
        <v>0</v>
      </c>
      <c r="T27" s="30">
        <f>'TR TE'!$T$27*'TR TE'!$T$49</f>
        <v>0</v>
      </c>
      <c r="U27" s="30">
        <f>'TR TE'!$U$27*'TR TE'!$U$49</f>
        <v>0</v>
      </c>
      <c r="V27" s="30">
        <f>SUM($S$27:$U$27)</f>
        <v>0</v>
      </c>
      <c r="W27" s="30"/>
      <c r="X27" s="30">
        <f>SUM($W$27:$W$27)</f>
        <v>0</v>
      </c>
      <c r="Y27" s="30">
        <f>'TR TE'!$Y$27*'TR TE'!$Y$49</f>
        <v>0</v>
      </c>
      <c r="Z27" s="30">
        <f>SUM($Y$27:$Y$27)</f>
        <v>0</v>
      </c>
      <c r="AA27" s="30">
        <f>SUMIF($L$4:$Z$4,"SUBTOTAL",$L$27:$Z$27)</f>
        <v>266.67368489474143</v>
      </c>
    </row>
    <row r="28" spans="1:27" ht="11.25" customHeight="1" x14ac:dyDescent="0.25">
      <c r="A28" s="136"/>
      <c r="B28" s="33" t="s">
        <v>72</v>
      </c>
      <c r="C28" s="33" t="s">
        <v>42</v>
      </c>
      <c r="D28" s="33" t="s">
        <v>86</v>
      </c>
      <c r="E28" s="33" t="s">
        <v>25</v>
      </c>
      <c r="F28" s="33" t="s">
        <v>25</v>
      </c>
      <c r="G28" s="32" t="s">
        <v>73</v>
      </c>
      <c r="H28" s="32" t="s">
        <v>69</v>
      </c>
      <c r="I28" s="32">
        <f>'MERCADO TE'!$U$25</f>
        <v>0</v>
      </c>
      <c r="J28" s="17"/>
      <c r="L28" s="30">
        <f>'TR TE'!$L$28*'TR TE'!$L$49</f>
        <v>0</v>
      </c>
      <c r="M28" s="30">
        <f>'TR TE'!$M$28*'TR TE'!$M$49</f>
        <v>0</v>
      </c>
      <c r="N28" s="30">
        <f>'TR TE'!$N$28*'TR TE'!$N$49</f>
        <v>0</v>
      </c>
      <c r="O28" s="30">
        <f>'TR TE'!$O$28*'TR TE'!$O$49</f>
        <v>0</v>
      </c>
      <c r="P28" s="30">
        <f>SUM($L$28:$O$28)</f>
        <v>0</v>
      </c>
      <c r="Q28" s="30">
        <f>'TR TE'!$Q$28*'TR TE'!$Q$49</f>
        <v>266.67368489474143</v>
      </c>
      <c r="R28" s="30">
        <f>SUM($Q$28:$Q$28)</f>
        <v>266.67368489474143</v>
      </c>
      <c r="S28" s="30">
        <f>'TR TE'!$S$28*'TR TE'!$S$49</f>
        <v>0</v>
      </c>
      <c r="T28" s="30">
        <f>'TR TE'!$T$28*'TR TE'!$T$49</f>
        <v>0</v>
      </c>
      <c r="U28" s="30">
        <f>'TR TE'!$U$28*'TR TE'!$U$49</f>
        <v>0</v>
      </c>
      <c r="V28" s="30">
        <f>SUM($S$28:$U$28)</f>
        <v>0</v>
      </c>
      <c r="W28" s="30"/>
      <c r="X28" s="30">
        <f>SUM($W$28:$W$28)</f>
        <v>0</v>
      </c>
      <c r="Y28" s="30">
        <f>'TR TE'!$Y$28*'TR TE'!$Y$49</f>
        <v>0</v>
      </c>
      <c r="Z28" s="30">
        <f>SUM($Y$28:$Y$28)</f>
        <v>0</v>
      </c>
      <c r="AA28" s="30">
        <f>SUMIF($L$4:$Z$4,"SUBTOTAL",$L$28:$Z$28)</f>
        <v>266.67368489474143</v>
      </c>
    </row>
    <row r="29" spans="1:27" ht="11.25" customHeight="1" x14ac:dyDescent="0.25">
      <c r="A29" s="136"/>
      <c r="B29" s="136" t="s">
        <v>68</v>
      </c>
      <c r="C29" s="136" t="s">
        <v>42</v>
      </c>
      <c r="D29" s="136" t="s">
        <v>87</v>
      </c>
      <c r="E29" s="136" t="s">
        <v>25</v>
      </c>
      <c r="F29" s="136" t="s">
        <v>25</v>
      </c>
      <c r="G29" s="32" t="s">
        <v>70</v>
      </c>
      <c r="H29" s="32" t="s">
        <v>69</v>
      </c>
      <c r="I29" s="32">
        <f>'MERCADO TE'!$U$26</f>
        <v>0</v>
      </c>
      <c r="J29" s="17"/>
      <c r="L29" s="30">
        <f>'TR TE'!$L$29*'TR TE'!$L$49</f>
        <v>0</v>
      </c>
      <c r="M29" s="30">
        <f>'TR TE'!$M$29*'TR TE'!$M$49</f>
        <v>0</v>
      </c>
      <c r="N29" s="30">
        <f>'TR TE'!$N$29*'TR TE'!$N$49</f>
        <v>0</v>
      </c>
      <c r="O29" s="30">
        <f>'TR TE'!$O$29*'TR TE'!$O$49</f>
        <v>0</v>
      </c>
      <c r="P29" s="30">
        <f>SUM($L$29:$O$29)</f>
        <v>0</v>
      </c>
      <c r="Q29" s="30">
        <f>'TR TE'!$Q$29*'TR TE'!$Q$49</f>
        <v>266.67368489474143</v>
      </c>
      <c r="R29" s="30">
        <f>SUM($Q$29:$Q$29)</f>
        <v>266.67368489474143</v>
      </c>
      <c r="S29" s="30">
        <f>'TR TE'!$S$29*'TR TE'!$S$49</f>
        <v>0</v>
      </c>
      <c r="T29" s="30">
        <f>'TR TE'!$T$29*'TR TE'!$T$49</f>
        <v>0</v>
      </c>
      <c r="U29" s="30">
        <f>'TR TE'!$U$29*'TR TE'!$U$49</f>
        <v>0</v>
      </c>
      <c r="V29" s="30">
        <f>SUM($S$29:$U$29)</f>
        <v>0</v>
      </c>
      <c r="W29" s="30"/>
      <c r="X29" s="30">
        <f>SUM($W$29:$W$29)</f>
        <v>0</v>
      </c>
      <c r="Y29" s="30">
        <f>'TR TE'!$Y$29*'TR TE'!$Y$49</f>
        <v>0</v>
      </c>
      <c r="Z29" s="30">
        <f>SUM($Y$29:$Y$29)</f>
        <v>0</v>
      </c>
      <c r="AA29" s="30">
        <f>SUMIF($L$4:$Z$4,"SUBTOTAL",$L$29:$Z$29)</f>
        <v>266.67368489474143</v>
      </c>
    </row>
    <row r="30" spans="1:27" ht="11.25" customHeight="1" x14ac:dyDescent="0.25">
      <c r="A30" s="136"/>
      <c r="B30" s="136"/>
      <c r="C30" s="136"/>
      <c r="D30" s="136"/>
      <c r="E30" s="136"/>
      <c r="F30" s="136"/>
      <c r="G30" s="32" t="s">
        <v>83</v>
      </c>
      <c r="H30" s="32" t="s">
        <v>69</v>
      </c>
      <c r="I30" s="32">
        <f>'MERCADO TE'!$U$27</f>
        <v>0</v>
      </c>
      <c r="J30" s="17"/>
      <c r="L30" s="30">
        <f>'TR TE'!$L$30*'TR TE'!$L$49</f>
        <v>0</v>
      </c>
      <c r="M30" s="30">
        <f>'TR TE'!$M$30*'TR TE'!$M$49</f>
        <v>0</v>
      </c>
      <c r="N30" s="30">
        <f>'TR TE'!$N$30*'TR TE'!$N$49</f>
        <v>0</v>
      </c>
      <c r="O30" s="30">
        <f>'TR TE'!$O$30*'TR TE'!$O$49</f>
        <v>0</v>
      </c>
      <c r="P30" s="30">
        <f>SUM($L$30:$O$30)</f>
        <v>0</v>
      </c>
      <c r="Q30" s="30">
        <f>'TR TE'!$Q$30*'TR TE'!$Q$49</f>
        <v>266.67368489474143</v>
      </c>
      <c r="R30" s="30">
        <f>SUM($Q$30:$Q$30)</f>
        <v>266.67368489474143</v>
      </c>
      <c r="S30" s="30">
        <f>'TR TE'!$S$30*'TR TE'!$S$49</f>
        <v>0</v>
      </c>
      <c r="T30" s="30">
        <f>'TR TE'!$T$30*'TR TE'!$T$49</f>
        <v>0</v>
      </c>
      <c r="U30" s="30">
        <f>'TR TE'!$U$30*'TR TE'!$U$49</f>
        <v>0</v>
      </c>
      <c r="V30" s="30">
        <f>SUM($S$30:$U$30)</f>
        <v>0</v>
      </c>
      <c r="W30" s="30"/>
      <c r="X30" s="30">
        <f>SUM($W$30:$W$30)</f>
        <v>0</v>
      </c>
      <c r="Y30" s="30">
        <f>'TR TE'!$Y$30*'TR TE'!$Y$49</f>
        <v>0</v>
      </c>
      <c r="Z30" s="30">
        <f>SUM($Y$30:$Y$30)</f>
        <v>0</v>
      </c>
      <c r="AA30" s="30">
        <f>SUMIF($L$4:$Z$4,"SUBTOTAL",$L$30:$Z$30)</f>
        <v>266.67368489474143</v>
      </c>
    </row>
    <row r="31" spans="1:27" ht="11.25" customHeight="1" x14ac:dyDescent="0.25">
      <c r="A31" s="136"/>
      <c r="B31" s="136"/>
      <c r="C31" s="136"/>
      <c r="D31" s="136"/>
      <c r="E31" s="136"/>
      <c r="F31" s="136"/>
      <c r="G31" s="32" t="s">
        <v>71</v>
      </c>
      <c r="H31" s="32" t="s">
        <v>69</v>
      </c>
      <c r="I31" s="32">
        <f>'MERCADO TE'!$U$28</f>
        <v>0</v>
      </c>
      <c r="J31" s="17"/>
      <c r="L31" s="30">
        <f>'TR TE'!$L$31*'TR TE'!$L$49</f>
        <v>0</v>
      </c>
      <c r="M31" s="30">
        <f>'TR TE'!$M$31*'TR TE'!$M$49</f>
        <v>0</v>
      </c>
      <c r="N31" s="30">
        <f>'TR TE'!$N$31*'TR TE'!$N$49</f>
        <v>0</v>
      </c>
      <c r="O31" s="30">
        <f>'TR TE'!$O$31*'TR TE'!$O$49</f>
        <v>0</v>
      </c>
      <c r="P31" s="30">
        <f>SUM($L$31:$O$31)</f>
        <v>0</v>
      </c>
      <c r="Q31" s="30">
        <f>'TR TE'!$Q$31*'TR TE'!$Q$49</f>
        <v>266.67368489474143</v>
      </c>
      <c r="R31" s="30">
        <f>SUM($Q$31:$Q$31)</f>
        <v>266.67368489474143</v>
      </c>
      <c r="S31" s="30">
        <f>'TR TE'!$S$31*'TR TE'!$S$49</f>
        <v>0</v>
      </c>
      <c r="T31" s="30">
        <f>'TR TE'!$T$31*'TR TE'!$T$49</f>
        <v>0</v>
      </c>
      <c r="U31" s="30">
        <f>'TR TE'!$U$31*'TR TE'!$U$49</f>
        <v>0</v>
      </c>
      <c r="V31" s="30">
        <f>SUM($S$31:$U$31)</f>
        <v>0</v>
      </c>
      <c r="W31" s="30"/>
      <c r="X31" s="30">
        <f>SUM($W$31:$W$31)</f>
        <v>0</v>
      </c>
      <c r="Y31" s="30">
        <f>'TR TE'!$Y$31*'TR TE'!$Y$49</f>
        <v>0</v>
      </c>
      <c r="Z31" s="30">
        <f>SUM($Y$31:$Y$31)</f>
        <v>0</v>
      </c>
      <c r="AA31" s="30">
        <f>SUMIF($L$4:$Z$4,"SUBTOTAL",$L$31:$Z$31)</f>
        <v>266.67368489474143</v>
      </c>
    </row>
    <row r="32" spans="1:27" ht="11.25" customHeight="1" x14ac:dyDescent="0.25">
      <c r="A32" s="136"/>
      <c r="B32" s="33" t="s">
        <v>72</v>
      </c>
      <c r="C32" s="33" t="s">
        <v>42</v>
      </c>
      <c r="D32" s="33" t="s">
        <v>87</v>
      </c>
      <c r="E32" s="33" t="s">
        <v>25</v>
      </c>
      <c r="F32" s="33" t="s">
        <v>25</v>
      </c>
      <c r="G32" s="32" t="s">
        <v>73</v>
      </c>
      <c r="H32" s="32" t="s">
        <v>69</v>
      </c>
      <c r="I32" s="32">
        <f>'MERCADO TE'!$U$29</f>
        <v>0</v>
      </c>
      <c r="J32" s="17"/>
      <c r="L32" s="30">
        <f>'TR TE'!$L$32*'TR TE'!$L$49</f>
        <v>0</v>
      </c>
      <c r="M32" s="30">
        <f>'TR TE'!$M$32*'TR TE'!$M$49</f>
        <v>0</v>
      </c>
      <c r="N32" s="30">
        <f>'TR TE'!$N$32*'TR TE'!$N$49</f>
        <v>0</v>
      </c>
      <c r="O32" s="30">
        <f>'TR TE'!$O$32*'TR TE'!$O$49</f>
        <v>0</v>
      </c>
      <c r="P32" s="30">
        <f>SUM($L$32:$O$32)</f>
        <v>0</v>
      </c>
      <c r="Q32" s="30">
        <f>'TR TE'!$Q$32*'TR TE'!$Q$49</f>
        <v>266.67368489474143</v>
      </c>
      <c r="R32" s="30">
        <f>SUM($Q$32:$Q$32)</f>
        <v>266.67368489474143</v>
      </c>
      <c r="S32" s="30">
        <f>'TR TE'!$S$32*'TR TE'!$S$49</f>
        <v>0</v>
      </c>
      <c r="T32" s="30">
        <f>'TR TE'!$T$32*'TR TE'!$T$49</f>
        <v>0</v>
      </c>
      <c r="U32" s="30">
        <f>'TR TE'!$U$32*'TR TE'!$U$49</f>
        <v>0</v>
      </c>
      <c r="V32" s="30">
        <f>SUM($S$32:$U$32)</f>
        <v>0</v>
      </c>
      <c r="W32" s="30"/>
      <c r="X32" s="30">
        <f>SUM($W$32:$W$32)</f>
        <v>0</v>
      </c>
      <c r="Y32" s="30">
        <f>'TR TE'!$Y$32*'TR TE'!$Y$49</f>
        <v>0</v>
      </c>
      <c r="Z32" s="30">
        <f>SUM($Y$32:$Y$32)</f>
        <v>0</v>
      </c>
      <c r="AA32" s="30">
        <f>SUMIF($L$4:$Z$4,"SUBTOTAL",$L$32:$Z$32)</f>
        <v>266.67368489474143</v>
      </c>
    </row>
    <row r="33" spans="1:27" ht="11.25" customHeight="1" x14ac:dyDescent="0.25">
      <c r="A33" s="136"/>
      <c r="B33" s="136" t="s">
        <v>84</v>
      </c>
      <c r="C33" s="136" t="s">
        <v>42</v>
      </c>
      <c r="D33" s="33" t="s">
        <v>25</v>
      </c>
      <c r="E33" s="33" t="s">
        <v>25</v>
      </c>
      <c r="F33" s="33" t="s">
        <v>25</v>
      </c>
      <c r="G33" s="32" t="s">
        <v>73</v>
      </c>
      <c r="H33" s="32" t="s">
        <v>69</v>
      </c>
      <c r="I33" s="32">
        <f>'MERCADO TE'!$U$30</f>
        <v>0</v>
      </c>
      <c r="J33" s="17"/>
      <c r="L33" s="30">
        <f>'TR TE'!$L$33*'TR TE'!$L$49</f>
        <v>0</v>
      </c>
      <c r="M33" s="30">
        <f>'TR TE'!$M$33*'TR TE'!$M$49</f>
        <v>0</v>
      </c>
      <c r="N33" s="30">
        <f>'TR TE'!$N$33*'TR TE'!$N$49</f>
        <v>0</v>
      </c>
      <c r="O33" s="30">
        <f>'TR TE'!$O$33*'TR TE'!$O$49</f>
        <v>0</v>
      </c>
      <c r="P33" s="30">
        <f>SUM($L$33:$O$33)</f>
        <v>0</v>
      </c>
      <c r="Q33" s="30">
        <f>'TR TE'!$Q$33*'TR TE'!$Q$49</f>
        <v>266.67368489474143</v>
      </c>
      <c r="R33" s="30">
        <f>SUM($Q$33:$Q$33)</f>
        <v>266.67368489474143</v>
      </c>
      <c r="S33" s="30">
        <f>'TR TE'!$S$33*'TR TE'!$S$49</f>
        <v>0</v>
      </c>
      <c r="T33" s="30">
        <f>'TR TE'!$T$33*'TR TE'!$T$49</f>
        <v>0</v>
      </c>
      <c r="U33" s="30">
        <f>'TR TE'!$U$33*'TR TE'!$U$49</f>
        <v>0</v>
      </c>
      <c r="V33" s="30">
        <f>SUM($S$33:$U$33)</f>
        <v>0</v>
      </c>
      <c r="W33" s="30"/>
      <c r="X33" s="30">
        <f>SUM($W$33:$W$33)</f>
        <v>0</v>
      </c>
      <c r="Y33" s="30">
        <f>'TR TE'!$Y$33*'TR TE'!$Y$49</f>
        <v>0</v>
      </c>
      <c r="Z33" s="30">
        <f>SUM($Y$33:$Y$33)</f>
        <v>0</v>
      </c>
      <c r="AA33" s="30">
        <f>SUMIF($L$4:$Z$4,"SUBTOTAL",$L$33:$Z$33)</f>
        <v>266.67368489474143</v>
      </c>
    </row>
    <row r="34" spans="1:27" ht="11.25" customHeight="1" x14ac:dyDescent="0.25">
      <c r="A34" s="136"/>
      <c r="B34" s="136"/>
      <c r="C34" s="136"/>
      <c r="D34" s="33" t="s">
        <v>86</v>
      </c>
      <c r="E34" s="33" t="s">
        <v>25</v>
      </c>
      <c r="F34" s="33" t="s">
        <v>25</v>
      </c>
      <c r="G34" s="32" t="s">
        <v>73</v>
      </c>
      <c r="H34" s="32" t="s">
        <v>69</v>
      </c>
      <c r="I34" s="32">
        <f>'MERCADO TE'!$U$31</f>
        <v>0</v>
      </c>
      <c r="J34" s="17"/>
      <c r="L34" s="30">
        <f>'TR TE'!$L$34*'TR TE'!$L$49</f>
        <v>0</v>
      </c>
      <c r="M34" s="30">
        <f>'TR TE'!$M$34*'TR TE'!$M$49</f>
        <v>0</v>
      </c>
      <c r="N34" s="30">
        <f>'TR TE'!$N$34*'TR TE'!$N$49</f>
        <v>0</v>
      </c>
      <c r="O34" s="30">
        <f>'TR TE'!$O$34*'TR TE'!$O$49</f>
        <v>0</v>
      </c>
      <c r="P34" s="30">
        <f>SUM($L$34:$O$34)</f>
        <v>0</v>
      </c>
      <c r="Q34" s="30">
        <f>'TR TE'!$Q$34*'TR TE'!$Q$49</f>
        <v>266.67368489474143</v>
      </c>
      <c r="R34" s="30">
        <f>SUM($Q$34:$Q$34)</f>
        <v>266.67368489474143</v>
      </c>
      <c r="S34" s="30">
        <f>'TR TE'!$S$34*'TR TE'!$S$49</f>
        <v>0</v>
      </c>
      <c r="T34" s="30">
        <f>'TR TE'!$T$34*'TR TE'!$T$49</f>
        <v>0</v>
      </c>
      <c r="U34" s="30">
        <f>'TR TE'!$U$34*'TR TE'!$U$49</f>
        <v>0</v>
      </c>
      <c r="V34" s="30">
        <f>SUM($S$34:$U$34)</f>
        <v>0</v>
      </c>
      <c r="W34" s="30"/>
      <c r="X34" s="30">
        <f>SUM($W$34:$W$34)</f>
        <v>0</v>
      </c>
      <c r="Y34" s="30">
        <f>'TR TE'!$Y$34*'TR TE'!$Y$49</f>
        <v>0</v>
      </c>
      <c r="Z34" s="30">
        <f>SUM($Y$34:$Y$34)</f>
        <v>0</v>
      </c>
      <c r="AA34" s="30">
        <f>SUMIF($L$4:$Z$4,"SUBTOTAL",$L$34:$Z$34)</f>
        <v>266.67368489474143</v>
      </c>
    </row>
    <row r="35" spans="1:27" ht="11.25" customHeight="1" x14ac:dyDescent="0.25">
      <c r="A35" s="136"/>
      <c r="B35" s="136"/>
      <c r="C35" s="136"/>
      <c r="D35" s="33" t="s">
        <v>87</v>
      </c>
      <c r="E35" s="33" t="s">
        <v>25</v>
      </c>
      <c r="F35" s="33" t="s">
        <v>25</v>
      </c>
      <c r="G35" s="32" t="s">
        <v>73</v>
      </c>
      <c r="H35" s="32" t="s">
        <v>69</v>
      </c>
      <c r="I35" s="32">
        <f>'MERCADO TE'!$U$32</f>
        <v>0</v>
      </c>
      <c r="J35" s="17"/>
      <c r="L35" s="30">
        <f>'TR TE'!$L$35*'TR TE'!$L$49</f>
        <v>0</v>
      </c>
      <c r="M35" s="30">
        <f>'TR TE'!$M$35*'TR TE'!$M$49</f>
        <v>0</v>
      </c>
      <c r="N35" s="30">
        <f>'TR TE'!$N$35*'TR TE'!$N$49</f>
        <v>0</v>
      </c>
      <c r="O35" s="30">
        <f>'TR TE'!$O$35*'TR TE'!$O$49</f>
        <v>0</v>
      </c>
      <c r="P35" s="30">
        <f>SUM($L$35:$O$35)</f>
        <v>0</v>
      </c>
      <c r="Q35" s="30">
        <f>'TR TE'!$Q$35*'TR TE'!$Q$49</f>
        <v>266.67368489474143</v>
      </c>
      <c r="R35" s="30">
        <f>SUM($Q$35:$Q$35)</f>
        <v>266.67368489474143</v>
      </c>
      <c r="S35" s="30">
        <f>'TR TE'!$S$35*'TR TE'!$S$49</f>
        <v>0</v>
      </c>
      <c r="T35" s="30">
        <f>'TR TE'!$T$35*'TR TE'!$T$49</f>
        <v>0</v>
      </c>
      <c r="U35" s="30">
        <f>'TR TE'!$U$35*'TR TE'!$U$49</f>
        <v>0</v>
      </c>
      <c r="V35" s="30">
        <f>SUM($S$35:$U$35)</f>
        <v>0</v>
      </c>
      <c r="W35" s="30"/>
      <c r="X35" s="30">
        <f>SUM($W$35:$W$35)</f>
        <v>0</v>
      </c>
      <c r="Y35" s="30">
        <f>'TR TE'!$Y$35*'TR TE'!$Y$49</f>
        <v>0</v>
      </c>
      <c r="Z35" s="30">
        <f>SUM($Y$35:$Y$35)</f>
        <v>0</v>
      </c>
      <c r="AA35" s="30">
        <f>SUMIF($L$4:$Z$4,"SUBTOTAL",$L$35:$Z$35)</f>
        <v>266.67368489474143</v>
      </c>
    </row>
    <row r="36" spans="1:27" ht="11.25" customHeight="1" x14ac:dyDescent="0.25">
      <c r="A36" s="136" t="s">
        <v>32</v>
      </c>
      <c r="B36" s="136" t="s">
        <v>68</v>
      </c>
      <c r="C36" s="136" t="s">
        <v>25</v>
      </c>
      <c r="D36" s="136" t="s">
        <v>25</v>
      </c>
      <c r="E36" s="136" t="s">
        <v>25</v>
      </c>
      <c r="F36" s="136" t="s">
        <v>25</v>
      </c>
      <c r="G36" s="32" t="s">
        <v>70</v>
      </c>
      <c r="H36" s="32" t="s">
        <v>69</v>
      </c>
      <c r="I36" s="32">
        <f>'MERCADO TE'!$U$33</f>
        <v>0.13600000000000001</v>
      </c>
      <c r="J36" s="17"/>
      <c r="L36" s="30">
        <f>'TR TE'!$L$36*'TR TE'!$L$49</f>
        <v>0</v>
      </c>
      <c r="M36" s="30">
        <f>'TR TE'!$M$36*'TR TE'!$M$49</f>
        <v>0</v>
      </c>
      <c r="N36" s="30">
        <f>'TR TE'!$N$36*'TR TE'!$N$49</f>
        <v>0</v>
      </c>
      <c r="O36" s="30">
        <f>'TR TE'!$O$36*'TR TE'!$O$49</f>
        <v>0</v>
      </c>
      <c r="P36" s="30">
        <f>SUM($L$36:$O$36)</f>
        <v>0</v>
      </c>
      <c r="Q36" s="30">
        <f>'TR TE'!$Q$36*'TR TE'!$Q$49</f>
        <v>266.67368489474143</v>
      </c>
      <c r="R36" s="30">
        <f>SUM($Q$36:$Q$36)</f>
        <v>266.67368489474143</v>
      </c>
      <c r="S36" s="30">
        <f>'TR TE'!$S$36*'TR TE'!$S$49</f>
        <v>0</v>
      </c>
      <c r="T36" s="30">
        <f>'TR TE'!$T$36*'TR TE'!$T$49</f>
        <v>0</v>
      </c>
      <c r="U36" s="30">
        <f>'TR TE'!$U$36*'TR TE'!$U$49</f>
        <v>0</v>
      </c>
      <c r="V36" s="30">
        <f>SUM($S$36:$U$36)</f>
        <v>0</v>
      </c>
      <c r="W36" s="30"/>
      <c r="X36" s="30">
        <f>SUM($W$36:$W$36)</f>
        <v>0</v>
      </c>
      <c r="Y36" s="30">
        <f>'TR TE'!$Y$36*'TR TE'!$Y$49</f>
        <v>0</v>
      </c>
      <c r="Z36" s="30">
        <f>SUM($Y$36:$Y$36)</f>
        <v>0</v>
      </c>
      <c r="AA36" s="30">
        <f>SUMIF($L$4:$Z$4,"SUBTOTAL",$L$36:$Z$36)</f>
        <v>266.67368489474143</v>
      </c>
    </row>
    <row r="37" spans="1:27" ht="11.25" customHeight="1" x14ac:dyDescent="0.25">
      <c r="A37" s="136"/>
      <c r="B37" s="136"/>
      <c r="C37" s="136"/>
      <c r="D37" s="136"/>
      <c r="E37" s="136"/>
      <c r="F37" s="136"/>
      <c r="G37" s="32" t="s">
        <v>83</v>
      </c>
      <c r="H37" s="32" t="s">
        <v>69</v>
      </c>
      <c r="I37" s="32">
        <f>'MERCADO TE'!$U$34</f>
        <v>0.16400000000000003</v>
      </c>
      <c r="J37" s="17"/>
      <c r="L37" s="30">
        <f>'TR TE'!$L$37*'TR TE'!$L$49</f>
        <v>0</v>
      </c>
      <c r="M37" s="30">
        <f>'TR TE'!$M$37*'TR TE'!$M$49</f>
        <v>0</v>
      </c>
      <c r="N37" s="30">
        <f>'TR TE'!$N$37*'TR TE'!$N$49</f>
        <v>0</v>
      </c>
      <c r="O37" s="30">
        <f>'TR TE'!$O$37*'TR TE'!$O$49</f>
        <v>0</v>
      </c>
      <c r="P37" s="30">
        <f>SUM($L$37:$O$37)</f>
        <v>0</v>
      </c>
      <c r="Q37" s="30">
        <f>'TR TE'!$Q$37*'TR TE'!$Q$49</f>
        <v>266.67368489474143</v>
      </c>
      <c r="R37" s="30">
        <f>SUM($Q$37:$Q$37)</f>
        <v>266.67368489474143</v>
      </c>
      <c r="S37" s="30">
        <f>'TR TE'!$S$37*'TR TE'!$S$49</f>
        <v>0</v>
      </c>
      <c r="T37" s="30">
        <f>'TR TE'!$T$37*'TR TE'!$T$49</f>
        <v>0</v>
      </c>
      <c r="U37" s="30">
        <f>'TR TE'!$U$37*'TR TE'!$U$49</f>
        <v>0</v>
      </c>
      <c r="V37" s="30">
        <f>SUM($S$37:$U$37)</f>
        <v>0</v>
      </c>
      <c r="W37" s="30"/>
      <c r="X37" s="30">
        <f>SUM($W$37:$W$37)</f>
        <v>0</v>
      </c>
      <c r="Y37" s="30">
        <f>'TR TE'!$Y$37*'TR TE'!$Y$49</f>
        <v>0</v>
      </c>
      <c r="Z37" s="30">
        <f>SUM($Y$37:$Y$37)</f>
        <v>0</v>
      </c>
      <c r="AA37" s="30">
        <f>SUMIF($L$4:$Z$4,"SUBTOTAL",$L$37:$Z$37)</f>
        <v>266.67368489474143</v>
      </c>
    </row>
    <row r="38" spans="1:27" ht="11.25" customHeight="1" x14ac:dyDescent="0.25">
      <c r="A38" s="136"/>
      <c r="B38" s="136"/>
      <c r="C38" s="136"/>
      <c r="D38" s="136"/>
      <c r="E38" s="136"/>
      <c r="F38" s="136"/>
      <c r="G38" s="32" t="s">
        <v>71</v>
      </c>
      <c r="H38" s="32" t="s">
        <v>69</v>
      </c>
      <c r="I38" s="32">
        <f>'MERCADO TE'!$U$35</f>
        <v>5.0719999999999992</v>
      </c>
      <c r="J38" s="17"/>
      <c r="L38" s="30">
        <f>'TR TE'!$L$38*'TR TE'!$L$49</f>
        <v>0</v>
      </c>
      <c r="M38" s="30">
        <f>'TR TE'!$M$38*'TR TE'!$M$49</f>
        <v>0</v>
      </c>
      <c r="N38" s="30">
        <f>'TR TE'!$N$38*'TR TE'!$N$49</f>
        <v>0</v>
      </c>
      <c r="O38" s="30">
        <f>'TR TE'!$O$38*'TR TE'!$O$49</f>
        <v>0</v>
      </c>
      <c r="P38" s="30">
        <f>SUM($L$38:$O$38)</f>
        <v>0</v>
      </c>
      <c r="Q38" s="30">
        <f>'TR TE'!$Q$38*'TR TE'!$Q$49</f>
        <v>266.67368489474143</v>
      </c>
      <c r="R38" s="30">
        <f>SUM($Q$38:$Q$38)</f>
        <v>266.67368489474143</v>
      </c>
      <c r="S38" s="30">
        <f>'TR TE'!$S$38*'TR TE'!$S$49</f>
        <v>0</v>
      </c>
      <c r="T38" s="30">
        <f>'TR TE'!$T$38*'TR TE'!$T$49</f>
        <v>0</v>
      </c>
      <c r="U38" s="30">
        <f>'TR TE'!$U$38*'TR TE'!$U$49</f>
        <v>0</v>
      </c>
      <c r="V38" s="30">
        <f>SUM($S$38:$U$38)</f>
        <v>0</v>
      </c>
      <c r="W38" s="30"/>
      <c r="X38" s="30">
        <f>SUM($W$38:$W$38)</f>
        <v>0</v>
      </c>
      <c r="Y38" s="30">
        <f>'TR TE'!$Y$38*'TR TE'!$Y$49</f>
        <v>0</v>
      </c>
      <c r="Z38" s="30">
        <f>SUM($Y$38:$Y$38)</f>
        <v>0</v>
      </c>
      <c r="AA38" s="30">
        <f>SUMIF($L$4:$Z$4,"SUBTOTAL",$L$38:$Z$38)</f>
        <v>266.67368489474143</v>
      </c>
    </row>
    <row r="39" spans="1:27" ht="11.25" customHeight="1" x14ac:dyDescent="0.25">
      <c r="A39" s="136"/>
      <c r="B39" s="33" t="s">
        <v>72</v>
      </c>
      <c r="C39" s="33" t="s">
        <v>25</v>
      </c>
      <c r="D39" s="33" t="s">
        <v>25</v>
      </c>
      <c r="E39" s="33" t="s">
        <v>25</v>
      </c>
      <c r="F39" s="33" t="s">
        <v>25</v>
      </c>
      <c r="G39" s="32" t="s">
        <v>73</v>
      </c>
      <c r="H39" s="32" t="s">
        <v>69</v>
      </c>
      <c r="I39" s="32">
        <f>'MERCADO TE'!$U$36</f>
        <v>1791.422</v>
      </c>
      <c r="J39" s="17"/>
      <c r="L39" s="30">
        <f>'TR TE'!$L$39*'TR TE'!$L$49</f>
        <v>0</v>
      </c>
      <c r="M39" s="30">
        <f>'TR TE'!$M$39*'TR TE'!$M$49</f>
        <v>0</v>
      </c>
      <c r="N39" s="30">
        <f>'TR TE'!$N$39*'TR TE'!$N$49</f>
        <v>0</v>
      </c>
      <c r="O39" s="30">
        <f>'TR TE'!$O$39*'TR TE'!$O$49</f>
        <v>0</v>
      </c>
      <c r="P39" s="30">
        <f>SUM($L$39:$O$39)</f>
        <v>0</v>
      </c>
      <c r="Q39" s="30">
        <f>'TR TE'!$Q$39*'TR TE'!$Q$49</f>
        <v>266.67368489474143</v>
      </c>
      <c r="R39" s="30">
        <f>SUM($Q$39:$Q$39)</f>
        <v>266.67368489474143</v>
      </c>
      <c r="S39" s="30">
        <f>'TR TE'!$S$39*'TR TE'!$S$49</f>
        <v>0</v>
      </c>
      <c r="T39" s="30">
        <f>'TR TE'!$T$39*'TR TE'!$T$49</f>
        <v>0</v>
      </c>
      <c r="U39" s="30">
        <f>'TR TE'!$U$39*'TR TE'!$U$49</f>
        <v>0</v>
      </c>
      <c r="V39" s="30">
        <f>SUM($S$39:$U$39)</f>
        <v>0</v>
      </c>
      <c r="W39" s="30"/>
      <c r="X39" s="30">
        <f>SUM($W$39:$W$39)</f>
        <v>0</v>
      </c>
      <c r="Y39" s="30">
        <f>'TR TE'!$Y$39*'TR TE'!$Y$49</f>
        <v>0</v>
      </c>
      <c r="Z39" s="30">
        <f>SUM($Y$39:$Y$39)</f>
        <v>0</v>
      </c>
      <c r="AA39" s="30">
        <f>SUMIF($L$4:$Z$4,"SUBTOTAL",$L$39:$Z$39)</f>
        <v>266.67368489474143</v>
      </c>
    </row>
    <row r="40" spans="1:27" ht="11.25" customHeight="1" x14ac:dyDescent="0.25">
      <c r="A40" s="136"/>
      <c r="B40" s="33" t="s">
        <v>84</v>
      </c>
      <c r="C40" s="33" t="s">
        <v>25</v>
      </c>
      <c r="D40" s="33" t="s">
        <v>25</v>
      </c>
      <c r="E40" s="33" t="s">
        <v>25</v>
      </c>
      <c r="F40" s="33" t="s">
        <v>25</v>
      </c>
      <c r="G40" s="32" t="s">
        <v>73</v>
      </c>
      <c r="H40" s="32" t="s">
        <v>69</v>
      </c>
      <c r="I40" s="32">
        <f>'MERCADO TE'!$U$37</f>
        <v>0</v>
      </c>
      <c r="J40" s="17"/>
      <c r="L40" s="30">
        <f>'TR TE'!$L$40*'TR TE'!$L$49</f>
        <v>0</v>
      </c>
      <c r="M40" s="30">
        <f>'TR TE'!$M$40*'TR TE'!$M$49</f>
        <v>0</v>
      </c>
      <c r="N40" s="30">
        <f>'TR TE'!$N$40*'TR TE'!$N$49</f>
        <v>0</v>
      </c>
      <c r="O40" s="30">
        <f>'TR TE'!$O$40*'TR TE'!$O$49</f>
        <v>0</v>
      </c>
      <c r="P40" s="30">
        <f>SUM($L$40:$O$40)</f>
        <v>0</v>
      </c>
      <c r="Q40" s="30">
        <f>'TR TE'!$Q$40*'TR TE'!$Q$49</f>
        <v>266.67368489474143</v>
      </c>
      <c r="R40" s="30">
        <f>SUM($Q$40:$Q$40)</f>
        <v>266.67368489474143</v>
      </c>
      <c r="S40" s="30">
        <f>'TR TE'!$S$40*'TR TE'!$S$49</f>
        <v>0</v>
      </c>
      <c r="T40" s="30">
        <f>'TR TE'!$T$40*'TR TE'!$T$49</f>
        <v>0</v>
      </c>
      <c r="U40" s="30">
        <f>'TR TE'!$U$40*'TR TE'!$U$49</f>
        <v>0</v>
      </c>
      <c r="V40" s="30">
        <f>SUM($S$40:$U$40)</f>
        <v>0</v>
      </c>
      <c r="W40" s="30"/>
      <c r="X40" s="30">
        <f>SUM($W$40:$W$40)</f>
        <v>0</v>
      </c>
      <c r="Y40" s="30">
        <f>'TR TE'!$Y$40*'TR TE'!$Y$49</f>
        <v>0</v>
      </c>
      <c r="Z40" s="30">
        <f>SUM($Y$40:$Y$40)</f>
        <v>0</v>
      </c>
      <c r="AA40" s="30">
        <f>SUMIF($L$4:$Z$4,"SUBTOTAL",$L$40:$Z$40)</f>
        <v>266.67368489474143</v>
      </c>
    </row>
    <row r="41" spans="1:27" ht="11.25" customHeight="1" x14ac:dyDescent="0.25">
      <c r="A41" s="136" t="s">
        <v>44</v>
      </c>
      <c r="B41" s="136" t="s">
        <v>72</v>
      </c>
      <c r="C41" s="136" t="s">
        <v>45</v>
      </c>
      <c r="D41" s="33" t="s">
        <v>46</v>
      </c>
      <c r="E41" s="33" t="s">
        <v>25</v>
      </c>
      <c r="F41" s="33" t="s">
        <v>25</v>
      </c>
      <c r="G41" s="32" t="s">
        <v>73</v>
      </c>
      <c r="H41" s="32" t="s">
        <v>69</v>
      </c>
      <c r="I41" s="32">
        <f>'MERCADO TE'!$U$38</f>
        <v>1518.0680000000002</v>
      </c>
      <c r="J41" s="17"/>
      <c r="L41" s="30">
        <f>'TR TE'!$L$41*'TR TE'!$L$49</f>
        <v>0</v>
      </c>
      <c r="M41" s="30">
        <f>'TR TE'!$M$41*'TR TE'!$M$49</f>
        <v>0</v>
      </c>
      <c r="N41" s="30">
        <f>'TR TE'!$N$41*'TR TE'!$N$49</f>
        <v>0</v>
      </c>
      <c r="O41" s="30">
        <f>'TR TE'!$O$41*'TR TE'!$O$49</f>
        <v>0</v>
      </c>
      <c r="P41" s="30">
        <f>SUM($L$41:$O$41)</f>
        <v>0</v>
      </c>
      <c r="Q41" s="30">
        <f>'TR TE'!$Q$41*'TR TE'!$Q$49</f>
        <v>146.67052669210779</v>
      </c>
      <c r="R41" s="30">
        <f>SUM($Q$41:$Q$41)</f>
        <v>146.67052669210779</v>
      </c>
      <c r="S41" s="30">
        <f>'TR TE'!$S$41*'TR TE'!$S$49</f>
        <v>0</v>
      </c>
      <c r="T41" s="30">
        <f>'TR TE'!$T$41*'TR TE'!$T$49</f>
        <v>0</v>
      </c>
      <c r="U41" s="30">
        <f>'TR TE'!$U$41*'TR TE'!$U$49</f>
        <v>0</v>
      </c>
      <c r="V41" s="30">
        <f>SUM($S$41:$U$41)</f>
        <v>0</v>
      </c>
      <c r="W41" s="30"/>
      <c r="X41" s="30">
        <f>SUM($W$41:$W$41)</f>
        <v>0</v>
      </c>
      <c r="Y41" s="30">
        <f>'TR TE'!$Y$41*'TR TE'!$Y$49</f>
        <v>0</v>
      </c>
      <c r="Z41" s="30">
        <f>SUM($Y$41:$Y$41)</f>
        <v>0</v>
      </c>
      <c r="AA41" s="30">
        <f>SUMIF($L$4:$Z$4,"SUBTOTAL",$L$41:$Z$41)</f>
        <v>146.67052669210779</v>
      </c>
    </row>
    <row r="42" spans="1:27" ht="11.25" customHeight="1" x14ac:dyDescent="0.25">
      <c r="A42" s="136"/>
      <c r="B42" s="136"/>
      <c r="C42" s="136"/>
      <c r="D42" s="32" t="s">
        <v>88</v>
      </c>
      <c r="E42" s="32" t="s">
        <v>25</v>
      </c>
      <c r="F42" s="32" t="s">
        <v>25</v>
      </c>
      <c r="G42" s="32" t="s">
        <v>73</v>
      </c>
      <c r="H42" s="32" t="s">
        <v>69</v>
      </c>
      <c r="I42" s="32">
        <f>'MERCADO TE'!$U$39</f>
        <v>0</v>
      </c>
      <c r="J42" s="17"/>
      <c r="L42" s="30">
        <f>'TR TE'!$L$42*'TR TE'!$L$49</f>
        <v>0</v>
      </c>
      <c r="M42" s="30">
        <f>'TR TE'!$M$42*'TR TE'!$M$49</f>
        <v>0</v>
      </c>
      <c r="N42" s="30">
        <f>'TR TE'!$N$42*'TR TE'!$N$49</f>
        <v>0</v>
      </c>
      <c r="O42" s="30">
        <f>'TR TE'!$O$42*'TR TE'!$O$49</f>
        <v>0</v>
      </c>
      <c r="P42" s="30">
        <f>SUM($L$42:$O$42)</f>
        <v>0</v>
      </c>
      <c r="Q42" s="30">
        <f>'TR TE'!$Q$42*'TR TE'!$Q$49</f>
        <v>160.00421093684486</v>
      </c>
      <c r="R42" s="30">
        <f>SUM($Q$42:$Q$42)</f>
        <v>160.00421093684486</v>
      </c>
      <c r="S42" s="30">
        <f>'TR TE'!$S$42*'TR TE'!$S$49</f>
        <v>0</v>
      </c>
      <c r="T42" s="30">
        <f>'TR TE'!$T$42*'TR TE'!$T$49</f>
        <v>0</v>
      </c>
      <c r="U42" s="30">
        <f>'TR TE'!$U$42*'TR TE'!$U$49</f>
        <v>0</v>
      </c>
      <c r="V42" s="30">
        <f>SUM($S$42:$U$42)</f>
        <v>0</v>
      </c>
      <c r="W42" s="30"/>
      <c r="X42" s="30">
        <f>SUM($W$42:$W$42)</f>
        <v>0</v>
      </c>
      <c r="Y42" s="30">
        <f>'TR TE'!$Y$42*'TR TE'!$Y$49</f>
        <v>0</v>
      </c>
      <c r="Z42" s="30">
        <f>SUM($Y$42:$Y$42)</f>
        <v>0</v>
      </c>
      <c r="AA42" s="30">
        <f>SUMIF($L$4:$Z$4,"SUBTOTAL",$L$42:$Z$42)</f>
        <v>160.00421093684486</v>
      </c>
    </row>
    <row r="44" spans="1:27" ht="11.25" customHeight="1" x14ac:dyDescent="0.25">
      <c r="K44" s="35" t="s">
        <v>630</v>
      </c>
      <c r="L44" s="30">
        <f t="shared" ref="L44:AA44" si="0">SUMPRODUCT($I$5:$I$42,L$5:L$42)</f>
        <v>0</v>
      </c>
      <c r="M44" s="30">
        <f t="shared" si="0"/>
        <v>0</v>
      </c>
      <c r="N44" s="30">
        <f t="shared" si="0"/>
        <v>0</v>
      </c>
      <c r="O44" s="30">
        <f t="shared" si="0"/>
        <v>0</v>
      </c>
      <c r="P44" s="30">
        <f t="shared" si="0"/>
        <v>0</v>
      </c>
      <c r="Q44" s="30">
        <f t="shared" si="0"/>
        <v>2810087.9282794259</v>
      </c>
      <c r="R44" s="30">
        <f t="shared" si="0"/>
        <v>2810087.9282794259</v>
      </c>
      <c r="S44" s="30">
        <f t="shared" si="0"/>
        <v>0</v>
      </c>
      <c r="T44" s="30">
        <f t="shared" si="0"/>
        <v>0</v>
      </c>
      <c r="U44" s="30">
        <f t="shared" si="0"/>
        <v>0</v>
      </c>
      <c r="V44" s="30">
        <f t="shared" si="0"/>
        <v>0</v>
      </c>
      <c r="W44" s="30">
        <f t="shared" si="0"/>
        <v>0</v>
      </c>
      <c r="X44" s="30">
        <f t="shared" si="0"/>
        <v>0</v>
      </c>
      <c r="Y44" s="30">
        <f t="shared" si="0"/>
        <v>0</v>
      </c>
      <c r="Z44" s="30">
        <f t="shared" si="0"/>
        <v>0</v>
      </c>
      <c r="AA44" s="30">
        <f t="shared" si="0"/>
        <v>2810087.9282794259</v>
      </c>
    </row>
    <row r="45" spans="1:27" ht="11.25" customHeight="1" x14ac:dyDescent="0.25">
      <c r="K45" s="35" t="s">
        <v>549</v>
      </c>
      <c r="L45" s="30">
        <f>CUSTOS!$D$30</f>
        <v>0</v>
      </c>
      <c r="M45" s="30">
        <f>CUSTOS!$D$31</f>
        <v>0</v>
      </c>
      <c r="N45" s="30">
        <f>CUSTOS!$D$32</f>
        <v>0</v>
      </c>
      <c r="O45" s="30">
        <f>CUSTOS!$D$33</f>
        <v>0</v>
      </c>
      <c r="P45" s="30">
        <f>CUSTOS!$D$34</f>
        <v>0</v>
      </c>
      <c r="Q45" s="30">
        <f>CUSTOS!$D$35</f>
        <v>2810087.9282794264</v>
      </c>
      <c r="R45" s="30">
        <f>CUSTOS!$D$36</f>
        <v>2810087.9282794264</v>
      </c>
      <c r="S45" s="30">
        <f>CUSTOS!$D$37</f>
        <v>0</v>
      </c>
      <c r="T45" s="30">
        <f>CUSTOS!$D$38</f>
        <v>0</v>
      </c>
      <c r="U45" s="30">
        <f>CUSTOS!$D$39</f>
        <v>0</v>
      </c>
      <c r="V45" s="30">
        <f>CUSTOS!$D$40</f>
        <v>0</v>
      </c>
      <c r="W45" s="30">
        <f>CUSTOS!$D$41</f>
        <v>0</v>
      </c>
      <c r="X45" s="30">
        <f>CUSTOS!$D$42</f>
        <v>0</v>
      </c>
      <c r="Y45" s="30">
        <f>CUSTOS!$D$43</f>
        <v>0</v>
      </c>
      <c r="Z45" s="30">
        <f>CUSTOS!$D$44</f>
        <v>0</v>
      </c>
      <c r="AA45" s="30">
        <f>CUSTOS!$D$45</f>
        <v>2810087.9282794264</v>
      </c>
    </row>
    <row r="46" spans="1:27" ht="11.25" customHeight="1" x14ac:dyDescent="0.25">
      <c r="K46" s="35" t="s">
        <v>550</v>
      </c>
      <c r="L46" s="30">
        <f>CUSTOS!$E$30</f>
        <v>0</v>
      </c>
      <c r="M46" s="30">
        <f>CUSTOS!$E$31</f>
        <v>0</v>
      </c>
      <c r="N46" s="30">
        <f>CUSTOS!$E$32</f>
        <v>0</v>
      </c>
      <c r="O46" s="30">
        <f>CUSTOS!$E$33</f>
        <v>0</v>
      </c>
      <c r="P46" s="30">
        <f>CUSTOS!$E$34</f>
        <v>0</v>
      </c>
      <c r="Q46" s="30">
        <f>CUSTOS!$E$35</f>
        <v>-135306.5116078635</v>
      </c>
      <c r="R46" s="30">
        <f>CUSTOS!$E$36</f>
        <v>-135306.5116078635</v>
      </c>
      <c r="S46" s="30">
        <f>CUSTOS!$E$37</f>
        <v>0</v>
      </c>
      <c r="T46" s="30">
        <f>CUSTOS!$E$38</f>
        <v>0</v>
      </c>
      <c r="U46" s="30">
        <f>CUSTOS!$E$39</f>
        <v>0</v>
      </c>
      <c r="V46" s="30">
        <f>CUSTOS!$E$40</f>
        <v>0</v>
      </c>
      <c r="W46" s="30">
        <f>CUSTOS!$E$41</f>
        <v>30125.721087432001</v>
      </c>
      <c r="X46" s="30">
        <f>CUSTOS!$E$42</f>
        <v>30125.721087432001</v>
      </c>
      <c r="Y46" s="30">
        <f>CUSTOS!$E$43</f>
        <v>0</v>
      </c>
      <c r="Z46" s="30">
        <f>CUSTOS!$E$44</f>
        <v>0</v>
      </c>
      <c r="AA46" s="30">
        <f>CUSTOS!$E$45</f>
        <v>-105180.7905204315</v>
      </c>
    </row>
    <row r="47" spans="1:27" ht="11.25" customHeight="1" x14ac:dyDescent="0.25">
      <c r="K47" s="35" t="s">
        <v>551</v>
      </c>
      <c r="L47" s="30">
        <f>CUSTOS!$F$30</f>
        <v>0</v>
      </c>
      <c r="M47" s="30">
        <f>CUSTOS!$F$31</f>
        <v>0</v>
      </c>
      <c r="N47" s="30">
        <f>CUSTOS!$F$32</f>
        <v>0</v>
      </c>
      <c r="O47" s="30">
        <f>CUSTOS!$F$33</f>
        <v>0</v>
      </c>
      <c r="P47" s="30">
        <f>CUSTOS!$F$34</f>
        <v>0</v>
      </c>
      <c r="Q47" s="30">
        <f>CUSTOS!$F$35</f>
        <v>0</v>
      </c>
      <c r="R47" s="30">
        <f>CUSTOS!$F$36</f>
        <v>0</v>
      </c>
      <c r="S47" s="30">
        <f>CUSTOS!$F$37</f>
        <v>0</v>
      </c>
      <c r="T47" s="30">
        <f>CUSTOS!$F$38</f>
        <v>0</v>
      </c>
      <c r="U47" s="30">
        <f>CUSTOS!$F$39</f>
        <v>0</v>
      </c>
      <c r="V47" s="30">
        <f>CUSTOS!$F$40</f>
        <v>0</v>
      </c>
      <c r="W47" s="30">
        <f>CUSTOS!$F$41</f>
        <v>0</v>
      </c>
      <c r="X47" s="30">
        <f>CUSTOS!$F$42</f>
        <v>0</v>
      </c>
      <c r="Y47" s="30">
        <f>CUSTOS!$F$43</f>
        <v>0</v>
      </c>
      <c r="Z47" s="30">
        <f>CUSTOS!$F$44</f>
        <v>0</v>
      </c>
      <c r="AA47" s="30">
        <f>CUSTOS!$F$45</f>
        <v>0</v>
      </c>
    </row>
    <row r="48" spans="1:27" ht="11.25" customHeight="1" x14ac:dyDescent="0.25">
      <c r="K48" s="35" t="s">
        <v>631</v>
      </c>
      <c r="L48" s="30">
        <f>'TR TE'!$L$48*L49</f>
        <v>0</v>
      </c>
      <c r="M48" s="30">
        <f>'TR TE'!$M$48*M49</f>
        <v>0</v>
      </c>
      <c r="N48" s="30">
        <f>'TR TE'!$N$48*N49</f>
        <v>0</v>
      </c>
      <c r="O48" s="30">
        <f>'TR TE'!$O$48*O49</f>
        <v>0</v>
      </c>
      <c r="P48" s="30"/>
      <c r="Q48" s="30">
        <f>'TR TE'!$Q$48*Q49</f>
        <v>-12.209465690781153</v>
      </c>
      <c r="R48" s="30"/>
      <c r="S48" s="30">
        <f>'TR TE'!$S$48*S49</f>
        <v>0</v>
      </c>
      <c r="T48" s="30">
        <f>'TR TE'!$T$48*T49</f>
        <v>0</v>
      </c>
      <c r="U48" s="30">
        <f>'TR TE'!$U$48*U49</f>
        <v>0</v>
      </c>
      <c r="V48" s="30"/>
      <c r="W48" s="30"/>
      <c r="X48" s="30"/>
      <c r="Y48" s="30">
        <f>'TR TE'!$Y$48*Y49</f>
        <v>0</v>
      </c>
      <c r="Z48" s="30"/>
      <c r="AA48" s="30"/>
    </row>
    <row r="49" spans="11:27" ht="11.25" customHeight="1" x14ac:dyDescent="0.25">
      <c r="K49" s="35" t="s">
        <v>618</v>
      </c>
      <c r="L49" s="30">
        <f>IF(L45&lt;&gt;0,L46/L45,0)</f>
        <v>0</v>
      </c>
      <c r="M49" s="30">
        <f>IF(M45&lt;&gt;0,M46/M45,0)</f>
        <v>0</v>
      </c>
      <c r="N49" s="30">
        <f>IF(N45&lt;&gt;0,N46/N45,0)</f>
        <v>0</v>
      </c>
      <c r="O49" s="30">
        <f>IF(O45&lt;&gt;0,O46/O45,0)</f>
        <v>0</v>
      </c>
      <c r="P49" s="30"/>
      <c r="Q49" s="30">
        <f>IF(Q45&lt;&gt;0,Q46/Q45,0)</f>
        <v>-4.8150276810273902E-2</v>
      </c>
      <c r="R49" s="30"/>
      <c r="S49" s="30">
        <f>IF(S45&lt;&gt;0,S46/S45,0)</f>
        <v>0</v>
      </c>
      <c r="T49" s="30">
        <f>IF(T45&lt;&gt;0,T46/T45,0)</f>
        <v>0</v>
      </c>
      <c r="U49" s="30">
        <f>IF(U45&lt;&gt;0,U46/U45,0)</f>
        <v>0</v>
      </c>
      <c r="V49" s="30"/>
      <c r="W49" s="30">
        <f>IF(($AA45-0)&lt;&gt;0,W46/($AA45-0),0)</f>
        <v>1.0720561724870124E-2</v>
      </c>
      <c r="X49" s="30"/>
      <c r="Y49" s="30">
        <f>IF(Y45&lt;&gt;0,Y46/Y45,0)</f>
        <v>0</v>
      </c>
      <c r="Z49" s="30"/>
      <c r="AA49" s="30"/>
    </row>
    <row r="50" spans="11:27" ht="11.25" customHeight="1" x14ac:dyDescent="0.25">
      <c r="K50" s="35" t="s">
        <v>633</v>
      </c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</row>
  </sheetData>
  <mergeCells count="61">
    <mergeCell ref="S3:V3"/>
    <mergeCell ref="W3:X3"/>
    <mergeCell ref="A1:A4"/>
    <mergeCell ref="B1:B4"/>
    <mergeCell ref="C1:C4"/>
    <mergeCell ref="D1:D4"/>
    <mergeCell ref="E1:E4"/>
    <mergeCell ref="F1:F4"/>
    <mergeCell ref="Y3:Z3"/>
    <mergeCell ref="AA3:AA4"/>
    <mergeCell ref="A5:A7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A1"/>
    <mergeCell ref="L2:AA2"/>
    <mergeCell ref="L3:P3"/>
    <mergeCell ref="Q3:R3"/>
    <mergeCell ref="F8:F10"/>
    <mergeCell ref="B11:B15"/>
    <mergeCell ref="C11:C15"/>
    <mergeCell ref="B16:B20"/>
    <mergeCell ref="C16:C20"/>
    <mergeCell ref="A8:A20"/>
    <mergeCell ref="B8:B10"/>
    <mergeCell ref="C8:C10"/>
    <mergeCell ref="D8:D10"/>
    <mergeCell ref="E8:E10"/>
    <mergeCell ref="D29:D31"/>
    <mergeCell ref="E29:E31"/>
    <mergeCell ref="F29:F31"/>
    <mergeCell ref="D21:D23"/>
    <mergeCell ref="E21:E23"/>
    <mergeCell ref="F21:F23"/>
    <mergeCell ref="D25:D27"/>
    <mergeCell ref="E25:E27"/>
    <mergeCell ref="F25:F27"/>
    <mergeCell ref="B33:B35"/>
    <mergeCell ref="C33:C35"/>
    <mergeCell ref="A36:A40"/>
    <mergeCell ref="B36:B38"/>
    <mergeCell ref="C36:C38"/>
    <mergeCell ref="A21:A35"/>
    <mergeCell ref="B21:B23"/>
    <mergeCell ref="C21:C23"/>
    <mergeCell ref="B29:B31"/>
    <mergeCell ref="C29:C31"/>
    <mergeCell ref="B25:B27"/>
    <mergeCell ref="C25:C27"/>
    <mergeCell ref="E36:E38"/>
    <mergeCell ref="F36:F38"/>
    <mergeCell ref="A41:A42"/>
    <mergeCell ref="B41:B42"/>
    <mergeCell ref="C41:C42"/>
    <mergeCell ref="D36:D38"/>
  </mergeCells>
  <conditionalFormatting sqref="L44">
    <cfRule type="cellIs" dxfId="671" priority="31" operator="notEqual">
      <formula>$L$45</formula>
    </cfRule>
    <cfRule type="cellIs" dxfId="670" priority="32" operator="equal">
      <formula>$L$45</formula>
    </cfRule>
  </conditionalFormatting>
  <conditionalFormatting sqref="M44">
    <cfRule type="cellIs" dxfId="669" priority="29" operator="notEqual">
      <formula>$M$45</formula>
    </cfRule>
    <cfRule type="cellIs" dxfId="668" priority="30" operator="equal">
      <formula>$M$45</formula>
    </cfRule>
  </conditionalFormatting>
  <conditionalFormatting sqref="N44">
    <cfRule type="cellIs" dxfId="667" priority="27" operator="notEqual">
      <formula>$N$45</formula>
    </cfRule>
    <cfRule type="cellIs" dxfId="666" priority="28" operator="equal">
      <formula>$N$45</formula>
    </cfRule>
  </conditionalFormatting>
  <conditionalFormatting sqref="O44">
    <cfRule type="cellIs" dxfId="665" priority="25" operator="notEqual">
      <formula>$O$45</formula>
    </cfRule>
    <cfRule type="cellIs" dxfId="664" priority="26" operator="equal">
      <formula>$O$45</formula>
    </cfRule>
  </conditionalFormatting>
  <conditionalFormatting sqref="P44">
    <cfRule type="cellIs" dxfId="663" priority="23" operator="notEqual">
      <formula>$P$45</formula>
    </cfRule>
    <cfRule type="cellIs" dxfId="662" priority="24" operator="equal">
      <formula>$P$45</formula>
    </cfRule>
  </conditionalFormatting>
  <conditionalFormatting sqref="Q44">
    <cfRule type="cellIs" dxfId="661" priority="21" operator="notEqual">
      <formula>$Q$45</formula>
    </cfRule>
    <cfRule type="cellIs" dxfId="660" priority="22" operator="equal">
      <formula>$Q$45</formula>
    </cfRule>
  </conditionalFormatting>
  <conditionalFormatting sqref="R44">
    <cfRule type="cellIs" dxfId="659" priority="19" operator="notEqual">
      <formula>$R$45</formula>
    </cfRule>
    <cfRule type="cellIs" dxfId="658" priority="20" operator="equal">
      <formula>$R$45</formula>
    </cfRule>
  </conditionalFormatting>
  <conditionalFormatting sqref="S44">
    <cfRule type="cellIs" dxfId="657" priority="17" operator="notEqual">
      <formula>$S$45</formula>
    </cfRule>
    <cfRule type="cellIs" dxfId="656" priority="18" operator="equal">
      <formula>$S$45</formula>
    </cfRule>
  </conditionalFormatting>
  <conditionalFormatting sqref="T44">
    <cfRule type="cellIs" dxfId="655" priority="15" operator="notEqual">
      <formula>$T$45</formula>
    </cfRule>
    <cfRule type="cellIs" dxfId="654" priority="16" operator="equal">
      <formula>$T$45</formula>
    </cfRule>
  </conditionalFormatting>
  <conditionalFormatting sqref="U44">
    <cfRule type="cellIs" dxfId="653" priority="13" operator="notEqual">
      <formula>$U$45</formula>
    </cfRule>
    <cfRule type="cellIs" dxfId="652" priority="14" operator="equal">
      <formula>$U$45</formula>
    </cfRule>
  </conditionalFormatting>
  <conditionalFormatting sqref="V44">
    <cfRule type="cellIs" dxfId="651" priority="11" operator="notEqual">
      <formula>$V$45</formula>
    </cfRule>
    <cfRule type="cellIs" dxfId="650" priority="12" operator="equal">
      <formula>$V$45</formula>
    </cfRule>
  </conditionalFormatting>
  <conditionalFormatting sqref="W44">
    <cfRule type="cellIs" dxfId="649" priority="9" operator="notEqual">
      <formula>$W$45</formula>
    </cfRule>
    <cfRule type="cellIs" dxfId="648" priority="10" operator="equal">
      <formula>$W$45</formula>
    </cfRule>
  </conditionalFormatting>
  <conditionalFormatting sqref="X44">
    <cfRule type="cellIs" dxfId="647" priority="7" operator="notEqual">
      <formula>$X$45</formula>
    </cfRule>
    <cfRule type="cellIs" dxfId="646" priority="8" operator="equal">
      <formula>$X$45</formula>
    </cfRule>
  </conditionalFormatting>
  <conditionalFormatting sqref="Y44">
    <cfRule type="cellIs" dxfId="645" priority="5" operator="notEqual">
      <formula>$Y$45</formula>
    </cfRule>
    <cfRule type="cellIs" dxfId="644" priority="6" operator="equal">
      <formula>$Y$45</formula>
    </cfRule>
  </conditionalFormatting>
  <conditionalFormatting sqref="Z44">
    <cfRule type="cellIs" dxfId="643" priority="3" operator="notEqual">
      <formula>$Z$45</formula>
    </cfRule>
    <cfRule type="cellIs" dxfId="642" priority="4" operator="equal">
      <formula>$Z$45</formula>
    </cfRule>
  </conditionalFormatting>
  <conditionalFormatting sqref="AA44">
    <cfRule type="cellIs" dxfId="641" priority="1" operator="notEqual">
      <formula>$AA$45</formula>
    </cfRule>
    <cfRule type="cellIs" dxfId="640" priority="2" operator="equal">
      <formula>$AA$45</formula>
    </cfRule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F8B28-C308-428B-BF5D-4C6C7E14850A}">
  <dimension ref="A1:AA50"/>
  <sheetViews>
    <sheetView showGridLines="0" topLeftCell="L1" workbookViewId="0">
      <selection activeCell="AA44" sqref="AA44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" style="9" bestFit="1" customWidth="1"/>
    <col min="10" max="10" width="9.140625" style="9"/>
    <col min="11" max="11" width="20" style="9" bestFit="1" customWidth="1"/>
    <col min="12" max="14" width="7.85546875" style="9" bestFit="1" customWidth="1"/>
    <col min="15" max="15" width="11.140625" style="9" bestFit="1" customWidth="1"/>
    <col min="16" max="16" width="9.28515625" style="9" bestFit="1" customWidth="1"/>
    <col min="17" max="17" width="15" style="9" bestFit="1" customWidth="1"/>
    <col min="18" max="18" width="10" style="9" bestFit="1" customWidth="1"/>
    <col min="19" max="19" width="7.85546875" style="9" bestFit="1" customWidth="1"/>
    <col min="20" max="20" width="10.42578125" style="9" bestFit="1" customWidth="1"/>
    <col min="21" max="21" width="7.85546875" style="9" bestFit="1" customWidth="1"/>
    <col min="22" max="22" width="9.28515625" style="9" bestFit="1" customWidth="1"/>
    <col min="23" max="23" width="8" style="9" bestFit="1" customWidth="1"/>
    <col min="24" max="24" width="9.28515625" style="9" bestFit="1" customWidth="1"/>
    <col min="25" max="25" width="11" style="9" bestFit="1" customWidth="1"/>
    <col min="26" max="26" width="9.28515625" style="9" bestFit="1" customWidth="1"/>
    <col min="27" max="27" width="10" style="9" bestFit="1" customWidth="1"/>
    <col min="28" max="16384" width="9.140625" style="9"/>
  </cols>
  <sheetData>
    <row r="1" spans="1:27" ht="11.25" customHeight="1" x14ac:dyDescent="0.25">
      <c r="A1" s="137" t="s">
        <v>59</v>
      </c>
      <c r="B1" s="137" t="s">
        <v>60</v>
      </c>
      <c r="C1" s="137" t="s">
        <v>61</v>
      </c>
      <c r="D1" s="137" t="s">
        <v>62</v>
      </c>
      <c r="E1" s="137" t="s">
        <v>63</v>
      </c>
      <c r="F1" s="137" t="s">
        <v>15</v>
      </c>
      <c r="G1" s="137" t="s">
        <v>65</v>
      </c>
      <c r="H1" s="137" t="s">
        <v>66</v>
      </c>
      <c r="I1" s="137" t="s">
        <v>608</v>
      </c>
      <c r="J1" s="119"/>
      <c r="L1" s="138" t="s">
        <v>635</v>
      </c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</row>
    <row r="2" spans="1:27" ht="11.25" customHeight="1" x14ac:dyDescent="0.25">
      <c r="A2" s="137"/>
      <c r="B2" s="137"/>
      <c r="C2" s="137"/>
      <c r="D2" s="137"/>
      <c r="E2" s="137"/>
      <c r="F2" s="137"/>
      <c r="G2" s="137"/>
      <c r="H2" s="137"/>
      <c r="I2" s="137"/>
      <c r="J2" s="119"/>
      <c r="L2" s="138" t="s">
        <v>536</v>
      </c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</row>
    <row r="3" spans="1:27" ht="11.25" customHeight="1" x14ac:dyDescent="0.25">
      <c r="A3" s="137"/>
      <c r="B3" s="137"/>
      <c r="C3" s="137"/>
      <c r="D3" s="137"/>
      <c r="E3" s="137"/>
      <c r="F3" s="137"/>
      <c r="G3" s="137"/>
      <c r="H3" s="137"/>
      <c r="I3" s="137"/>
      <c r="J3" s="119"/>
      <c r="L3" s="138" t="s">
        <v>509</v>
      </c>
      <c r="M3" s="138"/>
      <c r="N3" s="138"/>
      <c r="O3" s="138"/>
      <c r="P3" s="138"/>
      <c r="Q3" s="138" t="s">
        <v>539</v>
      </c>
      <c r="R3" s="138"/>
      <c r="S3" s="138" t="s">
        <v>518</v>
      </c>
      <c r="T3" s="138"/>
      <c r="U3" s="138"/>
      <c r="V3" s="138"/>
      <c r="W3" s="138" t="s">
        <v>528</v>
      </c>
      <c r="X3" s="138"/>
      <c r="Y3" s="138" t="s">
        <v>531</v>
      </c>
      <c r="Z3" s="138"/>
      <c r="AA3" s="138" t="s">
        <v>517</v>
      </c>
    </row>
    <row r="4" spans="1:27" ht="11.25" customHeight="1" x14ac:dyDescent="0.25">
      <c r="A4" s="137"/>
      <c r="B4" s="137"/>
      <c r="C4" s="137"/>
      <c r="D4" s="137"/>
      <c r="E4" s="137"/>
      <c r="F4" s="137"/>
      <c r="G4" s="137"/>
      <c r="H4" s="137"/>
      <c r="I4" s="137"/>
      <c r="J4" s="119"/>
      <c r="L4" s="36" t="s">
        <v>511</v>
      </c>
      <c r="M4" s="36" t="s">
        <v>537</v>
      </c>
      <c r="N4" s="36" t="s">
        <v>538</v>
      </c>
      <c r="O4" s="36" t="s">
        <v>596</v>
      </c>
      <c r="P4" s="36" t="s">
        <v>517</v>
      </c>
      <c r="Q4" s="36" t="s">
        <v>540</v>
      </c>
      <c r="R4" s="36" t="s">
        <v>517</v>
      </c>
      <c r="S4" s="36" t="s">
        <v>541</v>
      </c>
      <c r="T4" s="36" t="s">
        <v>542</v>
      </c>
      <c r="U4" s="36" t="s">
        <v>543</v>
      </c>
      <c r="V4" s="36" t="s">
        <v>517</v>
      </c>
      <c r="W4" s="36" t="s">
        <v>529</v>
      </c>
      <c r="X4" s="36" t="s">
        <v>517</v>
      </c>
      <c r="Y4" s="36" t="s">
        <v>544</v>
      </c>
      <c r="Z4" s="36" t="s">
        <v>517</v>
      </c>
      <c r="AA4" s="139"/>
    </row>
    <row r="5" spans="1:27" ht="11.25" customHeight="1" x14ac:dyDescent="0.25">
      <c r="A5" s="136" t="s">
        <v>34</v>
      </c>
      <c r="B5" s="136" t="s">
        <v>68</v>
      </c>
      <c r="C5" s="136" t="s">
        <v>25</v>
      </c>
      <c r="D5" s="136" t="s">
        <v>25</v>
      </c>
      <c r="E5" s="136" t="s">
        <v>25</v>
      </c>
      <c r="F5" s="136" t="s">
        <v>25</v>
      </c>
      <c r="G5" s="32" t="s">
        <v>70</v>
      </c>
      <c r="H5" s="32" t="s">
        <v>69</v>
      </c>
      <c r="I5" s="32">
        <f>'MERCADO TE'!$U$2</f>
        <v>2.2919999999999998</v>
      </c>
      <c r="J5" s="17"/>
      <c r="L5" s="30">
        <f>'TE BE'!$L$5*'TE BE'!$L$49</f>
        <v>0</v>
      </c>
      <c r="M5" s="30">
        <f>'TE BE'!$M$5*'TE BE'!$M$49</f>
        <v>0</v>
      </c>
      <c r="N5" s="30">
        <f>'TE BE'!$N$5*'TE BE'!$N$49</f>
        <v>0</v>
      </c>
      <c r="O5" s="30">
        <f>'TE BE'!$O$5*'TE BE'!$O$49</f>
        <v>0</v>
      </c>
      <c r="P5" s="30">
        <f>SUM($L$5:$O$5)</f>
        <v>0</v>
      </c>
      <c r="Q5" s="30">
        <f>'TE BE'!$Q$5*'TE BE'!$Q$49</f>
        <v>-12.840411745697558</v>
      </c>
      <c r="R5" s="30">
        <f>SUM($Q$5:$Q$5)</f>
        <v>-12.840411745697558</v>
      </c>
      <c r="S5" s="30">
        <f>'TE BE'!$S$5*'TE BE'!$S$49</f>
        <v>0</v>
      </c>
      <c r="T5" s="30">
        <f>'TE BE'!$T$5*'TE BE'!$T$49</f>
        <v>0</v>
      </c>
      <c r="U5" s="30">
        <f>'TE BE'!$U$5*'TE BE'!$U$49</f>
        <v>0</v>
      </c>
      <c r="V5" s="30">
        <f>SUM($S$5:$U$5)</f>
        <v>0</v>
      </c>
      <c r="W5" s="30">
        <f>'TE BE'!$AA$5*'TE BE'!$W$49</f>
        <v>2.858891699312641</v>
      </c>
      <c r="X5" s="30">
        <f>SUM($W$5:$W$5)</f>
        <v>2.858891699312641</v>
      </c>
      <c r="Y5" s="30">
        <f>'TE BE'!$Y$5*'TE BE'!$Y$49</f>
        <v>0</v>
      </c>
      <c r="Z5" s="30">
        <f>SUM($Y$5:$Y$5)</f>
        <v>0</v>
      </c>
      <c r="AA5" s="30">
        <f>SUMIF($L$4:$Z$4,"SUBTOTAL",$L$5:$Z$5)</f>
        <v>-9.981520046384917</v>
      </c>
    </row>
    <row r="6" spans="1:27" ht="11.25" customHeight="1" x14ac:dyDescent="0.25">
      <c r="A6" s="136"/>
      <c r="B6" s="136"/>
      <c r="C6" s="136"/>
      <c r="D6" s="136"/>
      <c r="E6" s="136"/>
      <c r="F6" s="136"/>
      <c r="G6" s="32" t="s">
        <v>71</v>
      </c>
      <c r="H6" s="32" t="s">
        <v>69</v>
      </c>
      <c r="I6" s="32">
        <f>'MERCADO TE'!$U$3</f>
        <v>310.52600000000001</v>
      </c>
      <c r="J6" s="17"/>
      <c r="L6" s="30">
        <f>'TE BE'!$L$6*'TE BE'!$L$49</f>
        <v>0</v>
      </c>
      <c r="M6" s="30">
        <f>'TE BE'!$M$6*'TE BE'!$M$49</f>
        <v>0</v>
      </c>
      <c r="N6" s="30">
        <f>'TE BE'!$N$6*'TE BE'!$N$49</f>
        <v>0</v>
      </c>
      <c r="O6" s="30">
        <f>'TE BE'!$O$6*'TE BE'!$O$49</f>
        <v>0</v>
      </c>
      <c r="P6" s="30">
        <f>SUM($L$6:$O$6)</f>
        <v>0</v>
      </c>
      <c r="Q6" s="30">
        <f>'TE BE'!$Q$6*'TE BE'!$Q$49</f>
        <v>-12.840411745697558</v>
      </c>
      <c r="R6" s="30">
        <f>SUM($Q$6:$Q$6)</f>
        <v>-12.840411745697558</v>
      </c>
      <c r="S6" s="30">
        <f>'TE BE'!$S$6*'TE BE'!$S$49</f>
        <v>0</v>
      </c>
      <c r="T6" s="30">
        <f>'TE BE'!$T$6*'TE BE'!$T$49</f>
        <v>0</v>
      </c>
      <c r="U6" s="30">
        <f>'TE BE'!$U$6*'TE BE'!$U$49</f>
        <v>0</v>
      </c>
      <c r="V6" s="30">
        <f>SUM($S$6:$U$6)</f>
        <v>0</v>
      </c>
      <c r="W6" s="30">
        <f>'TE BE'!$AA$6*'TE BE'!$W$49</f>
        <v>2.858891699312641</v>
      </c>
      <c r="X6" s="30">
        <f>SUM($W$6:$W$6)</f>
        <v>2.858891699312641</v>
      </c>
      <c r="Y6" s="30">
        <f>'TE BE'!$Y$6*'TE BE'!$Y$49</f>
        <v>0</v>
      </c>
      <c r="Z6" s="30">
        <f>SUM($Y$6:$Y$6)</f>
        <v>0</v>
      </c>
      <c r="AA6" s="30">
        <f>SUMIF($L$4:$Z$4,"SUBTOTAL",$L$6:$Z$6)</f>
        <v>-9.981520046384917</v>
      </c>
    </row>
    <row r="7" spans="1:27" ht="11.25" customHeight="1" x14ac:dyDescent="0.25">
      <c r="A7" s="136"/>
      <c r="B7" s="38" t="s">
        <v>72</v>
      </c>
      <c r="C7" s="38" t="s">
        <v>25</v>
      </c>
      <c r="D7" s="38" t="s">
        <v>25</v>
      </c>
      <c r="E7" s="38" t="s">
        <v>25</v>
      </c>
      <c r="F7" s="38" t="s">
        <v>25</v>
      </c>
      <c r="G7" s="32" t="s">
        <v>73</v>
      </c>
      <c r="H7" s="32" t="s">
        <v>69</v>
      </c>
      <c r="I7" s="32">
        <f>'MERCADO TE'!$U$4</f>
        <v>0</v>
      </c>
      <c r="J7" s="17"/>
      <c r="L7" s="30">
        <f>'TE BE'!$L$7*'TE BE'!$L$49</f>
        <v>0</v>
      </c>
      <c r="M7" s="30">
        <f>'TE BE'!$M$7*'TE BE'!$M$49</f>
        <v>0</v>
      </c>
      <c r="N7" s="30">
        <f>'TE BE'!$N$7*'TE BE'!$N$49</f>
        <v>0</v>
      </c>
      <c r="O7" s="30">
        <f>'TE BE'!$O$7*'TE BE'!$O$49</f>
        <v>0</v>
      </c>
      <c r="P7" s="30">
        <f>SUM($L$7:$O$7)</f>
        <v>0</v>
      </c>
      <c r="Q7" s="30">
        <f>'TE BE'!$Q$7*'TE BE'!$Q$49</f>
        <v>-12.840411745697558</v>
      </c>
      <c r="R7" s="30">
        <f>SUM($Q$7:$Q$7)</f>
        <v>-12.840411745697558</v>
      </c>
      <c r="S7" s="30">
        <f>'TE BE'!$S$7*'TE BE'!$S$49</f>
        <v>0</v>
      </c>
      <c r="T7" s="30">
        <f>'TE BE'!$T$7*'TE BE'!$T$49</f>
        <v>0</v>
      </c>
      <c r="U7" s="30">
        <f>'TE BE'!$U$7*'TE BE'!$U$49</f>
        <v>0</v>
      </c>
      <c r="V7" s="30">
        <f>SUM($S$7:$U$7)</f>
        <v>0</v>
      </c>
      <c r="W7" s="30">
        <f>'TE BE'!$AA$7*'TE BE'!$W$49</f>
        <v>2.858891699312641</v>
      </c>
      <c r="X7" s="30">
        <f>SUM($W$7:$W$7)</f>
        <v>2.858891699312641</v>
      </c>
      <c r="Y7" s="30">
        <f>'TE BE'!$Y$7*'TE BE'!$Y$49</f>
        <v>0</v>
      </c>
      <c r="Z7" s="30">
        <f>SUM($Y$7:$Y$7)</f>
        <v>0</v>
      </c>
      <c r="AA7" s="30">
        <f>SUMIF($L$4:$Z$4,"SUBTOTAL",$L$7:$Z$7)</f>
        <v>-9.981520046384917</v>
      </c>
    </row>
    <row r="8" spans="1:27" ht="11.25" customHeight="1" x14ac:dyDescent="0.25">
      <c r="A8" s="136" t="s">
        <v>22</v>
      </c>
      <c r="B8" s="136" t="s">
        <v>68</v>
      </c>
      <c r="C8" s="136" t="s">
        <v>24</v>
      </c>
      <c r="D8" s="136" t="s">
        <v>24</v>
      </c>
      <c r="E8" s="136" t="s">
        <v>25</v>
      </c>
      <c r="F8" s="136" t="s">
        <v>25</v>
      </c>
      <c r="G8" s="32" t="s">
        <v>70</v>
      </c>
      <c r="H8" s="32" t="s">
        <v>69</v>
      </c>
      <c r="I8" s="32">
        <f>'MERCADO TE'!$U$5</f>
        <v>0</v>
      </c>
      <c r="J8" s="17"/>
      <c r="L8" s="30">
        <f>'TE BE'!$L$8*'TE BE'!$L$49</f>
        <v>0</v>
      </c>
      <c r="M8" s="30">
        <f>'TE BE'!$M$8*'TE BE'!$M$49</f>
        <v>0</v>
      </c>
      <c r="N8" s="30">
        <f>'TE BE'!$N$8*'TE BE'!$N$49</f>
        <v>0</v>
      </c>
      <c r="O8" s="30">
        <f>'TE BE'!$O$8*'TE BE'!$O$49</f>
        <v>0</v>
      </c>
      <c r="P8" s="30">
        <f>SUM($L$8:$O$8)</f>
        <v>0</v>
      </c>
      <c r="Q8" s="30">
        <f>'TE BE'!$Q$8*'TE BE'!$Q$49</f>
        <v>-12.840411745697558</v>
      </c>
      <c r="R8" s="30">
        <f>SUM($Q$8:$Q$8)</f>
        <v>-12.840411745697558</v>
      </c>
      <c r="S8" s="30">
        <f>'TE BE'!$S$8*'TE BE'!$S$49</f>
        <v>0</v>
      </c>
      <c r="T8" s="30">
        <f>'TE BE'!$T$8*'TE BE'!$T$49</f>
        <v>0</v>
      </c>
      <c r="U8" s="30">
        <f>'TE BE'!$U$8*'TE BE'!$U$49</f>
        <v>0</v>
      </c>
      <c r="V8" s="30">
        <f>SUM($S$8:$U$8)</f>
        <v>0</v>
      </c>
      <c r="W8" s="30">
        <f>'TE BE'!$AA$8*'TE BE'!$W$49</f>
        <v>2.858891699312641</v>
      </c>
      <c r="X8" s="30">
        <f>SUM($W$8:$W$8)</f>
        <v>2.858891699312641</v>
      </c>
      <c r="Y8" s="30">
        <f>'TE BE'!$Y$8*'TE BE'!$Y$49</f>
        <v>0</v>
      </c>
      <c r="Z8" s="30">
        <f>SUM($Y$8:$Y$8)</f>
        <v>0</v>
      </c>
      <c r="AA8" s="30">
        <f>SUMIF($L$4:$Z$4,"SUBTOTAL",$L$8:$Z$8)</f>
        <v>-9.981520046384917</v>
      </c>
    </row>
    <row r="9" spans="1:27" ht="11.25" customHeight="1" x14ac:dyDescent="0.25">
      <c r="A9" s="136"/>
      <c r="B9" s="136"/>
      <c r="C9" s="136"/>
      <c r="D9" s="136"/>
      <c r="E9" s="136"/>
      <c r="F9" s="136"/>
      <c r="G9" s="32" t="s">
        <v>83</v>
      </c>
      <c r="H9" s="32" t="s">
        <v>69</v>
      </c>
      <c r="I9" s="32">
        <f>'MERCADO TE'!$U$6</f>
        <v>5.0000000000000001E-3</v>
      </c>
      <c r="J9" s="17"/>
      <c r="L9" s="30">
        <f>'TE BE'!$L$9*'TE BE'!$L$49</f>
        <v>0</v>
      </c>
      <c r="M9" s="30">
        <f>'TE BE'!$M$9*'TE BE'!$M$49</f>
        <v>0</v>
      </c>
      <c r="N9" s="30">
        <f>'TE BE'!$N$9*'TE BE'!$N$49</f>
        <v>0</v>
      </c>
      <c r="O9" s="30">
        <f>'TE BE'!$O$9*'TE BE'!$O$49</f>
        <v>0</v>
      </c>
      <c r="P9" s="30">
        <f>SUM($L$9:$O$9)</f>
        <v>0</v>
      </c>
      <c r="Q9" s="30">
        <f>'TE BE'!$Q$9*'TE BE'!$Q$49</f>
        <v>-12.840411745697558</v>
      </c>
      <c r="R9" s="30">
        <f>SUM($Q$9:$Q$9)</f>
        <v>-12.840411745697558</v>
      </c>
      <c r="S9" s="30">
        <f>'TE BE'!$S$9*'TE BE'!$S$49</f>
        <v>0</v>
      </c>
      <c r="T9" s="30">
        <f>'TE BE'!$T$9*'TE BE'!$T$49</f>
        <v>0</v>
      </c>
      <c r="U9" s="30">
        <f>'TE BE'!$U$9*'TE BE'!$U$49</f>
        <v>0</v>
      </c>
      <c r="V9" s="30">
        <f>SUM($S$9:$U$9)</f>
        <v>0</v>
      </c>
      <c r="W9" s="30">
        <f>'TE BE'!$AA$9*'TE BE'!$W$49</f>
        <v>2.858891699312641</v>
      </c>
      <c r="X9" s="30">
        <f>SUM($W$9:$W$9)</f>
        <v>2.858891699312641</v>
      </c>
      <c r="Y9" s="30">
        <f>'TE BE'!$Y$9*'TE BE'!$Y$49</f>
        <v>0</v>
      </c>
      <c r="Z9" s="30">
        <f>SUM($Y$9:$Y$9)</f>
        <v>0</v>
      </c>
      <c r="AA9" s="30">
        <f>SUMIF($L$4:$Z$4,"SUBTOTAL",$L$9:$Z$9)</f>
        <v>-9.981520046384917</v>
      </c>
    </row>
    <row r="10" spans="1:27" ht="11.25" customHeight="1" x14ac:dyDescent="0.25">
      <c r="A10" s="136"/>
      <c r="B10" s="136"/>
      <c r="C10" s="136"/>
      <c r="D10" s="136"/>
      <c r="E10" s="136"/>
      <c r="F10" s="136"/>
      <c r="G10" s="32" t="s">
        <v>71</v>
      </c>
      <c r="H10" s="32" t="s">
        <v>69</v>
      </c>
      <c r="I10" s="32">
        <f>'MERCADO TE'!$U$7</f>
        <v>0.96600000000000008</v>
      </c>
      <c r="J10" s="17"/>
      <c r="L10" s="30">
        <f>'TE BE'!$L$10*'TE BE'!$L$49</f>
        <v>0</v>
      </c>
      <c r="M10" s="30">
        <f>'TE BE'!$M$10*'TE BE'!$M$49</f>
        <v>0</v>
      </c>
      <c r="N10" s="30">
        <f>'TE BE'!$N$10*'TE BE'!$N$49</f>
        <v>0</v>
      </c>
      <c r="O10" s="30">
        <f>'TE BE'!$O$10*'TE BE'!$O$49</f>
        <v>0</v>
      </c>
      <c r="P10" s="30">
        <f>SUM($L$10:$O$10)</f>
        <v>0</v>
      </c>
      <c r="Q10" s="30">
        <f>'TE BE'!$Q$10*'TE BE'!$Q$49</f>
        <v>-12.840411745697558</v>
      </c>
      <c r="R10" s="30">
        <f>SUM($Q$10:$Q$10)</f>
        <v>-12.840411745697558</v>
      </c>
      <c r="S10" s="30">
        <f>'TE BE'!$S$10*'TE BE'!$S$49</f>
        <v>0</v>
      </c>
      <c r="T10" s="30">
        <f>'TE BE'!$T$10*'TE BE'!$T$49</f>
        <v>0</v>
      </c>
      <c r="U10" s="30">
        <f>'TE BE'!$U$10*'TE BE'!$U$49</f>
        <v>0</v>
      </c>
      <c r="V10" s="30">
        <f>SUM($S$10:$U$10)</f>
        <v>0</v>
      </c>
      <c r="W10" s="30">
        <f>'TE BE'!$AA$10*'TE BE'!$W$49</f>
        <v>2.858891699312641</v>
      </c>
      <c r="X10" s="30">
        <f>SUM($W$10:$W$10)</f>
        <v>2.858891699312641</v>
      </c>
      <c r="Y10" s="30">
        <f>'TE BE'!$Y$10*'TE BE'!$Y$49</f>
        <v>0</v>
      </c>
      <c r="Z10" s="30">
        <f>SUM($Y$10:$Y$10)</f>
        <v>0</v>
      </c>
      <c r="AA10" s="30">
        <f>SUMIF($L$4:$Z$4,"SUBTOTAL",$L$10:$Z$10)</f>
        <v>-9.981520046384917</v>
      </c>
    </row>
    <row r="11" spans="1:27" ht="11.25" customHeight="1" x14ac:dyDescent="0.25">
      <c r="A11" s="136"/>
      <c r="B11" s="136" t="s">
        <v>72</v>
      </c>
      <c r="C11" s="136" t="s">
        <v>24</v>
      </c>
      <c r="D11" s="38" t="s">
        <v>24</v>
      </c>
      <c r="E11" s="38" t="s">
        <v>25</v>
      </c>
      <c r="F11" s="38" t="s">
        <v>25</v>
      </c>
      <c r="G11" s="32" t="s">
        <v>73</v>
      </c>
      <c r="H11" s="32" t="s">
        <v>69</v>
      </c>
      <c r="I11" s="32">
        <f>'MERCADO TE'!$U$8</f>
        <v>2520.6710000000003</v>
      </c>
      <c r="J11" s="17"/>
      <c r="L11" s="30">
        <f>'TE BE'!$L$11*'TE BE'!$L$49</f>
        <v>0</v>
      </c>
      <c r="M11" s="30">
        <f>'TE BE'!$M$11*'TE BE'!$M$49</f>
        <v>0</v>
      </c>
      <c r="N11" s="30">
        <f>'TE BE'!$N$11*'TE BE'!$N$49</f>
        <v>0</v>
      </c>
      <c r="O11" s="30">
        <f>'TE BE'!$O$11*'TE BE'!$O$49</f>
        <v>0</v>
      </c>
      <c r="P11" s="30">
        <f>SUM($L$11:$O$11)</f>
        <v>0</v>
      </c>
      <c r="Q11" s="30">
        <f>'TE BE'!$Q$11*'TE BE'!$Q$49</f>
        <v>-12.840411745697558</v>
      </c>
      <c r="R11" s="30">
        <f>SUM($Q$11:$Q$11)</f>
        <v>-12.840411745697558</v>
      </c>
      <c r="S11" s="30">
        <f>'TE BE'!$S$11*'TE BE'!$S$49</f>
        <v>0</v>
      </c>
      <c r="T11" s="30">
        <f>'TE BE'!$T$11*'TE BE'!$T$49</f>
        <v>0</v>
      </c>
      <c r="U11" s="30">
        <f>'TE BE'!$U$11*'TE BE'!$U$49</f>
        <v>0</v>
      </c>
      <c r="V11" s="30">
        <f>SUM($S$11:$U$11)</f>
        <v>0</v>
      </c>
      <c r="W11" s="30">
        <f>'TE BE'!$AA$11*'TE BE'!$W$49</f>
        <v>2.858891699312641</v>
      </c>
      <c r="X11" s="30">
        <f>SUM($W$11:$W$11)</f>
        <v>2.858891699312641</v>
      </c>
      <c r="Y11" s="30">
        <f>'TE BE'!$Y$11*'TE BE'!$Y$49</f>
        <v>0</v>
      </c>
      <c r="Z11" s="30">
        <f>SUM($Y$11:$Y$11)</f>
        <v>0</v>
      </c>
      <c r="AA11" s="30">
        <f>SUMIF($L$4:$Z$4,"SUBTOTAL",$L$11:$Z$11)</f>
        <v>-9.981520046384917</v>
      </c>
    </row>
    <row r="12" spans="1:27" ht="11.25" customHeight="1" x14ac:dyDescent="0.25">
      <c r="A12" s="136"/>
      <c r="B12" s="136"/>
      <c r="C12" s="136"/>
      <c r="D12" s="38" t="s">
        <v>28</v>
      </c>
      <c r="E12" s="38" t="s">
        <v>25</v>
      </c>
      <c r="F12" s="38" t="s">
        <v>25</v>
      </c>
      <c r="G12" s="32" t="s">
        <v>73</v>
      </c>
      <c r="H12" s="32" t="s">
        <v>69</v>
      </c>
      <c r="I12" s="32">
        <f>'MERCADO TE'!$U$9</f>
        <v>782.16</v>
      </c>
      <c r="J12" s="17"/>
      <c r="L12" s="30">
        <f>'TE BE'!$L$12*'TE BE'!$L$49</f>
        <v>0</v>
      </c>
      <c r="M12" s="30">
        <f>'TE BE'!$M$12*'TE BE'!$M$49</f>
        <v>0</v>
      </c>
      <c r="N12" s="30">
        <f>'TE BE'!$N$12*'TE BE'!$N$49</f>
        <v>0</v>
      </c>
      <c r="O12" s="30">
        <f>'TE BE'!$O$12*'TE BE'!$O$49</f>
        <v>0</v>
      </c>
      <c r="P12" s="30">
        <f>SUM($L$12:$O$12)</f>
        <v>0</v>
      </c>
      <c r="Q12" s="30">
        <f>'TE BE'!$Q$12*'TE BE'!$Q$49</f>
        <v>-12.840411745697558</v>
      </c>
      <c r="R12" s="30">
        <f>SUM($Q$12:$Q$12)</f>
        <v>-12.840411745697558</v>
      </c>
      <c r="S12" s="30">
        <f>'TE BE'!$S$12*'TE BE'!$S$49</f>
        <v>0</v>
      </c>
      <c r="T12" s="30">
        <f>'TE BE'!$T$12*'TE BE'!$T$49</f>
        <v>0</v>
      </c>
      <c r="U12" s="30">
        <f>'TE BE'!$U$12*'TE BE'!$U$49</f>
        <v>0</v>
      </c>
      <c r="V12" s="30">
        <f>SUM($S$12:$U$12)</f>
        <v>0</v>
      </c>
      <c r="W12" s="30">
        <f>'TE BE'!$AA$12*'TE BE'!$W$49</f>
        <v>2.858891699312641</v>
      </c>
      <c r="X12" s="30">
        <f>SUM($W$12:$W$12)</f>
        <v>2.858891699312641</v>
      </c>
      <c r="Y12" s="30">
        <f>'TE BE'!$Y$12*'TE BE'!$Y$49</f>
        <v>0</v>
      </c>
      <c r="Z12" s="30">
        <f>SUM($Y$12:$Y$12)</f>
        <v>0</v>
      </c>
      <c r="AA12" s="30">
        <f>SUMIF($L$4:$Z$4,"SUBTOTAL",$L$12:$Z$12)</f>
        <v>-9.981520046384917</v>
      </c>
    </row>
    <row r="13" spans="1:27" ht="11.25" customHeight="1" x14ac:dyDescent="0.25">
      <c r="A13" s="136"/>
      <c r="B13" s="136"/>
      <c r="C13" s="136"/>
      <c r="D13" s="38" t="s">
        <v>29</v>
      </c>
      <c r="E13" s="38" t="s">
        <v>25</v>
      </c>
      <c r="F13" s="38" t="s">
        <v>25</v>
      </c>
      <c r="G13" s="32" t="s">
        <v>73</v>
      </c>
      <c r="H13" s="32" t="s">
        <v>69</v>
      </c>
      <c r="I13" s="32">
        <f>'MERCADO TE'!$U$10</f>
        <v>1214.3559999999998</v>
      </c>
      <c r="J13" s="17"/>
      <c r="L13" s="30">
        <f>'TE BE'!$L$13*'TE BE'!$L$49</f>
        <v>0</v>
      </c>
      <c r="M13" s="30">
        <f>'TE BE'!$M$13*'TE BE'!$M$49</f>
        <v>0</v>
      </c>
      <c r="N13" s="30">
        <f>'TE BE'!$N$13*'TE BE'!$N$49</f>
        <v>0</v>
      </c>
      <c r="O13" s="30">
        <f>'TE BE'!$O$13*'TE BE'!$O$49</f>
        <v>0</v>
      </c>
      <c r="P13" s="30">
        <f>SUM($L$13:$O$13)</f>
        <v>0</v>
      </c>
      <c r="Q13" s="30">
        <f>'TE BE'!$Q$13*'TE BE'!$Q$49</f>
        <v>-12.840411745697558</v>
      </c>
      <c r="R13" s="30">
        <f>SUM($Q$13:$Q$13)</f>
        <v>-12.840411745697558</v>
      </c>
      <c r="S13" s="30">
        <f>'TE BE'!$S$13*'TE BE'!$S$49</f>
        <v>0</v>
      </c>
      <c r="T13" s="30">
        <f>'TE BE'!$T$13*'TE BE'!$T$49</f>
        <v>0</v>
      </c>
      <c r="U13" s="30">
        <f>'TE BE'!$U$13*'TE BE'!$U$49</f>
        <v>0</v>
      </c>
      <c r="V13" s="30">
        <f>SUM($S$13:$U$13)</f>
        <v>0</v>
      </c>
      <c r="W13" s="30">
        <f>'TE BE'!$AA$13*'TE BE'!$W$49</f>
        <v>2.858891699312641</v>
      </c>
      <c r="X13" s="30">
        <f>SUM($W$13:$W$13)</f>
        <v>2.858891699312641</v>
      </c>
      <c r="Y13" s="30">
        <f>'TE BE'!$Y$13*'TE BE'!$Y$49</f>
        <v>0</v>
      </c>
      <c r="Z13" s="30">
        <f>SUM($Y$13:$Y$13)</f>
        <v>0</v>
      </c>
      <c r="AA13" s="30">
        <f>SUMIF($L$4:$Z$4,"SUBTOTAL",$L$13:$Z$13)</f>
        <v>-9.981520046384917</v>
      </c>
    </row>
    <row r="14" spans="1:27" ht="11.25" customHeight="1" x14ac:dyDescent="0.25">
      <c r="A14" s="136"/>
      <c r="B14" s="136"/>
      <c r="C14" s="136"/>
      <c r="D14" s="38" t="s">
        <v>30</v>
      </c>
      <c r="E14" s="38" t="s">
        <v>25</v>
      </c>
      <c r="F14" s="38" t="s">
        <v>25</v>
      </c>
      <c r="G14" s="32" t="s">
        <v>73</v>
      </c>
      <c r="H14" s="32" t="s">
        <v>69</v>
      </c>
      <c r="I14" s="32">
        <f>'MERCADO TE'!$U$11</f>
        <v>403.89</v>
      </c>
      <c r="J14" s="17"/>
      <c r="L14" s="30">
        <f>'TE BE'!$L$14*'TE BE'!$L$49</f>
        <v>0</v>
      </c>
      <c r="M14" s="30">
        <f>'TE BE'!$M$14*'TE BE'!$M$49</f>
        <v>0</v>
      </c>
      <c r="N14" s="30">
        <f>'TE BE'!$N$14*'TE BE'!$N$49</f>
        <v>0</v>
      </c>
      <c r="O14" s="30">
        <f>'TE BE'!$O$14*'TE BE'!$O$49</f>
        <v>0</v>
      </c>
      <c r="P14" s="30">
        <f>SUM($L$14:$O$14)</f>
        <v>0</v>
      </c>
      <c r="Q14" s="30">
        <f>'TE BE'!$Q$14*'TE BE'!$Q$49</f>
        <v>-12.840411745697558</v>
      </c>
      <c r="R14" s="30">
        <f>SUM($Q$14:$Q$14)</f>
        <v>-12.840411745697558</v>
      </c>
      <c r="S14" s="30">
        <f>'TE BE'!$S$14*'TE BE'!$S$49</f>
        <v>0</v>
      </c>
      <c r="T14" s="30">
        <f>'TE BE'!$T$14*'TE BE'!$T$49</f>
        <v>0</v>
      </c>
      <c r="U14" s="30">
        <f>'TE BE'!$U$14*'TE BE'!$U$49</f>
        <v>0</v>
      </c>
      <c r="V14" s="30">
        <f>SUM($S$14:$U$14)</f>
        <v>0</v>
      </c>
      <c r="W14" s="30">
        <f>'TE BE'!$AA$14*'TE BE'!$W$49</f>
        <v>2.858891699312641</v>
      </c>
      <c r="X14" s="30">
        <f>SUM($W$14:$W$14)</f>
        <v>2.858891699312641</v>
      </c>
      <c r="Y14" s="30">
        <f>'TE BE'!$Y$14*'TE BE'!$Y$49</f>
        <v>0</v>
      </c>
      <c r="Z14" s="30">
        <f>SUM($Y$14:$Y$14)</f>
        <v>0</v>
      </c>
      <c r="AA14" s="30">
        <f>SUMIF($L$4:$Z$4,"SUBTOTAL",$L$14:$Z$14)</f>
        <v>-9.981520046384917</v>
      </c>
    </row>
    <row r="15" spans="1:27" ht="11.25" customHeight="1" x14ac:dyDescent="0.25">
      <c r="A15" s="136"/>
      <c r="B15" s="136"/>
      <c r="C15" s="136"/>
      <c r="D15" s="38" t="s">
        <v>31</v>
      </c>
      <c r="E15" s="38" t="s">
        <v>25</v>
      </c>
      <c r="F15" s="38" t="s">
        <v>25</v>
      </c>
      <c r="G15" s="32" t="s">
        <v>73</v>
      </c>
      <c r="H15" s="32" t="s">
        <v>69</v>
      </c>
      <c r="I15" s="32">
        <f>'MERCADO TE'!$U$12</f>
        <v>103.88300000000001</v>
      </c>
      <c r="J15" s="17"/>
      <c r="L15" s="30">
        <f>'TE BE'!$L$15*'TE BE'!$L$49</f>
        <v>0</v>
      </c>
      <c r="M15" s="30">
        <f>'TE BE'!$M$15*'TE BE'!$M$49</f>
        <v>0</v>
      </c>
      <c r="N15" s="30">
        <f>'TE BE'!$N$15*'TE BE'!$N$49</f>
        <v>0</v>
      </c>
      <c r="O15" s="30">
        <f>'TE BE'!$O$15*'TE BE'!$O$49</f>
        <v>0</v>
      </c>
      <c r="P15" s="30">
        <f>SUM($L$15:$O$15)</f>
        <v>0</v>
      </c>
      <c r="Q15" s="30">
        <f>'TE BE'!$Q$15*'TE BE'!$Q$49</f>
        <v>-12.840411745697558</v>
      </c>
      <c r="R15" s="30">
        <f>SUM($Q$15:$Q$15)</f>
        <v>-12.840411745697558</v>
      </c>
      <c r="S15" s="30">
        <f>'TE BE'!$S$15*'TE BE'!$S$49</f>
        <v>0</v>
      </c>
      <c r="T15" s="30">
        <f>'TE BE'!$T$15*'TE BE'!$T$49</f>
        <v>0</v>
      </c>
      <c r="U15" s="30">
        <f>'TE BE'!$U$15*'TE BE'!$U$49</f>
        <v>0</v>
      </c>
      <c r="V15" s="30">
        <f>SUM($S$15:$U$15)</f>
        <v>0</v>
      </c>
      <c r="W15" s="30">
        <f>'TE BE'!$AA$15*'TE BE'!$W$49</f>
        <v>2.858891699312641</v>
      </c>
      <c r="X15" s="30">
        <f>SUM($W$15:$W$15)</f>
        <v>2.858891699312641</v>
      </c>
      <c r="Y15" s="30">
        <f>'TE BE'!$Y$15*'TE BE'!$Y$49</f>
        <v>0</v>
      </c>
      <c r="Z15" s="30">
        <f>SUM($Y$15:$Y$15)</f>
        <v>0</v>
      </c>
      <c r="AA15" s="30">
        <f>SUMIF($L$4:$Z$4,"SUBTOTAL",$L$15:$Z$15)</f>
        <v>-9.981520046384917</v>
      </c>
    </row>
    <row r="16" spans="1:27" ht="11.25" customHeight="1" x14ac:dyDescent="0.25">
      <c r="A16" s="136"/>
      <c r="B16" s="136" t="s">
        <v>84</v>
      </c>
      <c r="C16" s="136" t="s">
        <v>24</v>
      </c>
      <c r="D16" s="38" t="s">
        <v>24</v>
      </c>
      <c r="E16" s="38" t="s">
        <v>25</v>
      </c>
      <c r="F16" s="38" t="s">
        <v>25</v>
      </c>
      <c r="G16" s="32" t="s">
        <v>73</v>
      </c>
      <c r="H16" s="32" t="s">
        <v>69</v>
      </c>
      <c r="I16" s="32">
        <f>'MERCADO TE'!$U$13</f>
        <v>0</v>
      </c>
      <c r="J16" s="17"/>
      <c r="L16" s="30">
        <f>'TE BE'!$L$16*'TE BE'!$L$49</f>
        <v>0</v>
      </c>
      <c r="M16" s="30">
        <f>'TE BE'!$M$16*'TE BE'!$M$49</f>
        <v>0</v>
      </c>
      <c r="N16" s="30">
        <f>'TE BE'!$N$16*'TE BE'!$N$49</f>
        <v>0</v>
      </c>
      <c r="O16" s="30">
        <f>'TE BE'!$O$16*'TE BE'!$O$49</f>
        <v>0</v>
      </c>
      <c r="P16" s="30">
        <f>SUM($L$16:$O$16)</f>
        <v>0</v>
      </c>
      <c r="Q16" s="30">
        <f>'TE BE'!$Q$16*'TE BE'!$Q$49</f>
        <v>-12.840411745697558</v>
      </c>
      <c r="R16" s="30">
        <f>SUM($Q$16:$Q$16)</f>
        <v>-12.840411745697558</v>
      </c>
      <c r="S16" s="30">
        <f>'TE BE'!$S$16*'TE BE'!$S$49</f>
        <v>0</v>
      </c>
      <c r="T16" s="30">
        <f>'TE BE'!$T$16*'TE BE'!$T$49</f>
        <v>0</v>
      </c>
      <c r="U16" s="30">
        <f>'TE BE'!$U$16*'TE BE'!$U$49</f>
        <v>0</v>
      </c>
      <c r="V16" s="30">
        <f>SUM($S$16:$U$16)</f>
        <v>0</v>
      </c>
      <c r="W16" s="30">
        <f>'TE BE'!$AA$16*'TE BE'!$W$49</f>
        <v>2.858891699312641</v>
      </c>
      <c r="X16" s="30">
        <f>SUM($W$16:$W$16)</f>
        <v>2.858891699312641</v>
      </c>
      <c r="Y16" s="30">
        <f>'TE BE'!$Y$16*'TE BE'!$Y$49</f>
        <v>0</v>
      </c>
      <c r="Z16" s="30">
        <f>SUM($Y$16:$Y$16)</f>
        <v>0</v>
      </c>
      <c r="AA16" s="30">
        <f>SUMIF($L$4:$Z$4,"SUBTOTAL",$L$16:$Z$16)</f>
        <v>-9.981520046384917</v>
      </c>
    </row>
    <row r="17" spans="1:27" ht="11.25" customHeight="1" x14ac:dyDescent="0.25">
      <c r="A17" s="136"/>
      <c r="B17" s="136"/>
      <c r="C17" s="136"/>
      <c r="D17" s="38" t="s">
        <v>28</v>
      </c>
      <c r="E17" s="38" t="s">
        <v>25</v>
      </c>
      <c r="F17" s="38" t="s">
        <v>25</v>
      </c>
      <c r="G17" s="32" t="s">
        <v>73</v>
      </c>
      <c r="H17" s="32" t="s">
        <v>69</v>
      </c>
      <c r="I17" s="32">
        <f>'MERCADO TE'!$U$14</f>
        <v>0</v>
      </c>
      <c r="J17" s="17"/>
      <c r="L17" s="30">
        <f>'TE BE'!$L$17*'TE BE'!$L$49</f>
        <v>0</v>
      </c>
      <c r="M17" s="30">
        <f>'TE BE'!$M$17*'TE BE'!$M$49</f>
        <v>0</v>
      </c>
      <c r="N17" s="30">
        <f>'TE BE'!$N$17*'TE BE'!$N$49</f>
        <v>0</v>
      </c>
      <c r="O17" s="30">
        <f>'TE BE'!$O$17*'TE BE'!$O$49</f>
        <v>0</v>
      </c>
      <c r="P17" s="30">
        <f>SUM($L$17:$O$17)</f>
        <v>0</v>
      </c>
      <c r="Q17" s="30">
        <f>'TE BE'!$Q$17*'TE BE'!$Q$49</f>
        <v>-12.840411745697558</v>
      </c>
      <c r="R17" s="30">
        <f>SUM($Q$17:$Q$17)</f>
        <v>-12.840411745697558</v>
      </c>
      <c r="S17" s="30">
        <f>'TE BE'!$S$17*'TE BE'!$S$49</f>
        <v>0</v>
      </c>
      <c r="T17" s="30">
        <f>'TE BE'!$T$17*'TE BE'!$T$49</f>
        <v>0</v>
      </c>
      <c r="U17" s="30">
        <f>'TE BE'!$U$17*'TE BE'!$U$49</f>
        <v>0</v>
      </c>
      <c r="V17" s="30">
        <f>SUM($S$17:$U$17)</f>
        <v>0</v>
      </c>
      <c r="W17" s="30">
        <f>'TE BE'!$AA$17*'TE BE'!$W$49</f>
        <v>2.858891699312641</v>
      </c>
      <c r="X17" s="30">
        <f>SUM($W$17:$W$17)</f>
        <v>2.858891699312641</v>
      </c>
      <c r="Y17" s="30">
        <f>'TE BE'!$Y$17*'TE BE'!$Y$49</f>
        <v>0</v>
      </c>
      <c r="Z17" s="30">
        <f>SUM($Y$17:$Y$17)</f>
        <v>0</v>
      </c>
      <c r="AA17" s="30">
        <f>SUMIF($L$4:$Z$4,"SUBTOTAL",$L$17:$Z$17)</f>
        <v>-9.981520046384917</v>
      </c>
    </row>
    <row r="18" spans="1:27" ht="11.25" customHeight="1" x14ac:dyDescent="0.25">
      <c r="A18" s="136"/>
      <c r="B18" s="136"/>
      <c r="C18" s="136"/>
      <c r="D18" s="38" t="s">
        <v>29</v>
      </c>
      <c r="E18" s="38" t="s">
        <v>25</v>
      </c>
      <c r="F18" s="38" t="s">
        <v>25</v>
      </c>
      <c r="G18" s="32" t="s">
        <v>73</v>
      </c>
      <c r="H18" s="32" t="s">
        <v>69</v>
      </c>
      <c r="I18" s="32">
        <f>'MERCADO TE'!$U$15</f>
        <v>0</v>
      </c>
      <c r="J18" s="17"/>
      <c r="L18" s="30">
        <f>'TE BE'!$L$18*'TE BE'!$L$49</f>
        <v>0</v>
      </c>
      <c r="M18" s="30">
        <f>'TE BE'!$M$18*'TE BE'!$M$49</f>
        <v>0</v>
      </c>
      <c r="N18" s="30">
        <f>'TE BE'!$N$18*'TE BE'!$N$49</f>
        <v>0</v>
      </c>
      <c r="O18" s="30">
        <f>'TE BE'!$O$18*'TE BE'!$O$49</f>
        <v>0</v>
      </c>
      <c r="P18" s="30">
        <f>SUM($L$18:$O$18)</f>
        <v>0</v>
      </c>
      <c r="Q18" s="30">
        <f>'TE BE'!$Q$18*'TE BE'!$Q$49</f>
        <v>-12.840411745697558</v>
      </c>
      <c r="R18" s="30">
        <f>SUM($Q$18:$Q$18)</f>
        <v>-12.840411745697558</v>
      </c>
      <c r="S18" s="30">
        <f>'TE BE'!$S$18*'TE BE'!$S$49</f>
        <v>0</v>
      </c>
      <c r="T18" s="30">
        <f>'TE BE'!$T$18*'TE BE'!$T$49</f>
        <v>0</v>
      </c>
      <c r="U18" s="30">
        <f>'TE BE'!$U$18*'TE BE'!$U$49</f>
        <v>0</v>
      </c>
      <c r="V18" s="30">
        <f>SUM($S$18:$U$18)</f>
        <v>0</v>
      </c>
      <c r="W18" s="30">
        <f>'TE BE'!$AA$18*'TE BE'!$W$49</f>
        <v>2.858891699312641</v>
      </c>
      <c r="X18" s="30">
        <f>SUM($W$18:$W$18)</f>
        <v>2.858891699312641</v>
      </c>
      <c r="Y18" s="30">
        <f>'TE BE'!$Y$18*'TE BE'!$Y$49</f>
        <v>0</v>
      </c>
      <c r="Z18" s="30">
        <f>SUM($Y$18:$Y$18)</f>
        <v>0</v>
      </c>
      <c r="AA18" s="30">
        <f>SUMIF($L$4:$Z$4,"SUBTOTAL",$L$18:$Z$18)</f>
        <v>-9.981520046384917</v>
      </c>
    </row>
    <row r="19" spans="1:27" ht="11.25" customHeight="1" x14ac:dyDescent="0.25">
      <c r="A19" s="136"/>
      <c r="B19" s="136"/>
      <c r="C19" s="136"/>
      <c r="D19" s="38" t="s">
        <v>30</v>
      </c>
      <c r="E19" s="38" t="s">
        <v>25</v>
      </c>
      <c r="F19" s="38" t="s">
        <v>25</v>
      </c>
      <c r="G19" s="32" t="s">
        <v>73</v>
      </c>
      <c r="H19" s="32" t="s">
        <v>69</v>
      </c>
      <c r="I19" s="32">
        <f>'MERCADO TE'!$U$16</f>
        <v>0</v>
      </c>
      <c r="J19" s="17"/>
      <c r="L19" s="30">
        <f>'TE BE'!$L$19*'TE BE'!$L$49</f>
        <v>0</v>
      </c>
      <c r="M19" s="30">
        <f>'TE BE'!$M$19*'TE BE'!$M$49</f>
        <v>0</v>
      </c>
      <c r="N19" s="30">
        <f>'TE BE'!$N$19*'TE BE'!$N$49</f>
        <v>0</v>
      </c>
      <c r="O19" s="30">
        <f>'TE BE'!$O$19*'TE BE'!$O$49</f>
        <v>0</v>
      </c>
      <c r="P19" s="30">
        <f>SUM($L$19:$O$19)</f>
        <v>0</v>
      </c>
      <c r="Q19" s="30">
        <f>'TE BE'!$Q$19*'TE BE'!$Q$49</f>
        <v>-12.840411745697558</v>
      </c>
      <c r="R19" s="30">
        <f>SUM($Q$19:$Q$19)</f>
        <v>-12.840411745697558</v>
      </c>
      <c r="S19" s="30">
        <f>'TE BE'!$S$19*'TE BE'!$S$49</f>
        <v>0</v>
      </c>
      <c r="T19" s="30">
        <f>'TE BE'!$T$19*'TE BE'!$T$49</f>
        <v>0</v>
      </c>
      <c r="U19" s="30">
        <f>'TE BE'!$U$19*'TE BE'!$U$49</f>
        <v>0</v>
      </c>
      <c r="V19" s="30">
        <f>SUM($S$19:$U$19)</f>
        <v>0</v>
      </c>
      <c r="W19" s="30">
        <f>'TE BE'!$AA$19*'TE BE'!$W$49</f>
        <v>2.858891699312641</v>
      </c>
      <c r="X19" s="30">
        <f>SUM($W$19:$W$19)</f>
        <v>2.858891699312641</v>
      </c>
      <c r="Y19" s="30">
        <f>'TE BE'!$Y$19*'TE BE'!$Y$49</f>
        <v>0</v>
      </c>
      <c r="Z19" s="30">
        <f>SUM($Y$19:$Y$19)</f>
        <v>0</v>
      </c>
      <c r="AA19" s="30">
        <f>SUMIF($L$4:$Z$4,"SUBTOTAL",$L$19:$Z$19)</f>
        <v>-9.981520046384917</v>
      </c>
    </row>
    <row r="20" spans="1:27" ht="11.25" customHeight="1" x14ac:dyDescent="0.25">
      <c r="A20" s="136"/>
      <c r="B20" s="136"/>
      <c r="C20" s="136"/>
      <c r="D20" s="38" t="s">
        <v>31</v>
      </c>
      <c r="E20" s="38" t="s">
        <v>25</v>
      </c>
      <c r="F20" s="38" t="s">
        <v>25</v>
      </c>
      <c r="G20" s="32" t="s">
        <v>73</v>
      </c>
      <c r="H20" s="32" t="s">
        <v>69</v>
      </c>
      <c r="I20" s="32">
        <f>'MERCADO TE'!$U$17</f>
        <v>0</v>
      </c>
      <c r="J20" s="17"/>
      <c r="L20" s="30">
        <f>'TE BE'!$L$20*'TE BE'!$L$49</f>
        <v>0</v>
      </c>
      <c r="M20" s="30">
        <f>'TE BE'!$M$20*'TE BE'!$M$49</f>
        <v>0</v>
      </c>
      <c r="N20" s="30">
        <f>'TE BE'!$N$20*'TE BE'!$N$49</f>
        <v>0</v>
      </c>
      <c r="O20" s="30">
        <f>'TE BE'!$O$20*'TE BE'!$O$49</f>
        <v>0</v>
      </c>
      <c r="P20" s="30">
        <f>SUM($L$20:$O$20)</f>
        <v>0</v>
      </c>
      <c r="Q20" s="30">
        <f>'TE BE'!$Q$20*'TE BE'!$Q$49</f>
        <v>-12.840411745697558</v>
      </c>
      <c r="R20" s="30">
        <f>SUM($Q$20:$Q$20)</f>
        <v>-12.840411745697558</v>
      </c>
      <c r="S20" s="30">
        <f>'TE BE'!$S$20*'TE BE'!$S$49</f>
        <v>0</v>
      </c>
      <c r="T20" s="30">
        <f>'TE BE'!$T$20*'TE BE'!$T$49</f>
        <v>0</v>
      </c>
      <c r="U20" s="30">
        <f>'TE BE'!$U$20*'TE BE'!$U$49</f>
        <v>0</v>
      </c>
      <c r="V20" s="30">
        <f>SUM($S$20:$U$20)</f>
        <v>0</v>
      </c>
      <c r="W20" s="30">
        <f>'TE BE'!$AA$20*'TE BE'!$W$49</f>
        <v>2.858891699312641</v>
      </c>
      <c r="X20" s="30">
        <f>SUM($W$20:$W$20)</f>
        <v>2.858891699312641</v>
      </c>
      <c r="Y20" s="30">
        <f>'TE BE'!$Y$20*'TE BE'!$Y$49</f>
        <v>0</v>
      </c>
      <c r="Z20" s="30">
        <f>SUM($Y$20:$Y$20)</f>
        <v>0</v>
      </c>
      <c r="AA20" s="30">
        <f>SUMIF($L$4:$Z$4,"SUBTOTAL",$L$20:$Z$20)</f>
        <v>-9.981520046384917</v>
      </c>
    </row>
    <row r="21" spans="1:27" ht="11.25" customHeight="1" x14ac:dyDescent="0.25">
      <c r="A21" s="136" t="s">
        <v>41</v>
      </c>
      <c r="B21" s="136" t="s">
        <v>68</v>
      </c>
      <c r="C21" s="136" t="s">
        <v>42</v>
      </c>
      <c r="D21" s="136" t="s">
        <v>25</v>
      </c>
      <c r="E21" s="136" t="s">
        <v>25</v>
      </c>
      <c r="F21" s="136" t="s">
        <v>25</v>
      </c>
      <c r="G21" s="32" t="s">
        <v>70</v>
      </c>
      <c r="H21" s="32" t="s">
        <v>69</v>
      </c>
      <c r="I21" s="32">
        <f>'MERCADO TE'!$U$18</f>
        <v>0.34100000000000003</v>
      </c>
      <c r="J21" s="17"/>
      <c r="L21" s="30">
        <f>'TE BE'!$L$21*'TE BE'!$L$49</f>
        <v>0</v>
      </c>
      <c r="M21" s="30">
        <f>'TE BE'!$M$21*'TE BE'!$M$49</f>
        <v>0</v>
      </c>
      <c r="N21" s="30">
        <f>'TE BE'!$N$21*'TE BE'!$N$49</f>
        <v>0</v>
      </c>
      <c r="O21" s="30">
        <f>'TE BE'!$O$21*'TE BE'!$O$49</f>
        <v>0</v>
      </c>
      <c r="P21" s="30">
        <f>SUM($L$21:$O$21)</f>
        <v>0</v>
      </c>
      <c r="Q21" s="30">
        <f>'TE BE'!$Q$21*'TE BE'!$Q$49</f>
        <v>-12.840411745697558</v>
      </c>
      <c r="R21" s="30">
        <f>SUM($Q$21:$Q$21)</f>
        <v>-12.840411745697558</v>
      </c>
      <c r="S21" s="30">
        <f>'TE BE'!$S$21*'TE BE'!$S$49</f>
        <v>0</v>
      </c>
      <c r="T21" s="30">
        <f>'TE BE'!$T$21*'TE BE'!$T$49</f>
        <v>0</v>
      </c>
      <c r="U21" s="30">
        <f>'TE BE'!$U$21*'TE BE'!$U$49</f>
        <v>0</v>
      </c>
      <c r="V21" s="30">
        <f>SUM($S$21:$U$21)</f>
        <v>0</v>
      </c>
      <c r="W21" s="30">
        <f>'TE BE'!$AA$21*'TE BE'!$W$49</f>
        <v>2.858891699312641</v>
      </c>
      <c r="X21" s="30">
        <f>SUM($W$21:$W$21)</f>
        <v>2.858891699312641</v>
      </c>
      <c r="Y21" s="30">
        <f>'TE BE'!$Y$21*'TE BE'!$Y$49</f>
        <v>0</v>
      </c>
      <c r="Z21" s="30">
        <f>SUM($Y$21:$Y$21)</f>
        <v>0</v>
      </c>
      <c r="AA21" s="30">
        <f>SUMIF($L$4:$Z$4,"SUBTOTAL",$L$21:$Z$21)</f>
        <v>-9.981520046384917</v>
      </c>
    </row>
    <row r="22" spans="1:27" ht="11.25" customHeight="1" x14ac:dyDescent="0.25">
      <c r="A22" s="136"/>
      <c r="B22" s="136"/>
      <c r="C22" s="136"/>
      <c r="D22" s="136"/>
      <c r="E22" s="136"/>
      <c r="F22" s="136"/>
      <c r="G22" s="32" t="s">
        <v>83</v>
      </c>
      <c r="H22" s="32" t="s">
        <v>69</v>
      </c>
      <c r="I22" s="32">
        <f>'MERCADO TE'!$U$19</f>
        <v>0.55500000000000005</v>
      </c>
      <c r="J22" s="17"/>
      <c r="L22" s="30">
        <f>'TE BE'!$L$22*'TE BE'!$L$49</f>
        <v>0</v>
      </c>
      <c r="M22" s="30">
        <f>'TE BE'!$M$22*'TE BE'!$M$49</f>
        <v>0</v>
      </c>
      <c r="N22" s="30">
        <f>'TE BE'!$N$22*'TE BE'!$N$49</f>
        <v>0</v>
      </c>
      <c r="O22" s="30">
        <f>'TE BE'!$O$22*'TE BE'!$O$49</f>
        <v>0</v>
      </c>
      <c r="P22" s="30">
        <f>SUM($L$22:$O$22)</f>
        <v>0</v>
      </c>
      <c r="Q22" s="30">
        <f>'TE BE'!$Q$22*'TE BE'!$Q$49</f>
        <v>-12.840411745697558</v>
      </c>
      <c r="R22" s="30">
        <f>SUM($Q$22:$Q$22)</f>
        <v>-12.840411745697558</v>
      </c>
      <c r="S22" s="30">
        <f>'TE BE'!$S$22*'TE BE'!$S$49</f>
        <v>0</v>
      </c>
      <c r="T22" s="30">
        <f>'TE BE'!$T$22*'TE BE'!$T$49</f>
        <v>0</v>
      </c>
      <c r="U22" s="30">
        <f>'TE BE'!$U$22*'TE BE'!$U$49</f>
        <v>0</v>
      </c>
      <c r="V22" s="30">
        <f>SUM($S$22:$U$22)</f>
        <v>0</v>
      </c>
      <c r="W22" s="30">
        <f>'TE BE'!$AA$22*'TE BE'!$W$49</f>
        <v>2.858891699312641</v>
      </c>
      <c r="X22" s="30">
        <f>SUM($W$22:$W$22)</f>
        <v>2.858891699312641</v>
      </c>
      <c r="Y22" s="30">
        <f>'TE BE'!$Y$22*'TE BE'!$Y$49</f>
        <v>0</v>
      </c>
      <c r="Z22" s="30">
        <f>SUM($Y$22:$Y$22)</f>
        <v>0</v>
      </c>
      <c r="AA22" s="30">
        <f>SUMIF($L$4:$Z$4,"SUBTOTAL",$L$22:$Z$22)</f>
        <v>-9.981520046384917</v>
      </c>
    </row>
    <row r="23" spans="1:27" ht="11.25" customHeight="1" x14ac:dyDescent="0.25">
      <c r="A23" s="136"/>
      <c r="B23" s="136"/>
      <c r="C23" s="136"/>
      <c r="D23" s="136"/>
      <c r="E23" s="136"/>
      <c r="F23" s="136"/>
      <c r="G23" s="32" t="s">
        <v>71</v>
      </c>
      <c r="H23" s="32" t="s">
        <v>69</v>
      </c>
      <c r="I23" s="32">
        <f>'MERCADO TE'!$U$20</f>
        <v>16.565999999999999</v>
      </c>
      <c r="J23" s="17"/>
      <c r="L23" s="30">
        <f>'TE BE'!$L$23*'TE BE'!$L$49</f>
        <v>0</v>
      </c>
      <c r="M23" s="30">
        <f>'TE BE'!$M$23*'TE BE'!$M$49</f>
        <v>0</v>
      </c>
      <c r="N23" s="30">
        <f>'TE BE'!$N$23*'TE BE'!$N$49</f>
        <v>0</v>
      </c>
      <c r="O23" s="30">
        <f>'TE BE'!$O$23*'TE BE'!$O$49</f>
        <v>0</v>
      </c>
      <c r="P23" s="30">
        <f>SUM($L$23:$O$23)</f>
        <v>0</v>
      </c>
      <c r="Q23" s="30">
        <f>'TE BE'!$Q$23*'TE BE'!$Q$49</f>
        <v>-12.840411745697558</v>
      </c>
      <c r="R23" s="30">
        <f>SUM($Q$23:$Q$23)</f>
        <v>-12.840411745697558</v>
      </c>
      <c r="S23" s="30">
        <f>'TE BE'!$S$23*'TE BE'!$S$49</f>
        <v>0</v>
      </c>
      <c r="T23" s="30">
        <f>'TE BE'!$T$23*'TE BE'!$T$49</f>
        <v>0</v>
      </c>
      <c r="U23" s="30">
        <f>'TE BE'!$U$23*'TE BE'!$U$49</f>
        <v>0</v>
      </c>
      <c r="V23" s="30">
        <f>SUM($S$23:$U$23)</f>
        <v>0</v>
      </c>
      <c r="W23" s="30">
        <f>'TE BE'!$AA$23*'TE BE'!$W$49</f>
        <v>2.858891699312641</v>
      </c>
      <c r="X23" s="30">
        <f>SUM($W$23:$W$23)</f>
        <v>2.858891699312641</v>
      </c>
      <c r="Y23" s="30">
        <f>'TE BE'!$Y$23*'TE BE'!$Y$49</f>
        <v>0</v>
      </c>
      <c r="Z23" s="30">
        <f>SUM($Y$23:$Y$23)</f>
        <v>0</v>
      </c>
      <c r="AA23" s="30">
        <f>SUMIF($L$4:$Z$4,"SUBTOTAL",$L$23:$Z$23)</f>
        <v>-9.981520046384917</v>
      </c>
    </row>
    <row r="24" spans="1:27" ht="11.25" customHeight="1" x14ac:dyDescent="0.25">
      <c r="A24" s="136"/>
      <c r="B24" s="38" t="s">
        <v>72</v>
      </c>
      <c r="C24" s="38" t="s">
        <v>42</v>
      </c>
      <c r="D24" s="38" t="s">
        <v>25</v>
      </c>
      <c r="E24" s="38" t="s">
        <v>25</v>
      </c>
      <c r="F24" s="38" t="s">
        <v>25</v>
      </c>
      <c r="G24" s="32" t="s">
        <v>73</v>
      </c>
      <c r="H24" s="32" t="s">
        <v>69</v>
      </c>
      <c r="I24" s="32">
        <f>'MERCADO TE'!$U$21</f>
        <v>2549.6099999999997</v>
      </c>
      <c r="J24" s="17"/>
      <c r="L24" s="30">
        <f>'TE BE'!$L$24*'TE BE'!$L$49</f>
        <v>0</v>
      </c>
      <c r="M24" s="30">
        <f>'TE BE'!$M$24*'TE BE'!$M$49</f>
        <v>0</v>
      </c>
      <c r="N24" s="30">
        <f>'TE BE'!$N$24*'TE BE'!$N$49</f>
        <v>0</v>
      </c>
      <c r="O24" s="30">
        <f>'TE BE'!$O$24*'TE BE'!$O$49</f>
        <v>0</v>
      </c>
      <c r="P24" s="30">
        <f>SUM($L$24:$O$24)</f>
        <v>0</v>
      </c>
      <c r="Q24" s="30">
        <f>'TE BE'!$Q$24*'TE BE'!$Q$49</f>
        <v>-12.840411745697558</v>
      </c>
      <c r="R24" s="30">
        <f>SUM($Q$24:$Q$24)</f>
        <v>-12.840411745697558</v>
      </c>
      <c r="S24" s="30">
        <f>'TE BE'!$S$24*'TE BE'!$S$49</f>
        <v>0</v>
      </c>
      <c r="T24" s="30">
        <f>'TE BE'!$T$24*'TE BE'!$T$49</f>
        <v>0</v>
      </c>
      <c r="U24" s="30">
        <f>'TE BE'!$U$24*'TE BE'!$U$49</f>
        <v>0</v>
      </c>
      <c r="V24" s="30">
        <f>SUM($S$24:$U$24)</f>
        <v>0</v>
      </c>
      <c r="W24" s="30">
        <f>'TE BE'!$AA$24*'TE BE'!$W$49</f>
        <v>2.858891699312641</v>
      </c>
      <c r="X24" s="30">
        <f>SUM($W$24:$W$24)</f>
        <v>2.858891699312641</v>
      </c>
      <c r="Y24" s="30">
        <f>'TE BE'!$Y$24*'TE BE'!$Y$49</f>
        <v>0</v>
      </c>
      <c r="Z24" s="30">
        <f>SUM($Y$24:$Y$24)</f>
        <v>0</v>
      </c>
      <c r="AA24" s="30">
        <f>SUMIF($L$4:$Z$4,"SUBTOTAL",$L$24:$Z$24)</f>
        <v>-9.981520046384917</v>
      </c>
    </row>
    <row r="25" spans="1:27" ht="11.25" customHeight="1" x14ac:dyDescent="0.25">
      <c r="A25" s="136"/>
      <c r="B25" s="136" t="s">
        <v>68</v>
      </c>
      <c r="C25" s="136" t="s">
        <v>42</v>
      </c>
      <c r="D25" s="136" t="s">
        <v>86</v>
      </c>
      <c r="E25" s="136" t="s">
        <v>25</v>
      </c>
      <c r="F25" s="136" t="s">
        <v>25</v>
      </c>
      <c r="G25" s="32" t="s">
        <v>70</v>
      </c>
      <c r="H25" s="32" t="s">
        <v>69</v>
      </c>
      <c r="I25" s="32">
        <f>'MERCADO TE'!$U$22</f>
        <v>0</v>
      </c>
      <c r="J25" s="17"/>
      <c r="L25" s="30">
        <f>'TE BE'!$L$25*'TE BE'!$L$49</f>
        <v>0</v>
      </c>
      <c r="M25" s="30">
        <f>'TE BE'!$M$25*'TE BE'!$M$49</f>
        <v>0</v>
      </c>
      <c r="N25" s="30">
        <f>'TE BE'!$N$25*'TE BE'!$N$49</f>
        <v>0</v>
      </c>
      <c r="O25" s="30">
        <f>'TE BE'!$O$25*'TE BE'!$O$49</f>
        <v>0</v>
      </c>
      <c r="P25" s="30">
        <f>SUM($L$25:$O$25)</f>
        <v>0</v>
      </c>
      <c r="Q25" s="30">
        <f>'TE BE'!$Q$25*'TE BE'!$Q$49</f>
        <v>-12.840411745697558</v>
      </c>
      <c r="R25" s="30">
        <f>SUM($Q$25:$Q$25)</f>
        <v>-12.840411745697558</v>
      </c>
      <c r="S25" s="30">
        <f>'TE BE'!$S$25*'TE BE'!$S$49</f>
        <v>0</v>
      </c>
      <c r="T25" s="30">
        <f>'TE BE'!$T$25*'TE BE'!$T$49</f>
        <v>0</v>
      </c>
      <c r="U25" s="30">
        <f>'TE BE'!$U$25*'TE BE'!$U$49</f>
        <v>0</v>
      </c>
      <c r="V25" s="30">
        <f>SUM($S$25:$U$25)</f>
        <v>0</v>
      </c>
      <c r="W25" s="30">
        <f>'TE BE'!$AA$25*'TE BE'!$W$49</f>
        <v>2.858891699312641</v>
      </c>
      <c r="X25" s="30">
        <f>SUM($W$25:$W$25)</f>
        <v>2.858891699312641</v>
      </c>
      <c r="Y25" s="30">
        <f>'TE BE'!$Y$25*'TE BE'!$Y$49</f>
        <v>0</v>
      </c>
      <c r="Z25" s="30">
        <f>SUM($Y$25:$Y$25)</f>
        <v>0</v>
      </c>
      <c r="AA25" s="30">
        <f>SUMIF($L$4:$Z$4,"SUBTOTAL",$L$25:$Z$25)</f>
        <v>-9.981520046384917</v>
      </c>
    </row>
    <row r="26" spans="1:27" ht="11.25" customHeight="1" x14ac:dyDescent="0.25">
      <c r="A26" s="136"/>
      <c r="B26" s="136"/>
      <c r="C26" s="136"/>
      <c r="D26" s="136"/>
      <c r="E26" s="136"/>
      <c r="F26" s="136"/>
      <c r="G26" s="32" t="s">
        <v>83</v>
      </c>
      <c r="H26" s="32" t="s">
        <v>69</v>
      </c>
      <c r="I26" s="32">
        <f>'MERCADO TE'!$U$23</f>
        <v>0</v>
      </c>
      <c r="J26" s="17"/>
      <c r="L26" s="30">
        <f>'TE BE'!$L$26*'TE BE'!$L$49</f>
        <v>0</v>
      </c>
      <c r="M26" s="30">
        <f>'TE BE'!$M$26*'TE BE'!$M$49</f>
        <v>0</v>
      </c>
      <c r="N26" s="30">
        <f>'TE BE'!$N$26*'TE BE'!$N$49</f>
        <v>0</v>
      </c>
      <c r="O26" s="30">
        <f>'TE BE'!$O$26*'TE BE'!$O$49</f>
        <v>0</v>
      </c>
      <c r="P26" s="30">
        <f>SUM($L$26:$O$26)</f>
        <v>0</v>
      </c>
      <c r="Q26" s="30">
        <f>'TE BE'!$Q$26*'TE BE'!$Q$49</f>
        <v>-12.840411745697558</v>
      </c>
      <c r="R26" s="30">
        <f>SUM($Q$26:$Q$26)</f>
        <v>-12.840411745697558</v>
      </c>
      <c r="S26" s="30">
        <f>'TE BE'!$S$26*'TE BE'!$S$49</f>
        <v>0</v>
      </c>
      <c r="T26" s="30">
        <f>'TE BE'!$T$26*'TE BE'!$T$49</f>
        <v>0</v>
      </c>
      <c r="U26" s="30">
        <f>'TE BE'!$U$26*'TE BE'!$U$49</f>
        <v>0</v>
      </c>
      <c r="V26" s="30">
        <f>SUM($S$26:$U$26)</f>
        <v>0</v>
      </c>
      <c r="W26" s="30">
        <f>'TE BE'!$AA$26*'TE BE'!$W$49</f>
        <v>2.858891699312641</v>
      </c>
      <c r="X26" s="30">
        <f>SUM($W$26:$W$26)</f>
        <v>2.858891699312641</v>
      </c>
      <c r="Y26" s="30">
        <f>'TE BE'!$Y$26*'TE BE'!$Y$49</f>
        <v>0</v>
      </c>
      <c r="Z26" s="30">
        <f>SUM($Y$26:$Y$26)</f>
        <v>0</v>
      </c>
      <c r="AA26" s="30">
        <f>SUMIF($L$4:$Z$4,"SUBTOTAL",$L$26:$Z$26)</f>
        <v>-9.981520046384917</v>
      </c>
    </row>
    <row r="27" spans="1:27" ht="11.25" customHeight="1" x14ac:dyDescent="0.25">
      <c r="A27" s="136"/>
      <c r="B27" s="136"/>
      <c r="C27" s="136"/>
      <c r="D27" s="136"/>
      <c r="E27" s="136"/>
      <c r="F27" s="136"/>
      <c r="G27" s="32" t="s">
        <v>71</v>
      </c>
      <c r="H27" s="32" t="s">
        <v>69</v>
      </c>
      <c r="I27" s="32">
        <f>'MERCADO TE'!$U$24</f>
        <v>0</v>
      </c>
      <c r="J27" s="17"/>
      <c r="L27" s="30">
        <f>'TE BE'!$L$27*'TE BE'!$L$49</f>
        <v>0</v>
      </c>
      <c r="M27" s="30">
        <f>'TE BE'!$M$27*'TE BE'!$M$49</f>
        <v>0</v>
      </c>
      <c r="N27" s="30">
        <f>'TE BE'!$N$27*'TE BE'!$N$49</f>
        <v>0</v>
      </c>
      <c r="O27" s="30">
        <f>'TE BE'!$O$27*'TE BE'!$O$49</f>
        <v>0</v>
      </c>
      <c r="P27" s="30">
        <f>SUM($L$27:$O$27)</f>
        <v>0</v>
      </c>
      <c r="Q27" s="30">
        <f>'TE BE'!$Q$27*'TE BE'!$Q$49</f>
        <v>-12.840411745697558</v>
      </c>
      <c r="R27" s="30">
        <f>SUM($Q$27:$Q$27)</f>
        <v>-12.840411745697558</v>
      </c>
      <c r="S27" s="30">
        <f>'TE BE'!$S$27*'TE BE'!$S$49</f>
        <v>0</v>
      </c>
      <c r="T27" s="30">
        <f>'TE BE'!$T$27*'TE BE'!$T$49</f>
        <v>0</v>
      </c>
      <c r="U27" s="30">
        <f>'TE BE'!$U$27*'TE BE'!$U$49</f>
        <v>0</v>
      </c>
      <c r="V27" s="30">
        <f>SUM($S$27:$U$27)</f>
        <v>0</v>
      </c>
      <c r="W27" s="30">
        <f>'TE BE'!$AA$27*'TE BE'!$W$49</f>
        <v>2.858891699312641</v>
      </c>
      <c r="X27" s="30">
        <f>SUM($W$27:$W$27)</f>
        <v>2.858891699312641</v>
      </c>
      <c r="Y27" s="30">
        <f>'TE BE'!$Y$27*'TE BE'!$Y$49</f>
        <v>0</v>
      </c>
      <c r="Z27" s="30">
        <f>SUM($Y$27:$Y$27)</f>
        <v>0</v>
      </c>
      <c r="AA27" s="30">
        <f>SUMIF($L$4:$Z$4,"SUBTOTAL",$L$27:$Z$27)</f>
        <v>-9.981520046384917</v>
      </c>
    </row>
    <row r="28" spans="1:27" ht="11.25" customHeight="1" x14ac:dyDescent="0.25">
      <c r="A28" s="136"/>
      <c r="B28" s="38" t="s">
        <v>72</v>
      </c>
      <c r="C28" s="38" t="s">
        <v>42</v>
      </c>
      <c r="D28" s="38" t="s">
        <v>86</v>
      </c>
      <c r="E28" s="38" t="s">
        <v>25</v>
      </c>
      <c r="F28" s="38" t="s">
        <v>25</v>
      </c>
      <c r="G28" s="32" t="s">
        <v>73</v>
      </c>
      <c r="H28" s="32" t="s">
        <v>69</v>
      </c>
      <c r="I28" s="32">
        <f>'MERCADO TE'!$U$25</f>
        <v>0</v>
      </c>
      <c r="J28" s="17"/>
      <c r="L28" s="30">
        <f>'TE BE'!$L$28*'TE BE'!$L$49</f>
        <v>0</v>
      </c>
      <c r="M28" s="30">
        <f>'TE BE'!$M$28*'TE BE'!$M$49</f>
        <v>0</v>
      </c>
      <c r="N28" s="30">
        <f>'TE BE'!$N$28*'TE BE'!$N$49</f>
        <v>0</v>
      </c>
      <c r="O28" s="30">
        <f>'TE BE'!$O$28*'TE BE'!$O$49</f>
        <v>0</v>
      </c>
      <c r="P28" s="30">
        <f>SUM($L$28:$O$28)</f>
        <v>0</v>
      </c>
      <c r="Q28" s="30">
        <f>'TE BE'!$Q$28*'TE BE'!$Q$49</f>
        <v>-12.840411745697558</v>
      </c>
      <c r="R28" s="30">
        <f>SUM($Q$28:$Q$28)</f>
        <v>-12.840411745697558</v>
      </c>
      <c r="S28" s="30">
        <f>'TE BE'!$S$28*'TE BE'!$S$49</f>
        <v>0</v>
      </c>
      <c r="T28" s="30">
        <f>'TE BE'!$T$28*'TE BE'!$T$49</f>
        <v>0</v>
      </c>
      <c r="U28" s="30">
        <f>'TE BE'!$U$28*'TE BE'!$U$49</f>
        <v>0</v>
      </c>
      <c r="V28" s="30">
        <f>SUM($S$28:$U$28)</f>
        <v>0</v>
      </c>
      <c r="W28" s="30">
        <f>'TE BE'!$AA$28*'TE BE'!$W$49</f>
        <v>2.858891699312641</v>
      </c>
      <c r="X28" s="30">
        <f>SUM($W$28:$W$28)</f>
        <v>2.858891699312641</v>
      </c>
      <c r="Y28" s="30">
        <f>'TE BE'!$Y$28*'TE BE'!$Y$49</f>
        <v>0</v>
      </c>
      <c r="Z28" s="30">
        <f>SUM($Y$28:$Y$28)</f>
        <v>0</v>
      </c>
      <c r="AA28" s="30">
        <f>SUMIF($L$4:$Z$4,"SUBTOTAL",$L$28:$Z$28)</f>
        <v>-9.981520046384917</v>
      </c>
    </row>
    <row r="29" spans="1:27" ht="11.25" customHeight="1" x14ac:dyDescent="0.25">
      <c r="A29" s="136"/>
      <c r="B29" s="136" t="s">
        <v>68</v>
      </c>
      <c r="C29" s="136" t="s">
        <v>42</v>
      </c>
      <c r="D29" s="136" t="s">
        <v>87</v>
      </c>
      <c r="E29" s="136" t="s">
        <v>25</v>
      </c>
      <c r="F29" s="136" t="s">
        <v>25</v>
      </c>
      <c r="G29" s="32" t="s">
        <v>70</v>
      </c>
      <c r="H29" s="32" t="s">
        <v>69</v>
      </c>
      <c r="I29" s="32">
        <f>'MERCADO TE'!$U$26</f>
        <v>0</v>
      </c>
      <c r="J29" s="17"/>
      <c r="L29" s="30">
        <f>'TE BE'!$L$29*'TE BE'!$L$49</f>
        <v>0</v>
      </c>
      <c r="M29" s="30">
        <f>'TE BE'!$M$29*'TE BE'!$M$49</f>
        <v>0</v>
      </c>
      <c r="N29" s="30">
        <f>'TE BE'!$N$29*'TE BE'!$N$49</f>
        <v>0</v>
      </c>
      <c r="O29" s="30">
        <f>'TE BE'!$O$29*'TE BE'!$O$49</f>
        <v>0</v>
      </c>
      <c r="P29" s="30">
        <f>SUM($L$29:$O$29)</f>
        <v>0</v>
      </c>
      <c r="Q29" s="30">
        <f>'TE BE'!$Q$29*'TE BE'!$Q$49</f>
        <v>-12.840411745697558</v>
      </c>
      <c r="R29" s="30">
        <f>SUM($Q$29:$Q$29)</f>
        <v>-12.840411745697558</v>
      </c>
      <c r="S29" s="30">
        <f>'TE BE'!$S$29*'TE BE'!$S$49</f>
        <v>0</v>
      </c>
      <c r="T29" s="30">
        <f>'TE BE'!$T$29*'TE BE'!$T$49</f>
        <v>0</v>
      </c>
      <c r="U29" s="30">
        <f>'TE BE'!$U$29*'TE BE'!$U$49</f>
        <v>0</v>
      </c>
      <c r="V29" s="30">
        <f>SUM($S$29:$U$29)</f>
        <v>0</v>
      </c>
      <c r="W29" s="30">
        <f>'TE BE'!$AA$29*'TE BE'!$W$49</f>
        <v>2.858891699312641</v>
      </c>
      <c r="X29" s="30">
        <f>SUM($W$29:$W$29)</f>
        <v>2.858891699312641</v>
      </c>
      <c r="Y29" s="30">
        <f>'TE BE'!$Y$29*'TE BE'!$Y$49</f>
        <v>0</v>
      </c>
      <c r="Z29" s="30">
        <f>SUM($Y$29:$Y$29)</f>
        <v>0</v>
      </c>
      <c r="AA29" s="30">
        <f>SUMIF($L$4:$Z$4,"SUBTOTAL",$L$29:$Z$29)</f>
        <v>-9.981520046384917</v>
      </c>
    </row>
    <row r="30" spans="1:27" ht="11.25" customHeight="1" x14ac:dyDescent="0.25">
      <c r="A30" s="136"/>
      <c r="B30" s="136"/>
      <c r="C30" s="136"/>
      <c r="D30" s="136"/>
      <c r="E30" s="136"/>
      <c r="F30" s="136"/>
      <c r="G30" s="32" t="s">
        <v>83</v>
      </c>
      <c r="H30" s="32" t="s">
        <v>69</v>
      </c>
      <c r="I30" s="32">
        <f>'MERCADO TE'!$U$27</f>
        <v>0</v>
      </c>
      <c r="J30" s="17"/>
      <c r="L30" s="30">
        <f>'TE BE'!$L$30*'TE BE'!$L$49</f>
        <v>0</v>
      </c>
      <c r="M30" s="30">
        <f>'TE BE'!$M$30*'TE BE'!$M$49</f>
        <v>0</v>
      </c>
      <c r="N30" s="30">
        <f>'TE BE'!$N$30*'TE BE'!$N$49</f>
        <v>0</v>
      </c>
      <c r="O30" s="30">
        <f>'TE BE'!$O$30*'TE BE'!$O$49</f>
        <v>0</v>
      </c>
      <c r="P30" s="30">
        <f>SUM($L$30:$O$30)</f>
        <v>0</v>
      </c>
      <c r="Q30" s="30">
        <f>'TE BE'!$Q$30*'TE BE'!$Q$49</f>
        <v>-12.840411745697558</v>
      </c>
      <c r="R30" s="30">
        <f>SUM($Q$30:$Q$30)</f>
        <v>-12.840411745697558</v>
      </c>
      <c r="S30" s="30">
        <f>'TE BE'!$S$30*'TE BE'!$S$49</f>
        <v>0</v>
      </c>
      <c r="T30" s="30">
        <f>'TE BE'!$T$30*'TE BE'!$T$49</f>
        <v>0</v>
      </c>
      <c r="U30" s="30">
        <f>'TE BE'!$U$30*'TE BE'!$U$49</f>
        <v>0</v>
      </c>
      <c r="V30" s="30">
        <f>SUM($S$30:$U$30)</f>
        <v>0</v>
      </c>
      <c r="W30" s="30">
        <f>'TE BE'!$AA$30*'TE BE'!$W$49</f>
        <v>2.858891699312641</v>
      </c>
      <c r="X30" s="30">
        <f>SUM($W$30:$W$30)</f>
        <v>2.858891699312641</v>
      </c>
      <c r="Y30" s="30">
        <f>'TE BE'!$Y$30*'TE BE'!$Y$49</f>
        <v>0</v>
      </c>
      <c r="Z30" s="30">
        <f>SUM($Y$30:$Y$30)</f>
        <v>0</v>
      </c>
      <c r="AA30" s="30">
        <f>SUMIF($L$4:$Z$4,"SUBTOTAL",$L$30:$Z$30)</f>
        <v>-9.981520046384917</v>
      </c>
    </row>
    <row r="31" spans="1:27" ht="11.25" customHeight="1" x14ac:dyDescent="0.25">
      <c r="A31" s="136"/>
      <c r="B31" s="136"/>
      <c r="C31" s="136"/>
      <c r="D31" s="136"/>
      <c r="E31" s="136"/>
      <c r="F31" s="136"/>
      <c r="G31" s="32" t="s">
        <v>71</v>
      </c>
      <c r="H31" s="32" t="s">
        <v>69</v>
      </c>
      <c r="I31" s="32">
        <f>'MERCADO TE'!$U$28</f>
        <v>0</v>
      </c>
      <c r="J31" s="17"/>
      <c r="L31" s="30">
        <f>'TE BE'!$L$31*'TE BE'!$L$49</f>
        <v>0</v>
      </c>
      <c r="M31" s="30">
        <f>'TE BE'!$M$31*'TE BE'!$M$49</f>
        <v>0</v>
      </c>
      <c r="N31" s="30">
        <f>'TE BE'!$N$31*'TE BE'!$N$49</f>
        <v>0</v>
      </c>
      <c r="O31" s="30">
        <f>'TE BE'!$O$31*'TE BE'!$O$49</f>
        <v>0</v>
      </c>
      <c r="P31" s="30">
        <f>SUM($L$31:$O$31)</f>
        <v>0</v>
      </c>
      <c r="Q31" s="30">
        <f>'TE BE'!$Q$31*'TE BE'!$Q$49</f>
        <v>-12.840411745697558</v>
      </c>
      <c r="R31" s="30">
        <f>SUM($Q$31:$Q$31)</f>
        <v>-12.840411745697558</v>
      </c>
      <c r="S31" s="30">
        <f>'TE BE'!$S$31*'TE BE'!$S$49</f>
        <v>0</v>
      </c>
      <c r="T31" s="30">
        <f>'TE BE'!$T$31*'TE BE'!$T$49</f>
        <v>0</v>
      </c>
      <c r="U31" s="30">
        <f>'TE BE'!$U$31*'TE BE'!$U$49</f>
        <v>0</v>
      </c>
      <c r="V31" s="30">
        <f>SUM($S$31:$U$31)</f>
        <v>0</v>
      </c>
      <c r="W31" s="30">
        <f>'TE BE'!$AA$31*'TE BE'!$W$49</f>
        <v>2.858891699312641</v>
      </c>
      <c r="X31" s="30">
        <f>SUM($W$31:$W$31)</f>
        <v>2.858891699312641</v>
      </c>
      <c r="Y31" s="30">
        <f>'TE BE'!$Y$31*'TE BE'!$Y$49</f>
        <v>0</v>
      </c>
      <c r="Z31" s="30">
        <f>SUM($Y$31:$Y$31)</f>
        <v>0</v>
      </c>
      <c r="AA31" s="30">
        <f>SUMIF($L$4:$Z$4,"SUBTOTAL",$L$31:$Z$31)</f>
        <v>-9.981520046384917</v>
      </c>
    </row>
    <row r="32" spans="1:27" ht="11.25" customHeight="1" x14ac:dyDescent="0.25">
      <c r="A32" s="136"/>
      <c r="B32" s="38" t="s">
        <v>72</v>
      </c>
      <c r="C32" s="38" t="s">
        <v>42</v>
      </c>
      <c r="D32" s="38" t="s">
        <v>87</v>
      </c>
      <c r="E32" s="38" t="s">
        <v>25</v>
      </c>
      <c r="F32" s="38" t="s">
        <v>25</v>
      </c>
      <c r="G32" s="32" t="s">
        <v>73</v>
      </c>
      <c r="H32" s="32" t="s">
        <v>69</v>
      </c>
      <c r="I32" s="32">
        <f>'MERCADO TE'!$U$29</f>
        <v>0</v>
      </c>
      <c r="J32" s="17"/>
      <c r="L32" s="30">
        <f>'TE BE'!$L$32*'TE BE'!$L$49</f>
        <v>0</v>
      </c>
      <c r="M32" s="30">
        <f>'TE BE'!$M$32*'TE BE'!$M$49</f>
        <v>0</v>
      </c>
      <c r="N32" s="30">
        <f>'TE BE'!$N$32*'TE BE'!$N$49</f>
        <v>0</v>
      </c>
      <c r="O32" s="30">
        <f>'TE BE'!$O$32*'TE BE'!$O$49</f>
        <v>0</v>
      </c>
      <c r="P32" s="30">
        <f>SUM($L$32:$O$32)</f>
        <v>0</v>
      </c>
      <c r="Q32" s="30">
        <f>'TE BE'!$Q$32*'TE BE'!$Q$49</f>
        <v>-12.840411745697558</v>
      </c>
      <c r="R32" s="30">
        <f>SUM($Q$32:$Q$32)</f>
        <v>-12.840411745697558</v>
      </c>
      <c r="S32" s="30">
        <f>'TE BE'!$S$32*'TE BE'!$S$49</f>
        <v>0</v>
      </c>
      <c r="T32" s="30">
        <f>'TE BE'!$T$32*'TE BE'!$T$49</f>
        <v>0</v>
      </c>
      <c r="U32" s="30">
        <f>'TE BE'!$U$32*'TE BE'!$U$49</f>
        <v>0</v>
      </c>
      <c r="V32" s="30">
        <f>SUM($S$32:$U$32)</f>
        <v>0</v>
      </c>
      <c r="W32" s="30">
        <f>'TE BE'!$AA$32*'TE BE'!$W$49</f>
        <v>2.858891699312641</v>
      </c>
      <c r="X32" s="30">
        <f>SUM($W$32:$W$32)</f>
        <v>2.858891699312641</v>
      </c>
      <c r="Y32" s="30">
        <f>'TE BE'!$Y$32*'TE BE'!$Y$49</f>
        <v>0</v>
      </c>
      <c r="Z32" s="30">
        <f>SUM($Y$32:$Y$32)</f>
        <v>0</v>
      </c>
      <c r="AA32" s="30">
        <f>SUMIF($L$4:$Z$4,"SUBTOTAL",$L$32:$Z$32)</f>
        <v>-9.981520046384917</v>
      </c>
    </row>
    <row r="33" spans="1:27" ht="11.25" customHeight="1" x14ac:dyDescent="0.25">
      <c r="A33" s="136"/>
      <c r="B33" s="136" t="s">
        <v>84</v>
      </c>
      <c r="C33" s="136" t="s">
        <v>42</v>
      </c>
      <c r="D33" s="38" t="s">
        <v>25</v>
      </c>
      <c r="E33" s="38" t="s">
        <v>25</v>
      </c>
      <c r="F33" s="38" t="s">
        <v>25</v>
      </c>
      <c r="G33" s="32" t="s">
        <v>73</v>
      </c>
      <c r="H33" s="32" t="s">
        <v>69</v>
      </c>
      <c r="I33" s="32">
        <f>'MERCADO TE'!$U$30</f>
        <v>0</v>
      </c>
      <c r="J33" s="17"/>
      <c r="L33" s="30">
        <f>'TE BE'!$L$33*'TE BE'!$L$49</f>
        <v>0</v>
      </c>
      <c r="M33" s="30">
        <f>'TE BE'!$M$33*'TE BE'!$M$49</f>
        <v>0</v>
      </c>
      <c r="N33" s="30">
        <f>'TE BE'!$N$33*'TE BE'!$N$49</f>
        <v>0</v>
      </c>
      <c r="O33" s="30">
        <f>'TE BE'!$O$33*'TE BE'!$O$49</f>
        <v>0</v>
      </c>
      <c r="P33" s="30">
        <f>SUM($L$33:$O$33)</f>
        <v>0</v>
      </c>
      <c r="Q33" s="30">
        <f>'TE BE'!$Q$33*'TE BE'!$Q$49</f>
        <v>-12.840411745697558</v>
      </c>
      <c r="R33" s="30">
        <f>SUM($Q$33:$Q$33)</f>
        <v>-12.840411745697558</v>
      </c>
      <c r="S33" s="30">
        <f>'TE BE'!$S$33*'TE BE'!$S$49</f>
        <v>0</v>
      </c>
      <c r="T33" s="30">
        <f>'TE BE'!$T$33*'TE BE'!$T$49</f>
        <v>0</v>
      </c>
      <c r="U33" s="30">
        <f>'TE BE'!$U$33*'TE BE'!$U$49</f>
        <v>0</v>
      </c>
      <c r="V33" s="30">
        <f>SUM($S$33:$U$33)</f>
        <v>0</v>
      </c>
      <c r="W33" s="30">
        <f>'TE BE'!$AA$33*'TE BE'!$W$49</f>
        <v>2.858891699312641</v>
      </c>
      <c r="X33" s="30">
        <f>SUM($W$33:$W$33)</f>
        <v>2.858891699312641</v>
      </c>
      <c r="Y33" s="30">
        <f>'TE BE'!$Y$33*'TE BE'!$Y$49</f>
        <v>0</v>
      </c>
      <c r="Z33" s="30">
        <f>SUM($Y$33:$Y$33)</f>
        <v>0</v>
      </c>
      <c r="AA33" s="30">
        <f>SUMIF($L$4:$Z$4,"SUBTOTAL",$L$33:$Z$33)</f>
        <v>-9.981520046384917</v>
      </c>
    </row>
    <row r="34" spans="1:27" ht="11.25" customHeight="1" x14ac:dyDescent="0.25">
      <c r="A34" s="136"/>
      <c r="B34" s="136"/>
      <c r="C34" s="136"/>
      <c r="D34" s="38" t="s">
        <v>86</v>
      </c>
      <c r="E34" s="38" t="s">
        <v>25</v>
      </c>
      <c r="F34" s="38" t="s">
        <v>25</v>
      </c>
      <c r="G34" s="32" t="s">
        <v>73</v>
      </c>
      <c r="H34" s="32" t="s">
        <v>69</v>
      </c>
      <c r="I34" s="32">
        <f>'MERCADO TE'!$U$31</f>
        <v>0</v>
      </c>
      <c r="J34" s="17"/>
      <c r="L34" s="30">
        <f>'TE BE'!$L$34*'TE BE'!$L$49</f>
        <v>0</v>
      </c>
      <c r="M34" s="30">
        <f>'TE BE'!$M$34*'TE BE'!$M$49</f>
        <v>0</v>
      </c>
      <c r="N34" s="30">
        <f>'TE BE'!$N$34*'TE BE'!$N$49</f>
        <v>0</v>
      </c>
      <c r="O34" s="30">
        <f>'TE BE'!$O$34*'TE BE'!$O$49</f>
        <v>0</v>
      </c>
      <c r="P34" s="30">
        <f>SUM($L$34:$O$34)</f>
        <v>0</v>
      </c>
      <c r="Q34" s="30">
        <f>'TE BE'!$Q$34*'TE BE'!$Q$49</f>
        <v>-12.840411745697558</v>
      </c>
      <c r="R34" s="30">
        <f>SUM($Q$34:$Q$34)</f>
        <v>-12.840411745697558</v>
      </c>
      <c r="S34" s="30">
        <f>'TE BE'!$S$34*'TE BE'!$S$49</f>
        <v>0</v>
      </c>
      <c r="T34" s="30">
        <f>'TE BE'!$T$34*'TE BE'!$T$49</f>
        <v>0</v>
      </c>
      <c r="U34" s="30">
        <f>'TE BE'!$U$34*'TE BE'!$U$49</f>
        <v>0</v>
      </c>
      <c r="V34" s="30">
        <f>SUM($S$34:$U$34)</f>
        <v>0</v>
      </c>
      <c r="W34" s="30">
        <f>'TE BE'!$AA$34*'TE BE'!$W$49</f>
        <v>2.858891699312641</v>
      </c>
      <c r="X34" s="30">
        <f>SUM($W$34:$W$34)</f>
        <v>2.858891699312641</v>
      </c>
      <c r="Y34" s="30">
        <f>'TE BE'!$Y$34*'TE BE'!$Y$49</f>
        <v>0</v>
      </c>
      <c r="Z34" s="30">
        <f>SUM($Y$34:$Y$34)</f>
        <v>0</v>
      </c>
      <c r="AA34" s="30">
        <f>SUMIF($L$4:$Z$4,"SUBTOTAL",$L$34:$Z$34)</f>
        <v>-9.981520046384917</v>
      </c>
    </row>
    <row r="35" spans="1:27" ht="11.25" customHeight="1" x14ac:dyDescent="0.25">
      <c r="A35" s="136"/>
      <c r="B35" s="136"/>
      <c r="C35" s="136"/>
      <c r="D35" s="38" t="s">
        <v>87</v>
      </c>
      <c r="E35" s="38" t="s">
        <v>25</v>
      </c>
      <c r="F35" s="38" t="s">
        <v>25</v>
      </c>
      <c r="G35" s="32" t="s">
        <v>73</v>
      </c>
      <c r="H35" s="32" t="s">
        <v>69</v>
      </c>
      <c r="I35" s="32">
        <f>'MERCADO TE'!$U$32</f>
        <v>0</v>
      </c>
      <c r="J35" s="17"/>
      <c r="L35" s="30">
        <f>'TE BE'!$L$35*'TE BE'!$L$49</f>
        <v>0</v>
      </c>
      <c r="M35" s="30">
        <f>'TE BE'!$M$35*'TE BE'!$M$49</f>
        <v>0</v>
      </c>
      <c r="N35" s="30">
        <f>'TE BE'!$N$35*'TE BE'!$N$49</f>
        <v>0</v>
      </c>
      <c r="O35" s="30">
        <f>'TE BE'!$O$35*'TE BE'!$O$49</f>
        <v>0</v>
      </c>
      <c r="P35" s="30">
        <f>SUM($L$35:$O$35)</f>
        <v>0</v>
      </c>
      <c r="Q35" s="30">
        <f>'TE BE'!$Q$35*'TE BE'!$Q$49</f>
        <v>-12.840411745697558</v>
      </c>
      <c r="R35" s="30">
        <f>SUM($Q$35:$Q$35)</f>
        <v>-12.840411745697558</v>
      </c>
      <c r="S35" s="30">
        <f>'TE BE'!$S$35*'TE BE'!$S$49</f>
        <v>0</v>
      </c>
      <c r="T35" s="30">
        <f>'TE BE'!$T$35*'TE BE'!$T$49</f>
        <v>0</v>
      </c>
      <c r="U35" s="30">
        <f>'TE BE'!$U$35*'TE BE'!$U$49</f>
        <v>0</v>
      </c>
      <c r="V35" s="30">
        <f>SUM($S$35:$U$35)</f>
        <v>0</v>
      </c>
      <c r="W35" s="30">
        <f>'TE BE'!$AA$35*'TE BE'!$W$49</f>
        <v>2.858891699312641</v>
      </c>
      <c r="X35" s="30">
        <f>SUM($W$35:$W$35)</f>
        <v>2.858891699312641</v>
      </c>
      <c r="Y35" s="30">
        <f>'TE BE'!$Y$35*'TE BE'!$Y$49</f>
        <v>0</v>
      </c>
      <c r="Z35" s="30">
        <f>SUM($Y$35:$Y$35)</f>
        <v>0</v>
      </c>
      <c r="AA35" s="30">
        <f>SUMIF($L$4:$Z$4,"SUBTOTAL",$L$35:$Z$35)</f>
        <v>-9.981520046384917</v>
      </c>
    </row>
    <row r="36" spans="1:27" ht="11.25" customHeight="1" x14ac:dyDescent="0.25">
      <c r="A36" s="136" t="s">
        <v>32</v>
      </c>
      <c r="B36" s="136" t="s">
        <v>68</v>
      </c>
      <c r="C36" s="136" t="s">
        <v>25</v>
      </c>
      <c r="D36" s="136" t="s">
        <v>25</v>
      </c>
      <c r="E36" s="136" t="s">
        <v>25</v>
      </c>
      <c r="F36" s="136" t="s">
        <v>25</v>
      </c>
      <c r="G36" s="32" t="s">
        <v>70</v>
      </c>
      <c r="H36" s="32" t="s">
        <v>69</v>
      </c>
      <c r="I36" s="32">
        <f>'MERCADO TE'!$U$33</f>
        <v>0.13600000000000001</v>
      </c>
      <c r="J36" s="17"/>
      <c r="L36" s="30">
        <f>'TE BE'!$L$36*'TE BE'!$L$49</f>
        <v>0</v>
      </c>
      <c r="M36" s="30">
        <f>'TE BE'!$M$36*'TE BE'!$M$49</f>
        <v>0</v>
      </c>
      <c r="N36" s="30">
        <f>'TE BE'!$N$36*'TE BE'!$N$49</f>
        <v>0</v>
      </c>
      <c r="O36" s="30">
        <f>'TE BE'!$O$36*'TE BE'!$O$49</f>
        <v>0</v>
      </c>
      <c r="P36" s="30">
        <f>SUM($L$36:$O$36)</f>
        <v>0</v>
      </c>
      <c r="Q36" s="30">
        <f>'TE BE'!$Q$36*'TE BE'!$Q$49</f>
        <v>-12.840411745697558</v>
      </c>
      <c r="R36" s="30">
        <f>SUM($Q$36:$Q$36)</f>
        <v>-12.840411745697558</v>
      </c>
      <c r="S36" s="30">
        <f>'TE BE'!$S$36*'TE BE'!$S$49</f>
        <v>0</v>
      </c>
      <c r="T36" s="30">
        <f>'TE BE'!$T$36*'TE BE'!$T$49</f>
        <v>0</v>
      </c>
      <c r="U36" s="30">
        <f>'TE BE'!$U$36*'TE BE'!$U$49</f>
        <v>0</v>
      </c>
      <c r="V36" s="30">
        <f>SUM($S$36:$U$36)</f>
        <v>0</v>
      </c>
      <c r="W36" s="30">
        <f>'TE BE'!$AA$36*'TE BE'!$W$49</f>
        <v>2.858891699312641</v>
      </c>
      <c r="X36" s="30">
        <f>SUM($W$36:$W$36)</f>
        <v>2.858891699312641</v>
      </c>
      <c r="Y36" s="30">
        <f>'TE BE'!$Y$36*'TE BE'!$Y$49</f>
        <v>0</v>
      </c>
      <c r="Z36" s="30">
        <f>SUM($Y$36:$Y$36)</f>
        <v>0</v>
      </c>
      <c r="AA36" s="30">
        <f>SUMIF($L$4:$Z$4,"SUBTOTAL",$L$36:$Z$36)</f>
        <v>-9.981520046384917</v>
      </c>
    </row>
    <row r="37" spans="1:27" ht="11.25" customHeight="1" x14ac:dyDescent="0.25">
      <c r="A37" s="136"/>
      <c r="B37" s="136"/>
      <c r="C37" s="136"/>
      <c r="D37" s="136"/>
      <c r="E37" s="136"/>
      <c r="F37" s="136"/>
      <c r="G37" s="32" t="s">
        <v>83</v>
      </c>
      <c r="H37" s="32" t="s">
        <v>69</v>
      </c>
      <c r="I37" s="32">
        <f>'MERCADO TE'!$U$34</f>
        <v>0.16400000000000003</v>
      </c>
      <c r="J37" s="17"/>
      <c r="L37" s="30">
        <f>'TE BE'!$L$37*'TE BE'!$L$49</f>
        <v>0</v>
      </c>
      <c r="M37" s="30">
        <f>'TE BE'!$M$37*'TE BE'!$M$49</f>
        <v>0</v>
      </c>
      <c r="N37" s="30">
        <f>'TE BE'!$N$37*'TE BE'!$N$49</f>
        <v>0</v>
      </c>
      <c r="O37" s="30">
        <f>'TE BE'!$O$37*'TE BE'!$O$49</f>
        <v>0</v>
      </c>
      <c r="P37" s="30">
        <f>SUM($L$37:$O$37)</f>
        <v>0</v>
      </c>
      <c r="Q37" s="30">
        <f>'TE BE'!$Q$37*'TE BE'!$Q$49</f>
        <v>-12.840411745697558</v>
      </c>
      <c r="R37" s="30">
        <f>SUM($Q$37:$Q$37)</f>
        <v>-12.840411745697558</v>
      </c>
      <c r="S37" s="30">
        <f>'TE BE'!$S$37*'TE BE'!$S$49</f>
        <v>0</v>
      </c>
      <c r="T37" s="30">
        <f>'TE BE'!$T$37*'TE BE'!$T$49</f>
        <v>0</v>
      </c>
      <c r="U37" s="30">
        <f>'TE BE'!$U$37*'TE BE'!$U$49</f>
        <v>0</v>
      </c>
      <c r="V37" s="30">
        <f>SUM($S$37:$U$37)</f>
        <v>0</v>
      </c>
      <c r="W37" s="30">
        <f>'TE BE'!$AA$37*'TE BE'!$W$49</f>
        <v>2.858891699312641</v>
      </c>
      <c r="X37" s="30">
        <f>SUM($W$37:$W$37)</f>
        <v>2.858891699312641</v>
      </c>
      <c r="Y37" s="30">
        <f>'TE BE'!$Y$37*'TE BE'!$Y$49</f>
        <v>0</v>
      </c>
      <c r="Z37" s="30">
        <f>SUM($Y$37:$Y$37)</f>
        <v>0</v>
      </c>
      <c r="AA37" s="30">
        <f>SUMIF($L$4:$Z$4,"SUBTOTAL",$L$37:$Z$37)</f>
        <v>-9.981520046384917</v>
      </c>
    </row>
    <row r="38" spans="1:27" ht="11.25" customHeight="1" x14ac:dyDescent="0.25">
      <c r="A38" s="136"/>
      <c r="B38" s="136"/>
      <c r="C38" s="136"/>
      <c r="D38" s="136"/>
      <c r="E38" s="136"/>
      <c r="F38" s="136"/>
      <c r="G38" s="32" t="s">
        <v>71</v>
      </c>
      <c r="H38" s="32" t="s">
        <v>69</v>
      </c>
      <c r="I38" s="32">
        <f>'MERCADO TE'!$U$35</f>
        <v>5.0719999999999992</v>
      </c>
      <c r="J38" s="17"/>
      <c r="L38" s="30">
        <f>'TE BE'!$L$38*'TE BE'!$L$49</f>
        <v>0</v>
      </c>
      <c r="M38" s="30">
        <f>'TE BE'!$M$38*'TE BE'!$M$49</f>
        <v>0</v>
      </c>
      <c r="N38" s="30">
        <f>'TE BE'!$N$38*'TE BE'!$N$49</f>
        <v>0</v>
      </c>
      <c r="O38" s="30">
        <f>'TE BE'!$O$38*'TE BE'!$O$49</f>
        <v>0</v>
      </c>
      <c r="P38" s="30">
        <f>SUM($L$38:$O$38)</f>
        <v>0</v>
      </c>
      <c r="Q38" s="30">
        <f>'TE BE'!$Q$38*'TE BE'!$Q$49</f>
        <v>-12.840411745697558</v>
      </c>
      <c r="R38" s="30">
        <f>SUM($Q$38:$Q$38)</f>
        <v>-12.840411745697558</v>
      </c>
      <c r="S38" s="30">
        <f>'TE BE'!$S$38*'TE BE'!$S$49</f>
        <v>0</v>
      </c>
      <c r="T38" s="30">
        <f>'TE BE'!$T$38*'TE BE'!$T$49</f>
        <v>0</v>
      </c>
      <c r="U38" s="30">
        <f>'TE BE'!$U$38*'TE BE'!$U$49</f>
        <v>0</v>
      </c>
      <c r="V38" s="30">
        <f>SUM($S$38:$U$38)</f>
        <v>0</v>
      </c>
      <c r="W38" s="30">
        <f>'TE BE'!$AA$38*'TE BE'!$W$49</f>
        <v>2.858891699312641</v>
      </c>
      <c r="X38" s="30">
        <f>SUM($W$38:$W$38)</f>
        <v>2.858891699312641</v>
      </c>
      <c r="Y38" s="30">
        <f>'TE BE'!$Y$38*'TE BE'!$Y$49</f>
        <v>0</v>
      </c>
      <c r="Z38" s="30">
        <f>SUM($Y$38:$Y$38)</f>
        <v>0</v>
      </c>
      <c r="AA38" s="30">
        <f>SUMIF($L$4:$Z$4,"SUBTOTAL",$L$38:$Z$38)</f>
        <v>-9.981520046384917</v>
      </c>
    </row>
    <row r="39" spans="1:27" ht="11.25" customHeight="1" x14ac:dyDescent="0.25">
      <c r="A39" s="136"/>
      <c r="B39" s="38" t="s">
        <v>72</v>
      </c>
      <c r="C39" s="38" t="s">
        <v>25</v>
      </c>
      <c r="D39" s="38" t="s">
        <v>25</v>
      </c>
      <c r="E39" s="38" t="s">
        <v>25</v>
      </c>
      <c r="F39" s="38" t="s">
        <v>25</v>
      </c>
      <c r="G39" s="32" t="s">
        <v>73</v>
      </c>
      <c r="H39" s="32" t="s">
        <v>69</v>
      </c>
      <c r="I39" s="32">
        <f>'MERCADO TE'!$U$36</f>
        <v>1791.422</v>
      </c>
      <c r="J39" s="17"/>
      <c r="L39" s="30">
        <f>'TE BE'!$L$39*'TE BE'!$L$49</f>
        <v>0</v>
      </c>
      <c r="M39" s="30">
        <f>'TE BE'!$M$39*'TE BE'!$M$49</f>
        <v>0</v>
      </c>
      <c r="N39" s="30">
        <f>'TE BE'!$N$39*'TE BE'!$N$49</f>
        <v>0</v>
      </c>
      <c r="O39" s="30">
        <f>'TE BE'!$O$39*'TE BE'!$O$49</f>
        <v>0</v>
      </c>
      <c r="P39" s="30">
        <f>SUM($L$39:$O$39)</f>
        <v>0</v>
      </c>
      <c r="Q39" s="30">
        <f>'TE BE'!$Q$39*'TE BE'!$Q$49</f>
        <v>-12.840411745697558</v>
      </c>
      <c r="R39" s="30">
        <f>SUM($Q$39:$Q$39)</f>
        <v>-12.840411745697558</v>
      </c>
      <c r="S39" s="30">
        <f>'TE BE'!$S$39*'TE BE'!$S$49</f>
        <v>0</v>
      </c>
      <c r="T39" s="30">
        <f>'TE BE'!$T$39*'TE BE'!$T$49</f>
        <v>0</v>
      </c>
      <c r="U39" s="30">
        <f>'TE BE'!$U$39*'TE BE'!$U$49</f>
        <v>0</v>
      </c>
      <c r="V39" s="30">
        <f>SUM($S$39:$U$39)</f>
        <v>0</v>
      </c>
      <c r="W39" s="30">
        <f>'TE BE'!$AA$39*'TE BE'!$W$49</f>
        <v>2.858891699312641</v>
      </c>
      <c r="X39" s="30">
        <f>SUM($W$39:$W$39)</f>
        <v>2.858891699312641</v>
      </c>
      <c r="Y39" s="30">
        <f>'TE BE'!$Y$39*'TE BE'!$Y$49</f>
        <v>0</v>
      </c>
      <c r="Z39" s="30">
        <f>SUM($Y$39:$Y$39)</f>
        <v>0</v>
      </c>
      <c r="AA39" s="30">
        <f>SUMIF($L$4:$Z$4,"SUBTOTAL",$L$39:$Z$39)</f>
        <v>-9.981520046384917</v>
      </c>
    </row>
    <row r="40" spans="1:27" ht="11.25" customHeight="1" x14ac:dyDescent="0.25">
      <c r="A40" s="136"/>
      <c r="B40" s="38" t="s">
        <v>84</v>
      </c>
      <c r="C40" s="38" t="s">
        <v>25</v>
      </c>
      <c r="D40" s="38" t="s">
        <v>25</v>
      </c>
      <c r="E40" s="38" t="s">
        <v>25</v>
      </c>
      <c r="F40" s="38" t="s">
        <v>25</v>
      </c>
      <c r="G40" s="32" t="s">
        <v>73</v>
      </c>
      <c r="H40" s="32" t="s">
        <v>69</v>
      </c>
      <c r="I40" s="32">
        <f>'MERCADO TE'!$U$37</f>
        <v>0</v>
      </c>
      <c r="J40" s="17"/>
      <c r="L40" s="30">
        <f>'TE BE'!$L$40*'TE BE'!$L$49</f>
        <v>0</v>
      </c>
      <c r="M40" s="30">
        <f>'TE BE'!$M$40*'TE BE'!$M$49</f>
        <v>0</v>
      </c>
      <c r="N40" s="30">
        <f>'TE BE'!$N$40*'TE BE'!$N$49</f>
        <v>0</v>
      </c>
      <c r="O40" s="30">
        <f>'TE BE'!$O$40*'TE BE'!$O$49</f>
        <v>0</v>
      </c>
      <c r="P40" s="30">
        <f>SUM($L$40:$O$40)</f>
        <v>0</v>
      </c>
      <c r="Q40" s="30">
        <f>'TE BE'!$Q$40*'TE BE'!$Q$49</f>
        <v>-12.840411745697558</v>
      </c>
      <c r="R40" s="30">
        <f>SUM($Q$40:$Q$40)</f>
        <v>-12.840411745697558</v>
      </c>
      <c r="S40" s="30">
        <f>'TE BE'!$S$40*'TE BE'!$S$49</f>
        <v>0</v>
      </c>
      <c r="T40" s="30">
        <f>'TE BE'!$T$40*'TE BE'!$T$49</f>
        <v>0</v>
      </c>
      <c r="U40" s="30">
        <f>'TE BE'!$U$40*'TE BE'!$U$49</f>
        <v>0</v>
      </c>
      <c r="V40" s="30">
        <f>SUM($S$40:$U$40)</f>
        <v>0</v>
      </c>
      <c r="W40" s="30">
        <f>'TE BE'!$AA$40*'TE BE'!$W$49</f>
        <v>2.858891699312641</v>
      </c>
      <c r="X40" s="30">
        <f>SUM($W$40:$W$40)</f>
        <v>2.858891699312641</v>
      </c>
      <c r="Y40" s="30">
        <f>'TE BE'!$Y$40*'TE BE'!$Y$49</f>
        <v>0</v>
      </c>
      <c r="Z40" s="30">
        <f>SUM($Y$40:$Y$40)</f>
        <v>0</v>
      </c>
      <c r="AA40" s="30">
        <f>SUMIF($L$4:$Z$4,"SUBTOTAL",$L$40:$Z$40)</f>
        <v>-9.981520046384917</v>
      </c>
    </row>
    <row r="41" spans="1:27" ht="11.25" customHeight="1" x14ac:dyDescent="0.25">
      <c r="A41" s="136" t="s">
        <v>44</v>
      </c>
      <c r="B41" s="136" t="s">
        <v>72</v>
      </c>
      <c r="C41" s="136" t="s">
        <v>45</v>
      </c>
      <c r="D41" s="38" t="s">
        <v>46</v>
      </c>
      <c r="E41" s="38" t="s">
        <v>25</v>
      </c>
      <c r="F41" s="38" t="s">
        <v>25</v>
      </c>
      <c r="G41" s="32" t="s">
        <v>73</v>
      </c>
      <c r="H41" s="32" t="s">
        <v>69</v>
      </c>
      <c r="I41" s="32">
        <f>'MERCADO TE'!$U$38</f>
        <v>1518.0680000000002</v>
      </c>
      <c r="J41" s="17"/>
      <c r="L41" s="30">
        <f>'TE BE'!$L$41*'TE BE'!$L$49</f>
        <v>0</v>
      </c>
      <c r="M41" s="30">
        <f>'TE BE'!$M$41*'TE BE'!$M$49</f>
        <v>0</v>
      </c>
      <c r="N41" s="30">
        <f>'TE BE'!$N$41*'TE BE'!$N$49</f>
        <v>0</v>
      </c>
      <c r="O41" s="30">
        <f>'TE BE'!$O$41*'TE BE'!$O$49</f>
        <v>0</v>
      </c>
      <c r="P41" s="30">
        <f>SUM($L$41:$O$41)</f>
        <v>0</v>
      </c>
      <c r="Q41" s="30">
        <f>'TE BE'!$Q$41*'TE BE'!$Q$49</f>
        <v>-7.0622264601336573</v>
      </c>
      <c r="R41" s="30">
        <f>SUM($Q$41:$Q$41)</f>
        <v>-7.0622264601336573</v>
      </c>
      <c r="S41" s="30">
        <f>'TE BE'!$S$41*'TE BE'!$S$49</f>
        <v>0</v>
      </c>
      <c r="T41" s="30">
        <f>'TE BE'!$T$41*'TE BE'!$T$49</f>
        <v>0</v>
      </c>
      <c r="U41" s="30">
        <f>'TE BE'!$U$41*'TE BE'!$U$49</f>
        <v>0</v>
      </c>
      <c r="V41" s="30">
        <f>SUM($S$41:$U$41)</f>
        <v>0</v>
      </c>
      <c r="W41" s="30">
        <f>'TE BE'!$AA$41*'TE BE'!$W$49</f>
        <v>1.5723904346219526</v>
      </c>
      <c r="X41" s="30">
        <f>SUM($W$41:$W$41)</f>
        <v>1.5723904346219526</v>
      </c>
      <c r="Y41" s="30">
        <f>'TE BE'!$Y$41*'TE BE'!$Y$49</f>
        <v>0</v>
      </c>
      <c r="Z41" s="30">
        <f>SUM($Y$41:$Y$41)</f>
        <v>0</v>
      </c>
      <c r="AA41" s="30">
        <f>SUMIF($L$4:$Z$4,"SUBTOTAL",$L$41:$Z$41)</f>
        <v>-5.4898360255117051</v>
      </c>
    </row>
    <row r="42" spans="1:27" ht="11.25" customHeight="1" x14ac:dyDescent="0.25">
      <c r="A42" s="136"/>
      <c r="B42" s="136"/>
      <c r="C42" s="136"/>
      <c r="D42" s="32" t="s">
        <v>88</v>
      </c>
      <c r="E42" s="32" t="s">
        <v>25</v>
      </c>
      <c r="F42" s="32" t="s">
        <v>25</v>
      </c>
      <c r="G42" s="32" t="s">
        <v>73</v>
      </c>
      <c r="H42" s="32" t="s">
        <v>69</v>
      </c>
      <c r="I42" s="32">
        <f>'MERCADO TE'!$U$39</f>
        <v>0</v>
      </c>
      <c r="J42" s="17"/>
      <c r="L42" s="30">
        <f>'TE BE'!$L$42*'TE BE'!$L$49</f>
        <v>0</v>
      </c>
      <c r="M42" s="30">
        <f>'TE BE'!$M$42*'TE BE'!$M$49</f>
        <v>0</v>
      </c>
      <c r="N42" s="30">
        <f>'TE BE'!$N$42*'TE BE'!$N$49</f>
        <v>0</v>
      </c>
      <c r="O42" s="30">
        <f>'TE BE'!$O$42*'TE BE'!$O$49</f>
        <v>0</v>
      </c>
      <c r="P42" s="30">
        <f>SUM($L$42:$O$42)</f>
        <v>0</v>
      </c>
      <c r="Q42" s="30">
        <f>'TE BE'!$Q$42*'TE BE'!$Q$49</f>
        <v>-7.7042470474185345</v>
      </c>
      <c r="R42" s="30">
        <f>SUM($Q$42:$Q$42)</f>
        <v>-7.7042470474185345</v>
      </c>
      <c r="S42" s="30">
        <f>'TE BE'!$S$42*'TE BE'!$S$49</f>
        <v>0</v>
      </c>
      <c r="T42" s="30">
        <f>'TE BE'!$T$42*'TE BE'!$T$49</f>
        <v>0</v>
      </c>
      <c r="U42" s="30">
        <f>'TE BE'!$U$42*'TE BE'!$U$49</f>
        <v>0</v>
      </c>
      <c r="V42" s="30">
        <f>SUM($S$42:$U$42)</f>
        <v>0</v>
      </c>
      <c r="W42" s="30">
        <f>'TE BE'!$AA$42*'TE BE'!$W$49</f>
        <v>1.7153350195875847</v>
      </c>
      <c r="X42" s="30">
        <f>SUM($W$42:$W$42)</f>
        <v>1.7153350195875847</v>
      </c>
      <c r="Y42" s="30">
        <f>'TE BE'!$Y$42*'TE BE'!$Y$49</f>
        <v>0</v>
      </c>
      <c r="Z42" s="30">
        <f>SUM($Y$42:$Y$42)</f>
        <v>0</v>
      </c>
      <c r="AA42" s="30">
        <f>SUMIF($L$4:$Z$4,"SUBTOTAL",$L$42:$Z$42)</f>
        <v>-5.98891202783095</v>
      </c>
    </row>
    <row r="44" spans="1:27" ht="11.25" customHeight="1" x14ac:dyDescent="0.25">
      <c r="K44" s="37" t="s">
        <v>630</v>
      </c>
      <c r="L44" s="30">
        <f t="shared" ref="L44:AA44" si="0">SUMPRODUCT($I$5:$I$42,L$5:L$42)</f>
        <v>0</v>
      </c>
      <c r="M44" s="30">
        <f t="shared" si="0"/>
        <v>0</v>
      </c>
      <c r="N44" s="30">
        <f t="shared" si="0"/>
        <v>0</v>
      </c>
      <c r="O44" s="30">
        <f t="shared" si="0"/>
        <v>0</v>
      </c>
      <c r="P44" s="30">
        <f t="shared" si="0"/>
        <v>0</v>
      </c>
      <c r="Q44" s="30">
        <f t="shared" si="0"/>
        <v>-135306.5116078635</v>
      </c>
      <c r="R44" s="30">
        <f t="shared" si="0"/>
        <v>-135306.5116078635</v>
      </c>
      <c r="S44" s="30">
        <f t="shared" si="0"/>
        <v>0</v>
      </c>
      <c r="T44" s="30">
        <f t="shared" si="0"/>
        <v>0</v>
      </c>
      <c r="U44" s="30">
        <f t="shared" si="0"/>
        <v>0</v>
      </c>
      <c r="V44" s="30">
        <f t="shared" si="0"/>
        <v>0</v>
      </c>
      <c r="W44" s="30">
        <f t="shared" si="0"/>
        <v>30125.721087431997</v>
      </c>
      <c r="X44" s="30">
        <f t="shared" si="0"/>
        <v>30125.721087431997</v>
      </c>
      <c r="Y44" s="30">
        <f t="shared" si="0"/>
        <v>0</v>
      </c>
      <c r="Z44" s="30">
        <f t="shared" si="0"/>
        <v>0</v>
      </c>
      <c r="AA44" s="30">
        <f t="shared" si="0"/>
        <v>-105180.79052043147</v>
      </c>
    </row>
    <row r="45" spans="1:27" ht="11.25" customHeight="1" x14ac:dyDescent="0.25">
      <c r="K45" s="37" t="s">
        <v>549</v>
      </c>
      <c r="L45" s="30">
        <f>CUSTOS!$D$30</f>
        <v>0</v>
      </c>
      <c r="M45" s="30">
        <f>CUSTOS!$D$31</f>
        <v>0</v>
      </c>
      <c r="N45" s="30">
        <f>CUSTOS!$D$32</f>
        <v>0</v>
      </c>
      <c r="O45" s="30">
        <f>CUSTOS!$D$33</f>
        <v>0</v>
      </c>
      <c r="P45" s="30">
        <f>CUSTOS!$D$34</f>
        <v>0</v>
      </c>
      <c r="Q45" s="30">
        <f>CUSTOS!$D$35</f>
        <v>2810087.9282794264</v>
      </c>
      <c r="R45" s="30">
        <f>CUSTOS!$D$36</f>
        <v>2810087.9282794264</v>
      </c>
      <c r="S45" s="30">
        <f>CUSTOS!$D$37</f>
        <v>0</v>
      </c>
      <c r="T45" s="30">
        <f>CUSTOS!$D$38</f>
        <v>0</v>
      </c>
      <c r="U45" s="30">
        <f>CUSTOS!$D$39</f>
        <v>0</v>
      </c>
      <c r="V45" s="30">
        <f>CUSTOS!$D$40</f>
        <v>0</v>
      </c>
      <c r="W45" s="30">
        <f>CUSTOS!$D$41</f>
        <v>0</v>
      </c>
      <c r="X45" s="30">
        <f>CUSTOS!$D$42</f>
        <v>0</v>
      </c>
      <c r="Y45" s="30">
        <f>CUSTOS!$D$43</f>
        <v>0</v>
      </c>
      <c r="Z45" s="30">
        <f>CUSTOS!$D$44</f>
        <v>0</v>
      </c>
      <c r="AA45" s="30">
        <f>CUSTOS!$D$45</f>
        <v>2810087.9282794264</v>
      </c>
    </row>
    <row r="46" spans="1:27" ht="11.25" customHeight="1" x14ac:dyDescent="0.25">
      <c r="K46" s="37" t="s">
        <v>550</v>
      </c>
      <c r="L46" s="30">
        <f>CUSTOS!$E$30</f>
        <v>0</v>
      </c>
      <c r="M46" s="30">
        <f>CUSTOS!$E$31</f>
        <v>0</v>
      </c>
      <c r="N46" s="30">
        <f>CUSTOS!$E$32</f>
        <v>0</v>
      </c>
      <c r="O46" s="30">
        <f>CUSTOS!$E$33</f>
        <v>0</v>
      </c>
      <c r="P46" s="30">
        <f>CUSTOS!$E$34</f>
        <v>0</v>
      </c>
      <c r="Q46" s="30">
        <f>CUSTOS!$E$35</f>
        <v>-135306.5116078635</v>
      </c>
      <c r="R46" s="30">
        <f>CUSTOS!$E$36</f>
        <v>-135306.5116078635</v>
      </c>
      <c r="S46" s="30">
        <f>CUSTOS!$E$37</f>
        <v>0</v>
      </c>
      <c r="T46" s="30">
        <f>CUSTOS!$E$38</f>
        <v>0</v>
      </c>
      <c r="U46" s="30">
        <f>CUSTOS!$E$39</f>
        <v>0</v>
      </c>
      <c r="V46" s="30">
        <f>CUSTOS!$E$40</f>
        <v>0</v>
      </c>
      <c r="W46" s="30">
        <f>CUSTOS!$E$41</f>
        <v>30125.721087432001</v>
      </c>
      <c r="X46" s="30">
        <f>CUSTOS!$E$42</f>
        <v>30125.721087432001</v>
      </c>
      <c r="Y46" s="30">
        <f>CUSTOS!$E$43</f>
        <v>0</v>
      </c>
      <c r="Z46" s="30">
        <f>CUSTOS!$E$44</f>
        <v>0</v>
      </c>
      <c r="AA46" s="30">
        <f>CUSTOS!$E$45</f>
        <v>-105180.7905204315</v>
      </c>
    </row>
    <row r="47" spans="1:27" ht="11.25" customHeight="1" x14ac:dyDescent="0.25">
      <c r="K47" s="37" t="s">
        <v>551</v>
      </c>
      <c r="L47" s="30">
        <f>CUSTOS!$F$30</f>
        <v>0</v>
      </c>
      <c r="M47" s="30">
        <f>CUSTOS!$F$31</f>
        <v>0</v>
      </c>
      <c r="N47" s="30">
        <f>CUSTOS!$F$32</f>
        <v>0</v>
      </c>
      <c r="O47" s="30">
        <f>CUSTOS!$F$33</f>
        <v>0</v>
      </c>
      <c r="P47" s="30">
        <f>CUSTOS!$F$34</f>
        <v>0</v>
      </c>
      <c r="Q47" s="30">
        <f>CUSTOS!$F$35</f>
        <v>0</v>
      </c>
      <c r="R47" s="30">
        <f>CUSTOS!$F$36</f>
        <v>0</v>
      </c>
      <c r="S47" s="30">
        <f>CUSTOS!$F$37</f>
        <v>0</v>
      </c>
      <c r="T47" s="30">
        <f>CUSTOS!$F$38</f>
        <v>0</v>
      </c>
      <c r="U47" s="30">
        <f>CUSTOS!$F$39</f>
        <v>0</v>
      </c>
      <c r="V47" s="30">
        <f>CUSTOS!$F$40</f>
        <v>0</v>
      </c>
      <c r="W47" s="30">
        <f>CUSTOS!$F$41</f>
        <v>0</v>
      </c>
      <c r="X47" s="30">
        <f>CUSTOS!$F$42</f>
        <v>0</v>
      </c>
      <c r="Y47" s="30">
        <f>CUSTOS!$F$43</f>
        <v>0</v>
      </c>
      <c r="Z47" s="30">
        <f>CUSTOS!$F$44</f>
        <v>0</v>
      </c>
      <c r="AA47" s="30">
        <f>CUSTOS!$F$45</f>
        <v>0</v>
      </c>
    </row>
    <row r="48" spans="1:27" ht="11.25" customHeight="1" x14ac:dyDescent="0.25">
      <c r="K48" s="37" t="s">
        <v>631</v>
      </c>
      <c r="L48" s="30">
        <f>'TR TE'!$L$48*L49</f>
        <v>0</v>
      </c>
      <c r="M48" s="30">
        <f>'TR TE'!$M$48*M49</f>
        <v>0</v>
      </c>
      <c r="N48" s="30">
        <f>'TR TE'!$N$48*N49</f>
        <v>0</v>
      </c>
      <c r="O48" s="30">
        <f>'TR TE'!$O$48*O49</f>
        <v>0</v>
      </c>
      <c r="P48" s="30"/>
      <c r="Q48" s="30">
        <f>'TR TE'!$Q$48*Q49</f>
        <v>0</v>
      </c>
      <c r="R48" s="30"/>
      <c r="S48" s="30">
        <f>'TR TE'!$S$48*S49</f>
        <v>0</v>
      </c>
      <c r="T48" s="30">
        <f>'TR TE'!$T$48*T49</f>
        <v>0</v>
      </c>
      <c r="U48" s="30">
        <f>'TR TE'!$U$48*U49</f>
        <v>0</v>
      </c>
      <c r="V48" s="30"/>
      <c r="W48" s="30"/>
      <c r="X48" s="30"/>
      <c r="Y48" s="30">
        <f>'TR TE'!$Y$48*Y49</f>
        <v>0</v>
      </c>
      <c r="Z48" s="30"/>
      <c r="AA48" s="30"/>
    </row>
    <row r="49" spans="11:27" ht="11.25" customHeight="1" x14ac:dyDescent="0.25">
      <c r="K49" s="37" t="s">
        <v>626</v>
      </c>
      <c r="L49" s="30">
        <f>IF(L45&lt;&gt;0,L47/L45,0)</f>
        <v>0</v>
      </c>
      <c r="M49" s="30">
        <f>IF(M45&lt;&gt;0,M47/M45,0)</f>
        <v>0</v>
      </c>
      <c r="N49" s="30">
        <f>IF(N45&lt;&gt;0,N47/N45,0)</f>
        <v>0</v>
      </c>
      <c r="O49" s="30">
        <f>IF(O45&lt;&gt;0,O47/O45,0)</f>
        <v>0</v>
      </c>
      <c r="P49" s="30"/>
      <c r="Q49" s="30">
        <f>IF(Q45&lt;&gt;0,Q47/Q45,0)</f>
        <v>0</v>
      </c>
      <c r="R49" s="30"/>
      <c r="S49" s="30">
        <f>IF(S45&lt;&gt;0,S47/S45,0)</f>
        <v>0</v>
      </c>
      <c r="T49" s="30">
        <f>IF(T45&lt;&gt;0,T47/T45,0)</f>
        <v>0</v>
      </c>
      <c r="U49" s="30">
        <f>IF(U45&lt;&gt;0,U47/U45,0)</f>
        <v>0</v>
      </c>
      <c r="V49" s="30"/>
      <c r="W49" s="30">
        <f>IF($AA45&lt;&gt;0,W47/($AA45-SUM('TR TE'!$L48:'TR TE'!$Z48)*0),0)</f>
        <v>0</v>
      </c>
      <c r="X49" s="30"/>
      <c r="Y49" s="30">
        <f>IF(Y45&lt;&gt;0,Y47/Y45,0)</f>
        <v>0</v>
      </c>
      <c r="Z49" s="30"/>
      <c r="AA49" s="30"/>
    </row>
    <row r="50" spans="11:27" ht="11.25" customHeight="1" x14ac:dyDescent="0.25"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</row>
  </sheetData>
  <mergeCells count="61">
    <mergeCell ref="E36:E38"/>
    <mergeCell ref="F36:F38"/>
    <mergeCell ref="A41:A42"/>
    <mergeCell ref="B41:B42"/>
    <mergeCell ref="C41:C42"/>
    <mergeCell ref="D36:D38"/>
    <mergeCell ref="B33:B35"/>
    <mergeCell ref="C33:C35"/>
    <mergeCell ref="A36:A40"/>
    <mergeCell ref="B36:B38"/>
    <mergeCell ref="C36:C38"/>
    <mergeCell ref="A21:A35"/>
    <mergeCell ref="B21:B23"/>
    <mergeCell ref="C21:C23"/>
    <mergeCell ref="B29:B31"/>
    <mergeCell ref="C29:C31"/>
    <mergeCell ref="B25:B27"/>
    <mergeCell ref="C25:C27"/>
    <mergeCell ref="D29:D31"/>
    <mergeCell ref="E29:E31"/>
    <mergeCell ref="F29:F31"/>
    <mergeCell ref="D21:D23"/>
    <mergeCell ref="E21:E23"/>
    <mergeCell ref="F21:F23"/>
    <mergeCell ref="D25:D27"/>
    <mergeCell ref="E25:E27"/>
    <mergeCell ref="F25:F27"/>
    <mergeCell ref="A8:A20"/>
    <mergeCell ref="B8:B10"/>
    <mergeCell ref="C8:C10"/>
    <mergeCell ref="D8:D10"/>
    <mergeCell ref="E8:E10"/>
    <mergeCell ref="F8:F10"/>
    <mergeCell ref="B11:B15"/>
    <mergeCell ref="C11:C15"/>
    <mergeCell ref="B16:B20"/>
    <mergeCell ref="C16:C20"/>
    <mergeCell ref="Y3:Z3"/>
    <mergeCell ref="AA3:AA4"/>
    <mergeCell ref="A5:A7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A1"/>
    <mergeCell ref="L2:AA2"/>
    <mergeCell ref="L3:P3"/>
    <mergeCell ref="Q3:R3"/>
    <mergeCell ref="S3:V3"/>
    <mergeCell ref="W3:X3"/>
    <mergeCell ref="A1:A4"/>
    <mergeCell ref="B1:B4"/>
    <mergeCell ref="C1:C4"/>
    <mergeCell ref="D1:D4"/>
    <mergeCell ref="E1:E4"/>
    <mergeCell ref="F1:F4"/>
  </mergeCells>
  <conditionalFormatting sqref="L44">
    <cfRule type="cellIs" dxfId="639" priority="31" operator="notEqual">
      <formula>$L$46</formula>
    </cfRule>
    <cfRule type="cellIs" dxfId="638" priority="32" operator="equal">
      <formula>$L$46</formula>
    </cfRule>
  </conditionalFormatting>
  <conditionalFormatting sqref="M44">
    <cfRule type="cellIs" dxfId="637" priority="29" operator="notEqual">
      <formula>$M$46</formula>
    </cfRule>
    <cfRule type="cellIs" dxfId="636" priority="30" operator="equal">
      <formula>$M$46</formula>
    </cfRule>
  </conditionalFormatting>
  <conditionalFormatting sqref="N44">
    <cfRule type="cellIs" dxfId="635" priority="27" operator="notEqual">
      <formula>$N$46</formula>
    </cfRule>
    <cfRule type="cellIs" dxfId="634" priority="28" operator="equal">
      <formula>$N$46</formula>
    </cfRule>
  </conditionalFormatting>
  <conditionalFormatting sqref="O44">
    <cfRule type="cellIs" dxfId="633" priority="25" operator="notEqual">
      <formula>$O$46</formula>
    </cfRule>
    <cfRule type="cellIs" dxfId="632" priority="26" operator="equal">
      <formula>$O$46</formula>
    </cfRule>
  </conditionalFormatting>
  <conditionalFormatting sqref="P44">
    <cfRule type="cellIs" dxfId="631" priority="23" operator="notEqual">
      <formula>$P$46</formula>
    </cfRule>
    <cfRule type="cellIs" dxfId="630" priority="24" operator="equal">
      <formula>$P$46</formula>
    </cfRule>
  </conditionalFormatting>
  <conditionalFormatting sqref="Q44">
    <cfRule type="cellIs" dxfId="629" priority="21" operator="notEqual">
      <formula>$Q$46</formula>
    </cfRule>
    <cfRule type="cellIs" dxfId="628" priority="22" operator="equal">
      <formula>$Q$46</formula>
    </cfRule>
  </conditionalFormatting>
  <conditionalFormatting sqref="R44">
    <cfRule type="cellIs" dxfId="627" priority="19" operator="notEqual">
      <formula>$R$46</formula>
    </cfRule>
    <cfRule type="cellIs" dxfId="626" priority="20" operator="equal">
      <formula>$R$46</formula>
    </cfRule>
  </conditionalFormatting>
  <conditionalFormatting sqref="S44">
    <cfRule type="cellIs" dxfId="625" priority="17" operator="notEqual">
      <formula>$S$46</formula>
    </cfRule>
    <cfRule type="cellIs" dxfId="624" priority="18" operator="equal">
      <formula>$S$46</formula>
    </cfRule>
  </conditionalFormatting>
  <conditionalFormatting sqref="T44">
    <cfRule type="cellIs" dxfId="623" priority="15" operator="notEqual">
      <formula>$T$46</formula>
    </cfRule>
    <cfRule type="cellIs" dxfId="622" priority="16" operator="equal">
      <formula>$T$46</formula>
    </cfRule>
  </conditionalFormatting>
  <conditionalFormatting sqref="U44">
    <cfRule type="cellIs" dxfId="621" priority="13" operator="notEqual">
      <formula>$U$46</formula>
    </cfRule>
    <cfRule type="cellIs" dxfId="620" priority="14" operator="equal">
      <formula>$U$46</formula>
    </cfRule>
  </conditionalFormatting>
  <conditionalFormatting sqref="V44">
    <cfRule type="cellIs" dxfId="619" priority="11" operator="notEqual">
      <formula>$V$46</formula>
    </cfRule>
    <cfRule type="cellIs" dxfId="618" priority="12" operator="equal">
      <formula>$V$46</formula>
    </cfRule>
  </conditionalFormatting>
  <conditionalFormatting sqref="W44">
    <cfRule type="cellIs" dxfId="617" priority="9" operator="notEqual">
      <formula>$W$46</formula>
    </cfRule>
    <cfRule type="cellIs" dxfId="616" priority="10" operator="equal">
      <formula>$W$46</formula>
    </cfRule>
  </conditionalFormatting>
  <conditionalFormatting sqref="X44">
    <cfRule type="cellIs" dxfId="615" priority="7" operator="notEqual">
      <formula>$X$46</formula>
    </cfRule>
    <cfRule type="cellIs" dxfId="614" priority="8" operator="equal">
      <formula>$X$46</formula>
    </cfRule>
  </conditionalFormatting>
  <conditionalFormatting sqref="Y44">
    <cfRule type="cellIs" dxfId="613" priority="5" operator="notEqual">
      <formula>$Y$46</formula>
    </cfRule>
    <cfRule type="cellIs" dxfId="612" priority="6" operator="equal">
      <formula>$Y$46</formula>
    </cfRule>
  </conditionalFormatting>
  <conditionalFormatting sqref="Z44">
    <cfRule type="cellIs" dxfId="611" priority="3" operator="notEqual">
      <formula>$Z$46</formula>
    </cfRule>
    <cfRule type="cellIs" dxfId="610" priority="4" operator="equal">
      <formula>$Z$46</formula>
    </cfRule>
  </conditionalFormatting>
  <conditionalFormatting sqref="AA44">
    <cfRule type="cellIs" dxfId="609" priority="1" operator="notEqual">
      <formula>$AA$46</formula>
    </cfRule>
    <cfRule type="cellIs" dxfId="608" priority="2" operator="equal">
      <formula>$AA$46</formula>
    </cfRule>
  </conditionalFormatting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4564-0423-4A24-A2CF-4E2CCDE495C6}">
  <dimension ref="A1:AA50"/>
  <sheetViews>
    <sheetView showGridLines="0" topLeftCell="L1" workbookViewId="0">
      <selection activeCell="AA44" sqref="AA44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" style="9" bestFit="1" customWidth="1"/>
    <col min="10" max="10" width="9.140625" style="9"/>
    <col min="11" max="11" width="14.28515625" style="9" bestFit="1" customWidth="1"/>
    <col min="12" max="14" width="7.85546875" style="9" bestFit="1" customWidth="1"/>
    <col min="15" max="15" width="11.140625" style="9" bestFit="1" customWidth="1"/>
    <col min="16" max="16" width="9.28515625" style="9" bestFit="1" customWidth="1"/>
    <col min="17" max="17" width="15" style="9" bestFit="1" customWidth="1"/>
    <col min="18" max="18" width="10" style="9" bestFit="1" customWidth="1"/>
    <col min="19" max="19" width="7.85546875" style="9" bestFit="1" customWidth="1"/>
    <col min="20" max="20" width="10.42578125" style="9" bestFit="1" customWidth="1"/>
    <col min="21" max="21" width="7.85546875" style="9" bestFit="1" customWidth="1"/>
    <col min="22" max="22" width="9.28515625" style="9" bestFit="1" customWidth="1"/>
    <col min="23" max="23" width="8" style="9" bestFit="1" customWidth="1"/>
    <col min="24" max="24" width="9.28515625" style="9" bestFit="1" customWidth="1"/>
    <col min="25" max="25" width="11" style="9" bestFit="1" customWidth="1"/>
    <col min="26" max="26" width="9.28515625" style="9" bestFit="1" customWidth="1"/>
    <col min="27" max="27" width="10" style="9" bestFit="1" customWidth="1"/>
    <col min="28" max="16384" width="9.140625" style="9"/>
  </cols>
  <sheetData>
    <row r="1" spans="1:27" ht="11.25" customHeight="1" x14ac:dyDescent="0.25">
      <c r="A1" s="137" t="s">
        <v>59</v>
      </c>
      <c r="B1" s="137" t="s">
        <v>60</v>
      </c>
      <c r="C1" s="137" t="s">
        <v>61</v>
      </c>
      <c r="D1" s="137" t="s">
        <v>62</v>
      </c>
      <c r="E1" s="137" t="s">
        <v>63</v>
      </c>
      <c r="F1" s="137" t="s">
        <v>15</v>
      </c>
      <c r="G1" s="137" t="s">
        <v>65</v>
      </c>
      <c r="H1" s="137" t="s">
        <v>66</v>
      </c>
      <c r="I1" s="137" t="s">
        <v>608</v>
      </c>
      <c r="J1" s="119"/>
      <c r="L1" s="138" t="s">
        <v>636</v>
      </c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</row>
    <row r="2" spans="1:27" ht="11.25" customHeight="1" x14ac:dyDescent="0.25">
      <c r="A2" s="137"/>
      <c r="B2" s="137"/>
      <c r="C2" s="137"/>
      <c r="D2" s="137"/>
      <c r="E2" s="137"/>
      <c r="F2" s="137"/>
      <c r="G2" s="137"/>
      <c r="H2" s="137"/>
      <c r="I2" s="137"/>
      <c r="J2" s="119"/>
      <c r="L2" s="138" t="s">
        <v>536</v>
      </c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</row>
    <row r="3" spans="1:27" ht="11.25" customHeight="1" x14ac:dyDescent="0.25">
      <c r="A3" s="137"/>
      <c r="B3" s="137"/>
      <c r="C3" s="137"/>
      <c r="D3" s="137"/>
      <c r="E3" s="137"/>
      <c r="F3" s="137"/>
      <c r="G3" s="137"/>
      <c r="H3" s="137"/>
      <c r="I3" s="137"/>
      <c r="J3" s="119"/>
      <c r="L3" s="138" t="s">
        <v>509</v>
      </c>
      <c r="M3" s="138"/>
      <c r="N3" s="138"/>
      <c r="O3" s="138"/>
      <c r="P3" s="138"/>
      <c r="Q3" s="138" t="s">
        <v>539</v>
      </c>
      <c r="R3" s="138"/>
      <c r="S3" s="138" t="s">
        <v>518</v>
      </c>
      <c r="T3" s="138"/>
      <c r="U3" s="138"/>
      <c r="V3" s="138"/>
      <c r="W3" s="138" t="s">
        <v>528</v>
      </c>
      <c r="X3" s="138"/>
      <c r="Y3" s="138" t="s">
        <v>531</v>
      </c>
      <c r="Z3" s="138"/>
      <c r="AA3" s="138" t="s">
        <v>517</v>
      </c>
    </row>
    <row r="4" spans="1:27" ht="11.25" customHeight="1" x14ac:dyDescent="0.25">
      <c r="A4" s="137"/>
      <c r="B4" s="137"/>
      <c r="C4" s="137"/>
      <c r="D4" s="137"/>
      <c r="E4" s="137"/>
      <c r="F4" s="137"/>
      <c r="G4" s="137"/>
      <c r="H4" s="137"/>
      <c r="I4" s="137"/>
      <c r="J4" s="119"/>
      <c r="L4" s="36" t="s">
        <v>511</v>
      </c>
      <c r="M4" s="36" t="s">
        <v>537</v>
      </c>
      <c r="N4" s="36" t="s">
        <v>538</v>
      </c>
      <c r="O4" s="36" t="s">
        <v>596</v>
      </c>
      <c r="P4" s="36" t="s">
        <v>517</v>
      </c>
      <c r="Q4" s="36" t="s">
        <v>540</v>
      </c>
      <c r="R4" s="36" t="s">
        <v>517</v>
      </c>
      <c r="S4" s="36" t="s">
        <v>541</v>
      </c>
      <c r="T4" s="36" t="s">
        <v>542</v>
      </c>
      <c r="U4" s="36" t="s">
        <v>543</v>
      </c>
      <c r="V4" s="36" t="s">
        <v>517</v>
      </c>
      <c r="W4" s="36" t="s">
        <v>529</v>
      </c>
      <c r="X4" s="36" t="s">
        <v>517</v>
      </c>
      <c r="Y4" s="36" t="s">
        <v>544</v>
      </c>
      <c r="Z4" s="36" t="s">
        <v>517</v>
      </c>
      <c r="AA4" s="139"/>
    </row>
    <row r="5" spans="1:27" ht="11.25" customHeight="1" x14ac:dyDescent="0.25">
      <c r="A5" s="136" t="s">
        <v>34</v>
      </c>
      <c r="B5" s="136" t="s">
        <v>68</v>
      </c>
      <c r="C5" s="136" t="s">
        <v>25</v>
      </c>
      <c r="D5" s="136" t="s">
        <v>25</v>
      </c>
      <c r="E5" s="136" t="s">
        <v>25</v>
      </c>
      <c r="F5" s="136" t="s">
        <v>25</v>
      </c>
      <c r="G5" s="32" t="s">
        <v>70</v>
      </c>
      <c r="H5" s="32" t="s">
        <v>69</v>
      </c>
      <c r="I5" s="32">
        <f>'MERCADO TE'!$U$2</f>
        <v>2.2919999999999998</v>
      </c>
      <c r="J5" s="17"/>
      <c r="L5" s="30">
        <f>'TE BE'!$L$5*'TE BF'!$L$49</f>
        <v>0</v>
      </c>
      <c r="M5" s="30">
        <f>'TE BE'!$M$5*'TE BF'!$M$49</f>
        <v>0</v>
      </c>
      <c r="N5" s="30">
        <f>'TE BE'!$N$5*'TE BF'!$N$49</f>
        <v>0</v>
      </c>
      <c r="O5" s="30">
        <f>'TE BE'!$O$5*'TE BF'!$O$49</f>
        <v>0</v>
      </c>
      <c r="P5" s="30">
        <f>SUM($L$5:$O$5)</f>
        <v>0</v>
      </c>
      <c r="Q5" s="30">
        <f>'TE BE'!$Q$5*'TE BF'!$Q$49</f>
        <v>0</v>
      </c>
      <c r="R5" s="30">
        <f>SUM($Q$5:$Q$5)</f>
        <v>0</v>
      </c>
      <c r="S5" s="30">
        <f>'TE BE'!$S$5*'TE BF'!$S$49</f>
        <v>0</v>
      </c>
      <c r="T5" s="30">
        <f>'TE BE'!$T$5*'TE BF'!$T$49</f>
        <v>0</v>
      </c>
      <c r="U5" s="30">
        <f>'TE BE'!$U$5*'TE BF'!$U$49</f>
        <v>0</v>
      </c>
      <c r="V5" s="30">
        <f>SUM($S$5:$U$5)</f>
        <v>0</v>
      </c>
      <c r="W5" s="30">
        <f>'TE BE'!$AA$5*'TE BF'!$W$49</f>
        <v>0</v>
      </c>
      <c r="X5" s="30">
        <f>SUM($W$5:$W$5)</f>
        <v>0</v>
      </c>
      <c r="Y5" s="30">
        <f>'TE BE'!$Y$5*'TE BF'!$Y$49</f>
        <v>0</v>
      </c>
      <c r="Z5" s="30">
        <f>SUM($Y$5:$Y$5)</f>
        <v>0</v>
      </c>
      <c r="AA5" s="30">
        <f>SUMIF($L$4:$Z$4,"SUBTOTAL",$L$5:$Z$5)</f>
        <v>0</v>
      </c>
    </row>
    <row r="6" spans="1:27" ht="11.25" customHeight="1" x14ac:dyDescent="0.25">
      <c r="A6" s="136"/>
      <c r="B6" s="136"/>
      <c r="C6" s="136"/>
      <c r="D6" s="136"/>
      <c r="E6" s="136"/>
      <c r="F6" s="136"/>
      <c r="G6" s="32" t="s">
        <v>71</v>
      </c>
      <c r="H6" s="32" t="s">
        <v>69</v>
      </c>
      <c r="I6" s="32">
        <f>'MERCADO TE'!$U$3</f>
        <v>310.52600000000001</v>
      </c>
      <c r="J6" s="17"/>
      <c r="L6" s="30">
        <f>'TE BE'!$L$6*'TE BF'!$L$49</f>
        <v>0</v>
      </c>
      <c r="M6" s="30">
        <f>'TE BE'!$M$6*'TE BF'!$M$49</f>
        <v>0</v>
      </c>
      <c r="N6" s="30">
        <f>'TE BE'!$N$6*'TE BF'!$N$49</f>
        <v>0</v>
      </c>
      <c r="O6" s="30">
        <f>'TE BE'!$O$6*'TE BF'!$O$49</f>
        <v>0</v>
      </c>
      <c r="P6" s="30">
        <f>SUM($L$6:$O$6)</f>
        <v>0</v>
      </c>
      <c r="Q6" s="30">
        <f>'TE BE'!$Q$6*'TE BF'!$Q$49</f>
        <v>0</v>
      </c>
      <c r="R6" s="30">
        <f>SUM($Q$6:$Q$6)</f>
        <v>0</v>
      </c>
      <c r="S6" s="30">
        <f>'TE BE'!$S$6*'TE BF'!$S$49</f>
        <v>0</v>
      </c>
      <c r="T6" s="30">
        <f>'TE BE'!$T$6*'TE BF'!$T$49</f>
        <v>0</v>
      </c>
      <c r="U6" s="30">
        <f>'TE BE'!$U$6*'TE BF'!$U$49</f>
        <v>0</v>
      </c>
      <c r="V6" s="30">
        <f>SUM($S$6:$U$6)</f>
        <v>0</v>
      </c>
      <c r="W6" s="30">
        <f>'TE BE'!$AA$6*'TE BF'!$W$49</f>
        <v>0</v>
      </c>
      <c r="X6" s="30">
        <f>SUM($W$6:$W$6)</f>
        <v>0</v>
      </c>
      <c r="Y6" s="30">
        <f>'TE BE'!$Y$6*'TE BF'!$Y$49</f>
        <v>0</v>
      </c>
      <c r="Z6" s="30">
        <f>SUM($Y$6:$Y$6)</f>
        <v>0</v>
      </c>
      <c r="AA6" s="30">
        <f>SUMIF($L$4:$Z$4,"SUBTOTAL",$L$6:$Z$6)</f>
        <v>0</v>
      </c>
    </row>
    <row r="7" spans="1:27" ht="11.25" customHeight="1" x14ac:dyDescent="0.25">
      <c r="A7" s="136"/>
      <c r="B7" s="38" t="s">
        <v>72</v>
      </c>
      <c r="C7" s="38" t="s">
        <v>25</v>
      </c>
      <c r="D7" s="38" t="s">
        <v>25</v>
      </c>
      <c r="E7" s="38" t="s">
        <v>25</v>
      </c>
      <c r="F7" s="38" t="s">
        <v>25</v>
      </c>
      <c r="G7" s="32" t="s">
        <v>73</v>
      </c>
      <c r="H7" s="32" t="s">
        <v>69</v>
      </c>
      <c r="I7" s="32">
        <f>'MERCADO TE'!$U$4</f>
        <v>0</v>
      </c>
      <c r="J7" s="17"/>
      <c r="L7" s="30">
        <f>'TE BE'!$L$7*'TE BF'!$L$49</f>
        <v>0</v>
      </c>
      <c r="M7" s="30">
        <f>'TE BE'!$M$7*'TE BF'!$M$49</f>
        <v>0</v>
      </c>
      <c r="N7" s="30">
        <f>'TE BE'!$N$7*'TE BF'!$N$49</f>
        <v>0</v>
      </c>
      <c r="O7" s="30">
        <f>'TE BE'!$O$7*'TE BF'!$O$49</f>
        <v>0</v>
      </c>
      <c r="P7" s="30">
        <f>SUM($L$7:$O$7)</f>
        <v>0</v>
      </c>
      <c r="Q7" s="30">
        <f>'TE BE'!$Q$7*'TE BF'!$Q$49</f>
        <v>0</v>
      </c>
      <c r="R7" s="30">
        <f>SUM($Q$7:$Q$7)</f>
        <v>0</v>
      </c>
      <c r="S7" s="30">
        <f>'TE BE'!$S$7*'TE BF'!$S$49</f>
        <v>0</v>
      </c>
      <c r="T7" s="30">
        <f>'TE BE'!$T$7*'TE BF'!$T$49</f>
        <v>0</v>
      </c>
      <c r="U7" s="30">
        <f>'TE BE'!$U$7*'TE BF'!$U$49</f>
        <v>0</v>
      </c>
      <c r="V7" s="30">
        <f>SUM($S$7:$U$7)</f>
        <v>0</v>
      </c>
      <c r="W7" s="30">
        <f>'TE BE'!$AA$7*'TE BF'!$W$49</f>
        <v>0</v>
      </c>
      <c r="X7" s="30">
        <f>SUM($W$7:$W$7)</f>
        <v>0</v>
      </c>
      <c r="Y7" s="30">
        <f>'TE BE'!$Y$7*'TE BF'!$Y$49</f>
        <v>0</v>
      </c>
      <c r="Z7" s="30">
        <f>SUM($Y$7:$Y$7)</f>
        <v>0</v>
      </c>
      <c r="AA7" s="30">
        <f>SUMIF($L$4:$Z$4,"SUBTOTAL",$L$7:$Z$7)</f>
        <v>0</v>
      </c>
    </row>
    <row r="8" spans="1:27" ht="11.25" customHeight="1" x14ac:dyDescent="0.25">
      <c r="A8" s="136" t="s">
        <v>22</v>
      </c>
      <c r="B8" s="136" t="s">
        <v>68</v>
      </c>
      <c r="C8" s="136" t="s">
        <v>24</v>
      </c>
      <c r="D8" s="136" t="s">
        <v>24</v>
      </c>
      <c r="E8" s="136" t="s">
        <v>25</v>
      </c>
      <c r="F8" s="136" t="s">
        <v>25</v>
      </c>
      <c r="G8" s="32" t="s">
        <v>70</v>
      </c>
      <c r="H8" s="32" t="s">
        <v>69</v>
      </c>
      <c r="I8" s="32">
        <f>'MERCADO TE'!$U$5</f>
        <v>0</v>
      </c>
      <c r="J8" s="17"/>
      <c r="L8" s="30">
        <f>'TE BE'!$L$8*'TE BF'!$L$49</f>
        <v>0</v>
      </c>
      <c r="M8" s="30">
        <f>'TE BE'!$M$8*'TE BF'!$M$49</f>
        <v>0</v>
      </c>
      <c r="N8" s="30">
        <f>'TE BE'!$N$8*'TE BF'!$N$49</f>
        <v>0</v>
      </c>
      <c r="O8" s="30">
        <f>'TE BE'!$O$8*'TE BF'!$O$49</f>
        <v>0</v>
      </c>
      <c r="P8" s="30">
        <f>SUM($L$8:$O$8)</f>
        <v>0</v>
      </c>
      <c r="Q8" s="30">
        <f>'TE BE'!$Q$8*'TE BF'!$Q$49</f>
        <v>0</v>
      </c>
      <c r="R8" s="30">
        <f>SUM($Q$8:$Q$8)</f>
        <v>0</v>
      </c>
      <c r="S8" s="30">
        <f>'TE BE'!$S$8*'TE BF'!$S$49</f>
        <v>0</v>
      </c>
      <c r="T8" s="30">
        <f>'TE BE'!$T$8*'TE BF'!$T$49</f>
        <v>0</v>
      </c>
      <c r="U8" s="30">
        <f>'TE BE'!$U$8*'TE BF'!$U$49</f>
        <v>0</v>
      </c>
      <c r="V8" s="30">
        <f>SUM($S$8:$U$8)</f>
        <v>0</v>
      </c>
      <c r="W8" s="30">
        <f>'TE BE'!$AA$8*'TE BF'!$W$49</f>
        <v>0</v>
      </c>
      <c r="X8" s="30">
        <f>SUM($W$8:$W$8)</f>
        <v>0</v>
      </c>
      <c r="Y8" s="30">
        <f>'TE BE'!$Y$8*'TE BF'!$Y$49</f>
        <v>0</v>
      </c>
      <c r="Z8" s="30">
        <f>SUM($Y$8:$Y$8)</f>
        <v>0</v>
      </c>
      <c r="AA8" s="30">
        <f>SUMIF($L$4:$Z$4,"SUBTOTAL",$L$8:$Z$8)</f>
        <v>0</v>
      </c>
    </row>
    <row r="9" spans="1:27" ht="11.25" customHeight="1" x14ac:dyDescent="0.25">
      <c r="A9" s="136"/>
      <c r="B9" s="136"/>
      <c r="C9" s="136"/>
      <c r="D9" s="136"/>
      <c r="E9" s="136"/>
      <c r="F9" s="136"/>
      <c r="G9" s="32" t="s">
        <v>83</v>
      </c>
      <c r="H9" s="32" t="s">
        <v>69</v>
      </c>
      <c r="I9" s="32">
        <f>'MERCADO TE'!$U$6</f>
        <v>5.0000000000000001E-3</v>
      </c>
      <c r="J9" s="17"/>
      <c r="L9" s="30">
        <f>'TE BE'!$L$9*'TE BF'!$L$49</f>
        <v>0</v>
      </c>
      <c r="M9" s="30">
        <f>'TE BE'!$M$9*'TE BF'!$M$49</f>
        <v>0</v>
      </c>
      <c r="N9" s="30">
        <f>'TE BE'!$N$9*'TE BF'!$N$49</f>
        <v>0</v>
      </c>
      <c r="O9" s="30">
        <f>'TE BE'!$O$9*'TE BF'!$O$49</f>
        <v>0</v>
      </c>
      <c r="P9" s="30">
        <f>SUM($L$9:$O$9)</f>
        <v>0</v>
      </c>
      <c r="Q9" s="30">
        <f>'TE BE'!$Q$9*'TE BF'!$Q$49</f>
        <v>0</v>
      </c>
      <c r="R9" s="30">
        <f>SUM($Q$9:$Q$9)</f>
        <v>0</v>
      </c>
      <c r="S9" s="30">
        <f>'TE BE'!$S$9*'TE BF'!$S$49</f>
        <v>0</v>
      </c>
      <c r="T9" s="30">
        <f>'TE BE'!$T$9*'TE BF'!$T$49</f>
        <v>0</v>
      </c>
      <c r="U9" s="30">
        <f>'TE BE'!$U$9*'TE BF'!$U$49</f>
        <v>0</v>
      </c>
      <c r="V9" s="30">
        <f>SUM($S$9:$U$9)</f>
        <v>0</v>
      </c>
      <c r="W9" s="30">
        <f>'TE BE'!$AA$9*'TE BF'!$W$49</f>
        <v>0</v>
      </c>
      <c r="X9" s="30">
        <f>SUM($W$9:$W$9)</f>
        <v>0</v>
      </c>
      <c r="Y9" s="30">
        <f>'TE BE'!$Y$9*'TE BF'!$Y$49</f>
        <v>0</v>
      </c>
      <c r="Z9" s="30">
        <f>SUM($Y$9:$Y$9)</f>
        <v>0</v>
      </c>
      <c r="AA9" s="30">
        <f>SUMIF($L$4:$Z$4,"SUBTOTAL",$L$9:$Z$9)</f>
        <v>0</v>
      </c>
    </row>
    <row r="10" spans="1:27" ht="11.25" customHeight="1" x14ac:dyDescent="0.25">
      <c r="A10" s="136"/>
      <c r="B10" s="136"/>
      <c r="C10" s="136"/>
      <c r="D10" s="136"/>
      <c r="E10" s="136"/>
      <c r="F10" s="136"/>
      <c r="G10" s="32" t="s">
        <v>71</v>
      </c>
      <c r="H10" s="32" t="s">
        <v>69</v>
      </c>
      <c r="I10" s="32">
        <f>'MERCADO TE'!$U$7</f>
        <v>0.96600000000000008</v>
      </c>
      <c r="J10" s="17"/>
      <c r="L10" s="30">
        <f>'TE BE'!$L$10*'TE BF'!$L$49</f>
        <v>0</v>
      </c>
      <c r="M10" s="30">
        <f>'TE BE'!$M$10*'TE BF'!$M$49</f>
        <v>0</v>
      </c>
      <c r="N10" s="30">
        <f>'TE BE'!$N$10*'TE BF'!$N$49</f>
        <v>0</v>
      </c>
      <c r="O10" s="30">
        <f>'TE BE'!$O$10*'TE BF'!$O$49</f>
        <v>0</v>
      </c>
      <c r="P10" s="30">
        <f>SUM($L$10:$O$10)</f>
        <v>0</v>
      </c>
      <c r="Q10" s="30">
        <f>'TE BE'!$Q$10*'TE BF'!$Q$49</f>
        <v>0</v>
      </c>
      <c r="R10" s="30">
        <f>SUM($Q$10:$Q$10)</f>
        <v>0</v>
      </c>
      <c r="S10" s="30">
        <f>'TE BE'!$S$10*'TE BF'!$S$49</f>
        <v>0</v>
      </c>
      <c r="T10" s="30">
        <f>'TE BE'!$T$10*'TE BF'!$T$49</f>
        <v>0</v>
      </c>
      <c r="U10" s="30">
        <f>'TE BE'!$U$10*'TE BF'!$U$49</f>
        <v>0</v>
      </c>
      <c r="V10" s="30">
        <f>SUM($S$10:$U$10)</f>
        <v>0</v>
      </c>
      <c r="W10" s="30">
        <f>'TE BE'!$AA$10*'TE BF'!$W$49</f>
        <v>0</v>
      </c>
      <c r="X10" s="30">
        <f>SUM($W$10:$W$10)</f>
        <v>0</v>
      </c>
      <c r="Y10" s="30">
        <f>'TE BE'!$Y$10*'TE BF'!$Y$49</f>
        <v>0</v>
      </c>
      <c r="Z10" s="30">
        <f>SUM($Y$10:$Y$10)</f>
        <v>0</v>
      </c>
      <c r="AA10" s="30">
        <f>SUMIF($L$4:$Z$4,"SUBTOTAL",$L$10:$Z$10)</f>
        <v>0</v>
      </c>
    </row>
    <row r="11" spans="1:27" ht="11.25" customHeight="1" x14ac:dyDescent="0.25">
      <c r="A11" s="136"/>
      <c r="B11" s="136" t="s">
        <v>72</v>
      </c>
      <c r="C11" s="136" t="s">
        <v>24</v>
      </c>
      <c r="D11" s="38" t="s">
        <v>24</v>
      </c>
      <c r="E11" s="38" t="s">
        <v>25</v>
      </c>
      <c r="F11" s="38" t="s">
        <v>25</v>
      </c>
      <c r="G11" s="32" t="s">
        <v>73</v>
      </c>
      <c r="H11" s="32" t="s">
        <v>69</v>
      </c>
      <c r="I11" s="32">
        <f>'MERCADO TE'!$U$8</f>
        <v>2520.6710000000003</v>
      </c>
      <c r="J11" s="17"/>
      <c r="L11" s="30">
        <f>'TE BE'!$L$11*'TE BF'!$L$49</f>
        <v>0</v>
      </c>
      <c r="M11" s="30">
        <f>'TE BE'!$M$11*'TE BF'!$M$49</f>
        <v>0</v>
      </c>
      <c r="N11" s="30">
        <f>'TE BE'!$N$11*'TE BF'!$N$49</f>
        <v>0</v>
      </c>
      <c r="O11" s="30">
        <f>'TE BE'!$O$11*'TE BF'!$O$49</f>
        <v>0</v>
      </c>
      <c r="P11" s="30">
        <f>SUM($L$11:$O$11)</f>
        <v>0</v>
      </c>
      <c r="Q11" s="30">
        <f>'TE BE'!$Q$11*'TE BF'!$Q$49</f>
        <v>0</v>
      </c>
      <c r="R11" s="30">
        <f>SUM($Q$11:$Q$11)</f>
        <v>0</v>
      </c>
      <c r="S11" s="30">
        <f>'TE BE'!$S$11*'TE BF'!$S$49</f>
        <v>0</v>
      </c>
      <c r="T11" s="30">
        <f>'TE BE'!$T$11*'TE BF'!$T$49</f>
        <v>0</v>
      </c>
      <c r="U11" s="30">
        <f>'TE BE'!$U$11*'TE BF'!$U$49</f>
        <v>0</v>
      </c>
      <c r="V11" s="30">
        <f>SUM($S$11:$U$11)</f>
        <v>0</v>
      </c>
      <c r="W11" s="30">
        <f>'TE BE'!$AA$11*'TE BF'!$W$49</f>
        <v>0</v>
      </c>
      <c r="X11" s="30">
        <f>SUM($W$11:$W$11)</f>
        <v>0</v>
      </c>
      <c r="Y11" s="30">
        <f>'TE BE'!$Y$11*'TE BF'!$Y$49</f>
        <v>0</v>
      </c>
      <c r="Z11" s="30">
        <f>SUM($Y$11:$Y$11)</f>
        <v>0</v>
      </c>
      <c r="AA11" s="30">
        <f>SUMIF($L$4:$Z$4,"SUBTOTAL",$L$11:$Z$11)</f>
        <v>0</v>
      </c>
    </row>
    <row r="12" spans="1:27" ht="11.25" customHeight="1" x14ac:dyDescent="0.25">
      <c r="A12" s="136"/>
      <c r="B12" s="136"/>
      <c r="C12" s="136"/>
      <c r="D12" s="38" t="s">
        <v>28</v>
      </c>
      <c r="E12" s="38" t="s">
        <v>25</v>
      </c>
      <c r="F12" s="38" t="s">
        <v>25</v>
      </c>
      <c r="G12" s="32" t="s">
        <v>73</v>
      </c>
      <c r="H12" s="32" t="s">
        <v>69</v>
      </c>
      <c r="I12" s="32">
        <f>'MERCADO TE'!$U$9</f>
        <v>782.16</v>
      </c>
      <c r="J12" s="17"/>
      <c r="L12" s="30">
        <f>'TE BE'!$L$12*'TE BF'!$L$49</f>
        <v>0</v>
      </c>
      <c r="M12" s="30">
        <f>'TE BE'!$M$12*'TE BF'!$M$49</f>
        <v>0</v>
      </c>
      <c r="N12" s="30">
        <f>'TE BE'!$N$12*'TE BF'!$N$49</f>
        <v>0</v>
      </c>
      <c r="O12" s="30">
        <f>'TE BE'!$O$12*'TE BF'!$O$49</f>
        <v>0</v>
      </c>
      <c r="P12" s="30">
        <f>SUM($L$12:$O$12)</f>
        <v>0</v>
      </c>
      <c r="Q12" s="30">
        <f>'TE BE'!$Q$12*'TE BF'!$Q$49</f>
        <v>0</v>
      </c>
      <c r="R12" s="30">
        <f>SUM($Q$12:$Q$12)</f>
        <v>0</v>
      </c>
      <c r="S12" s="30">
        <f>'TE BE'!$S$12*'TE BF'!$S$49</f>
        <v>0</v>
      </c>
      <c r="T12" s="30">
        <f>'TE BE'!$T$12*'TE BF'!$T$49</f>
        <v>0</v>
      </c>
      <c r="U12" s="30">
        <f>'TE BE'!$U$12*'TE BF'!$U$49</f>
        <v>0</v>
      </c>
      <c r="V12" s="30">
        <f>SUM($S$12:$U$12)</f>
        <v>0</v>
      </c>
      <c r="W12" s="30">
        <f>'TE BE'!$AA$12*'TE BF'!$W$49</f>
        <v>0</v>
      </c>
      <c r="X12" s="30">
        <f>SUM($W$12:$W$12)</f>
        <v>0</v>
      </c>
      <c r="Y12" s="30">
        <f>'TE BE'!$Y$12*'TE BF'!$Y$49</f>
        <v>0</v>
      </c>
      <c r="Z12" s="30">
        <f>SUM($Y$12:$Y$12)</f>
        <v>0</v>
      </c>
      <c r="AA12" s="30">
        <f>SUMIF($L$4:$Z$4,"SUBTOTAL",$L$12:$Z$12)</f>
        <v>0</v>
      </c>
    </row>
    <row r="13" spans="1:27" ht="11.25" customHeight="1" x14ac:dyDescent="0.25">
      <c r="A13" s="136"/>
      <c r="B13" s="136"/>
      <c r="C13" s="136"/>
      <c r="D13" s="38" t="s">
        <v>29</v>
      </c>
      <c r="E13" s="38" t="s">
        <v>25</v>
      </c>
      <c r="F13" s="38" t="s">
        <v>25</v>
      </c>
      <c r="G13" s="32" t="s">
        <v>73</v>
      </c>
      <c r="H13" s="32" t="s">
        <v>69</v>
      </c>
      <c r="I13" s="32">
        <f>'MERCADO TE'!$U$10</f>
        <v>1214.3559999999998</v>
      </c>
      <c r="J13" s="17"/>
      <c r="L13" s="30">
        <f>'TE BE'!$L$13*'TE BF'!$L$49</f>
        <v>0</v>
      </c>
      <c r="M13" s="30">
        <f>'TE BE'!$M$13*'TE BF'!$M$49</f>
        <v>0</v>
      </c>
      <c r="N13" s="30">
        <f>'TE BE'!$N$13*'TE BF'!$N$49</f>
        <v>0</v>
      </c>
      <c r="O13" s="30">
        <f>'TE BE'!$O$13*'TE BF'!$O$49</f>
        <v>0</v>
      </c>
      <c r="P13" s="30">
        <f>SUM($L$13:$O$13)</f>
        <v>0</v>
      </c>
      <c r="Q13" s="30">
        <f>'TE BE'!$Q$13*'TE BF'!$Q$49</f>
        <v>0</v>
      </c>
      <c r="R13" s="30">
        <f>SUM($Q$13:$Q$13)</f>
        <v>0</v>
      </c>
      <c r="S13" s="30">
        <f>'TE BE'!$S$13*'TE BF'!$S$49</f>
        <v>0</v>
      </c>
      <c r="T13" s="30">
        <f>'TE BE'!$T$13*'TE BF'!$T$49</f>
        <v>0</v>
      </c>
      <c r="U13" s="30">
        <f>'TE BE'!$U$13*'TE BF'!$U$49</f>
        <v>0</v>
      </c>
      <c r="V13" s="30">
        <f>SUM($S$13:$U$13)</f>
        <v>0</v>
      </c>
      <c r="W13" s="30">
        <f>'TE BE'!$AA$13*'TE BF'!$W$49</f>
        <v>0</v>
      </c>
      <c r="X13" s="30">
        <f>SUM($W$13:$W$13)</f>
        <v>0</v>
      </c>
      <c r="Y13" s="30">
        <f>'TE BE'!$Y$13*'TE BF'!$Y$49</f>
        <v>0</v>
      </c>
      <c r="Z13" s="30">
        <f>SUM($Y$13:$Y$13)</f>
        <v>0</v>
      </c>
      <c r="AA13" s="30">
        <f>SUMIF($L$4:$Z$4,"SUBTOTAL",$L$13:$Z$13)</f>
        <v>0</v>
      </c>
    </row>
    <row r="14" spans="1:27" ht="11.25" customHeight="1" x14ac:dyDescent="0.25">
      <c r="A14" s="136"/>
      <c r="B14" s="136"/>
      <c r="C14" s="136"/>
      <c r="D14" s="38" t="s">
        <v>30</v>
      </c>
      <c r="E14" s="38" t="s">
        <v>25</v>
      </c>
      <c r="F14" s="38" t="s">
        <v>25</v>
      </c>
      <c r="G14" s="32" t="s">
        <v>73</v>
      </c>
      <c r="H14" s="32" t="s">
        <v>69</v>
      </c>
      <c r="I14" s="32">
        <f>'MERCADO TE'!$U$11</f>
        <v>403.89</v>
      </c>
      <c r="J14" s="17"/>
      <c r="L14" s="30">
        <f>'TE BE'!$L$14*'TE BF'!$L$49</f>
        <v>0</v>
      </c>
      <c r="M14" s="30">
        <f>'TE BE'!$M$14*'TE BF'!$M$49</f>
        <v>0</v>
      </c>
      <c r="N14" s="30">
        <f>'TE BE'!$N$14*'TE BF'!$N$49</f>
        <v>0</v>
      </c>
      <c r="O14" s="30">
        <f>'TE BE'!$O$14*'TE BF'!$O$49</f>
        <v>0</v>
      </c>
      <c r="P14" s="30">
        <f>SUM($L$14:$O$14)</f>
        <v>0</v>
      </c>
      <c r="Q14" s="30">
        <f>'TE BE'!$Q$14*'TE BF'!$Q$49</f>
        <v>0</v>
      </c>
      <c r="R14" s="30">
        <f>SUM($Q$14:$Q$14)</f>
        <v>0</v>
      </c>
      <c r="S14" s="30">
        <f>'TE BE'!$S$14*'TE BF'!$S$49</f>
        <v>0</v>
      </c>
      <c r="T14" s="30">
        <f>'TE BE'!$T$14*'TE BF'!$T$49</f>
        <v>0</v>
      </c>
      <c r="U14" s="30">
        <f>'TE BE'!$U$14*'TE BF'!$U$49</f>
        <v>0</v>
      </c>
      <c r="V14" s="30">
        <f>SUM($S$14:$U$14)</f>
        <v>0</v>
      </c>
      <c r="W14" s="30">
        <f>'TE BE'!$AA$14*'TE BF'!$W$49</f>
        <v>0</v>
      </c>
      <c r="X14" s="30">
        <f>SUM($W$14:$W$14)</f>
        <v>0</v>
      </c>
      <c r="Y14" s="30">
        <f>'TE BE'!$Y$14*'TE BF'!$Y$49</f>
        <v>0</v>
      </c>
      <c r="Z14" s="30">
        <f>SUM($Y$14:$Y$14)</f>
        <v>0</v>
      </c>
      <c r="AA14" s="30">
        <f>SUMIF($L$4:$Z$4,"SUBTOTAL",$L$14:$Z$14)</f>
        <v>0</v>
      </c>
    </row>
    <row r="15" spans="1:27" ht="11.25" customHeight="1" x14ac:dyDescent="0.25">
      <c r="A15" s="136"/>
      <c r="B15" s="136"/>
      <c r="C15" s="136"/>
      <c r="D15" s="38" t="s">
        <v>31</v>
      </c>
      <c r="E15" s="38" t="s">
        <v>25</v>
      </c>
      <c r="F15" s="38" t="s">
        <v>25</v>
      </c>
      <c r="G15" s="32" t="s">
        <v>73</v>
      </c>
      <c r="H15" s="32" t="s">
        <v>69</v>
      </c>
      <c r="I15" s="32">
        <f>'MERCADO TE'!$U$12</f>
        <v>103.88300000000001</v>
      </c>
      <c r="J15" s="17"/>
      <c r="L15" s="30">
        <f>'TE BE'!$L$15*'TE BF'!$L$49</f>
        <v>0</v>
      </c>
      <c r="M15" s="30">
        <f>'TE BE'!$M$15*'TE BF'!$M$49</f>
        <v>0</v>
      </c>
      <c r="N15" s="30">
        <f>'TE BE'!$N$15*'TE BF'!$N$49</f>
        <v>0</v>
      </c>
      <c r="O15" s="30">
        <f>'TE BE'!$O$15*'TE BF'!$O$49</f>
        <v>0</v>
      </c>
      <c r="P15" s="30">
        <f>SUM($L$15:$O$15)</f>
        <v>0</v>
      </c>
      <c r="Q15" s="30">
        <f>'TE BE'!$Q$15*'TE BF'!$Q$49</f>
        <v>0</v>
      </c>
      <c r="R15" s="30">
        <f>SUM($Q$15:$Q$15)</f>
        <v>0</v>
      </c>
      <c r="S15" s="30">
        <f>'TE BE'!$S$15*'TE BF'!$S$49</f>
        <v>0</v>
      </c>
      <c r="T15" s="30">
        <f>'TE BE'!$T$15*'TE BF'!$T$49</f>
        <v>0</v>
      </c>
      <c r="U15" s="30">
        <f>'TE BE'!$U$15*'TE BF'!$U$49</f>
        <v>0</v>
      </c>
      <c r="V15" s="30">
        <f>SUM($S$15:$U$15)</f>
        <v>0</v>
      </c>
      <c r="W15" s="30">
        <f>'TE BE'!$AA$15*'TE BF'!$W$49</f>
        <v>0</v>
      </c>
      <c r="X15" s="30">
        <f>SUM($W$15:$W$15)</f>
        <v>0</v>
      </c>
      <c r="Y15" s="30">
        <f>'TE BE'!$Y$15*'TE BF'!$Y$49</f>
        <v>0</v>
      </c>
      <c r="Z15" s="30">
        <f>SUM($Y$15:$Y$15)</f>
        <v>0</v>
      </c>
      <c r="AA15" s="30">
        <f>SUMIF($L$4:$Z$4,"SUBTOTAL",$L$15:$Z$15)</f>
        <v>0</v>
      </c>
    </row>
    <row r="16" spans="1:27" ht="11.25" customHeight="1" x14ac:dyDescent="0.25">
      <c r="A16" s="136"/>
      <c r="B16" s="136" t="s">
        <v>84</v>
      </c>
      <c r="C16" s="136" t="s">
        <v>24</v>
      </c>
      <c r="D16" s="38" t="s">
        <v>24</v>
      </c>
      <c r="E16" s="38" t="s">
        <v>25</v>
      </c>
      <c r="F16" s="38" t="s">
        <v>25</v>
      </c>
      <c r="G16" s="32" t="s">
        <v>73</v>
      </c>
      <c r="H16" s="32" t="s">
        <v>69</v>
      </c>
      <c r="I16" s="32">
        <f>'MERCADO TE'!$U$13</f>
        <v>0</v>
      </c>
      <c r="J16" s="17"/>
      <c r="L16" s="30">
        <f>'TE BE'!$L$16*'TE BF'!$L$49</f>
        <v>0</v>
      </c>
      <c r="M16" s="30">
        <f>'TE BE'!$M$16*'TE BF'!$M$49</f>
        <v>0</v>
      </c>
      <c r="N16" s="30">
        <f>'TE BE'!$N$16*'TE BF'!$N$49</f>
        <v>0</v>
      </c>
      <c r="O16" s="30">
        <f>'TE BE'!$O$16*'TE BF'!$O$49</f>
        <v>0</v>
      </c>
      <c r="P16" s="30">
        <f>SUM($L$16:$O$16)</f>
        <v>0</v>
      </c>
      <c r="Q16" s="30">
        <f>'TE BE'!$Q$16*'TE BF'!$Q$49</f>
        <v>0</v>
      </c>
      <c r="R16" s="30">
        <f>SUM($Q$16:$Q$16)</f>
        <v>0</v>
      </c>
      <c r="S16" s="30">
        <f>'TE BE'!$S$16*'TE BF'!$S$49</f>
        <v>0</v>
      </c>
      <c r="T16" s="30">
        <f>'TE BE'!$T$16*'TE BF'!$T$49</f>
        <v>0</v>
      </c>
      <c r="U16" s="30">
        <f>'TE BE'!$U$16*'TE BF'!$U$49</f>
        <v>0</v>
      </c>
      <c r="V16" s="30">
        <f>SUM($S$16:$U$16)</f>
        <v>0</v>
      </c>
      <c r="W16" s="30">
        <f>'TE BE'!$AA$16*'TE BF'!$W$49</f>
        <v>0</v>
      </c>
      <c r="X16" s="30">
        <f>SUM($W$16:$W$16)</f>
        <v>0</v>
      </c>
      <c r="Y16" s="30">
        <f>'TE BE'!$Y$16*'TE BF'!$Y$49</f>
        <v>0</v>
      </c>
      <c r="Z16" s="30">
        <f>SUM($Y$16:$Y$16)</f>
        <v>0</v>
      </c>
      <c r="AA16" s="30">
        <f>SUMIF($L$4:$Z$4,"SUBTOTAL",$L$16:$Z$16)</f>
        <v>0</v>
      </c>
    </row>
    <row r="17" spans="1:27" ht="11.25" customHeight="1" x14ac:dyDescent="0.25">
      <c r="A17" s="136"/>
      <c r="B17" s="136"/>
      <c r="C17" s="136"/>
      <c r="D17" s="38" t="s">
        <v>28</v>
      </c>
      <c r="E17" s="38" t="s">
        <v>25</v>
      </c>
      <c r="F17" s="38" t="s">
        <v>25</v>
      </c>
      <c r="G17" s="32" t="s">
        <v>73</v>
      </c>
      <c r="H17" s="32" t="s">
        <v>69</v>
      </c>
      <c r="I17" s="32">
        <f>'MERCADO TE'!$U$14</f>
        <v>0</v>
      </c>
      <c r="J17" s="17"/>
      <c r="L17" s="30">
        <f>'TE BE'!$L$17*'TE BF'!$L$49</f>
        <v>0</v>
      </c>
      <c r="M17" s="30">
        <f>'TE BE'!$M$17*'TE BF'!$M$49</f>
        <v>0</v>
      </c>
      <c r="N17" s="30">
        <f>'TE BE'!$N$17*'TE BF'!$N$49</f>
        <v>0</v>
      </c>
      <c r="O17" s="30">
        <f>'TE BE'!$O$17*'TE BF'!$O$49</f>
        <v>0</v>
      </c>
      <c r="P17" s="30">
        <f>SUM($L$17:$O$17)</f>
        <v>0</v>
      </c>
      <c r="Q17" s="30">
        <f>'TE BE'!$Q$17*'TE BF'!$Q$49</f>
        <v>0</v>
      </c>
      <c r="R17" s="30">
        <f>SUM($Q$17:$Q$17)</f>
        <v>0</v>
      </c>
      <c r="S17" s="30">
        <f>'TE BE'!$S$17*'TE BF'!$S$49</f>
        <v>0</v>
      </c>
      <c r="T17" s="30">
        <f>'TE BE'!$T$17*'TE BF'!$T$49</f>
        <v>0</v>
      </c>
      <c r="U17" s="30">
        <f>'TE BE'!$U$17*'TE BF'!$U$49</f>
        <v>0</v>
      </c>
      <c r="V17" s="30">
        <f>SUM($S$17:$U$17)</f>
        <v>0</v>
      </c>
      <c r="W17" s="30">
        <f>'TE BE'!$AA$17*'TE BF'!$W$49</f>
        <v>0</v>
      </c>
      <c r="X17" s="30">
        <f>SUM($W$17:$W$17)</f>
        <v>0</v>
      </c>
      <c r="Y17" s="30">
        <f>'TE BE'!$Y$17*'TE BF'!$Y$49</f>
        <v>0</v>
      </c>
      <c r="Z17" s="30">
        <f>SUM($Y$17:$Y$17)</f>
        <v>0</v>
      </c>
      <c r="AA17" s="30">
        <f>SUMIF($L$4:$Z$4,"SUBTOTAL",$L$17:$Z$17)</f>
        <v>0</v>
      </c>
    </row>
    <row r="18" spans="1:27" ht="11.25" customHeight="1" x14ac:dyDescent="0.25">
      <c r="A18" s="136"/>
      <c r="B18" s="136"/>
      <c r="C18" s="136"/>
      <c r="D18" s="38" t="s">
        <v>29</v>
      </c>
      <c r="E18" s="38" t="s">
        <v>25</v>
      </c>
      <c r="F18" s="38" t="s">
        <v>25</v>
      </c>
      <c r="G18" s="32" t="s">
        <v>73</v>
      </c>
      <c r="H18" s="32" t="s">
        <v>69</v>
      </c>
      <c r="I18" s="32">
        <f>'MERCADO TE'!$U$15</f>
        <v>0</v>
      </c>
      <c r="J18" s="17"/>
      <c r="L18" s="30">
        <f>'TE BE'!$L$18*'TE BF'!$L$49</f>
        <v>0</v>
      </c>
      <c r="M18" s="30">
        <f>'TE BE'!$M$18*'TE BF'!$M$49</f>
        <v>0</v>
      </c>
      <c r="N18" s="30">
        <f>'TE BE'!$N$18*'TE BF'!$N$49</f>
        <v>0</v>
      </c>
      <c r="O18" s="30">
        <f>'TE BE'!$O$18*'TE BF'!$O$49</f>
        <v>0</v>
      </c>
      <c r="P18" s="30">
        <f>SUM($L$18:$O$18)</f>
        <v>0</v>
      </c>
      <c r="Q18" s="30">
        <f>'TE BE'!$Q$18*'TE BF'!$Q$49</f>
        <v>0</v>
      </c>
      <c r="R18" s="30">
        <f>SUM($Q$18:$Q$18)</f>
        <v>0</v>
      </c>
      <c r="S18" s="30">
        <f>'TE BE'!$S$18*'TE BF'!$S$49</f>
        <v>0</v>
      </c>
      <c r="T18" s="30">
        <f>'TE BE'!$T$18*'TE BF'!$T$49</f>
        <v>0</v>
      </c>
      <c r="U18" s="30">
        <f>'TE BE'!$U$18*'TE BF'!$U$49</f>
        <v>0</v>
      </c>
      <c r="V18" s="30">
        <f>SUM($S$18:$U$18)</f>
        <v>0</v>
      </c>
      <c r="W18" s="30">
        <f>'TE BE'!$AA$18*'TE BF'!$W$49</f>
        <v>0</v>
      </c>
      <c r="X18" s="30">
        <f>SUM($W$18:$W$18)</f>
        <v>0</v>
      </c>
      <c r="Y18" s="30">
        <f>'TE BE'!$Y$18*'TE BF'!$Y$49</f>
        <v>0</v>
      </c>
      <c r="Z18" s="30">
        <f>SUM($Y$18:$Y$18)</f>
        <v>0</v>
      </c>
      <c r="AA18" s="30">
        <f>SUMIF($L$4:$Z$4,"SUBTOTAL",$L$18:$Z$18)</f>
        <v>0</v>
      </c>
    </row>
    <row r="19" spans="1:27" ht="11.25" customHeight="1" x14ac:dyDescent="0.25">
      <c r="A19" s="136"/>
      <c r="B19" s="136"/>
      <c r="C19" s="136"/>
      <c r="D19" s="38" t="s">
        <v>30</v>
      </c>
      <c r="E19" s="38" t="s">
        <v>25</v>
      </c>
      <c r="F19" s="38" t="s">
        <v>25</v>
      </c>
      <c r="G19" s="32" t="s">
        <v>73</v>
      </c>
      <c r="H19" s="32" t="s">
        <v>69</v>
      </c>
      <c r="I19" s="32">
        <f>'MERCADO TE'!$U$16</f>
        <v>0</v>
      </c>
      <c r="J19" s="17"/>
      <c r="L19" s="30">
        <f>'TE BE'!$L$19*'TE BF'!$L$49</f>
        <v>0</v>
      </c>
      <c r="M19" s="30">
        <f>'TE BE'!$M$19*'TE BF'!$M$49</f>
        <v>0</v>
      </c>
      <c r="N19" s="30">
        <f>'TE BE'!$N$19*'TE BF'!$N$49</f>
        <v>0</v>
      </c>
      <c r="O19" s="30">
        <f>'TE BE'!$O$19*'TE BF'!$O$49</f>
        <v>0</v>
      </c>
      <c r="P19" s="30">
        <f>SUM($L$19:$O$19)</f>
        <v>0</v>
      </c>
      <c r="Q19" s="30">
        <f>'TE BE'!$Q$19*'TE BF'!$Q$49</f>
        <v>0</v>
      </c>
      <c r="R19" s="30">
        <f>SUM($Q$19:$Q$19)</f>
        <v>0</v>
      </c>
      <c r="S19" s="30">
        <f>'TE BE'!$S$19*'TE BF'!$S$49</f>
        <v>0</v>
      </c>
      <c r="T19" s="30">
        <f>'TE BE'!$T$19*'TE BF'!$T$49</f>
        <v>0</v>
      </c>
      <c r="U19" s="30">
        <f>'TE BE'!$U$19*'TE BF'!$U$49</f>
        <v>0</v>
      </c>
      <c r="V19" s="30">
        <f>SUM($S$19:$U$19)</f>
        <v>0</v>
      </c>
      <c r="W19" s="30">
        <f>'TE BE'!$AA$19*'TE BF'!$W$49</f>
        <v>0</v>
      </c>
      <c r="X19" s="30">
        <f>SUM($W$19:$W$19)</f>
        <v>0</v>
      </c>
      <c r="Y19" s="30">
        <f>'TE BE'!$Y$19*'TE BF'!$Y$49</f>
        <v>0</v>
      </c>
      <c r="Z19" s="30">
        <f>SUM($Y$19:$Y$19)</f>
        <v>0</v>
      </c>
      <c r="AA19" s="30">
        <f>SUMIF($L$4:$Z$4,"SUBTOTAL",$L$19:$Z$19)</f>
        <v>0</v>
      </c>
    </row>
    <row r="20" spans="1:27" ht="11.25" customHeight="1" x14ac:dyDescent="0.25">
      <c r="A20" s="136"/>
      <c r="B20" s="136"/>
      <c r="C20" s="136"/>
      <c r="D20" s="38" t="s">
        <v>31</v>
      </c>
      <c r="E20" s="38" t="s">
        <v>25</v>
      </c>
      <c r="F20" s="38" t="s">
        <v>25</v>
      </c>
      <c r="G20" s="32" t="s">
        <v>73</v>
      </c>
      <c r="H20" s="32" t="s">
        <v>69</v>
      </c>
      <c r="I20" s="32">
        <f>'MERCADO TE'!$U$17</f>
        <v>0</v>
      </c>
      <c r="J20" s="17"/>
      <c r="L20" s="30">
        <f>'TE BE'!$L$20*'TE BF'!$L$49</f>
        <v>0</v>
      </c>
      <c r="M20" s="30">
        <f>'TE BE'!$M$20*'TE BF'!$M$49</f>
        <v>0</v>
      </c>
      <c r="N20" s="30">
        <f>'TE BE'!$N$20*'TE BF'!$N$49</f>
        <v>0</v>
      </c>
      <c r="O20" s="30">
        <f>'TE BE'!$O$20*'TE BF'!$O$49</f>
        <v>0</v>
      </c>
      <c r="P20" s="30">
        <f>SUM($L$20:$O$20)</f>
        <v>0</v>
      </c>
      <c r="Q20" s="30">
        <f>'TE BE'!$Q$20*'TE BF'!$Q$49</f>
        <v>0</v>
      </c>
      <c r="R20" s="30">
        <f>SUM($Q$20:$Q$20)</f>
        <v>0</v>
      </c>
      <c r="S20" s="30">
        <f>'TE BE'!$S$20*'TE BF'!$S$49</f>
        <v>0</v>
      </c>
      <c r="T20" s="30">
        <f>'TE BE'!$T$20*'TE BF'!$T$49</f>
        <v>0</v>
      </c>
      <c r="U20" s="30">
        <f>'TE BE'!$U$20*'TE BF'!$U$49</f>
        <v>0</v>
      </c>
      <c r="V20" s="30">
        <f>SUM($S$20:$U$20)</f>
        <v>0</v>
      </c>
      <c r="W20" s="30">
        <f>'TE BE'!$AA$20*'TE BF'!$W$49</f>
        <v>0</v>
      </c>
      <c r="X20" s="30">
        <f>SUM($W$20:$W$20)</f>
        <v>0</v>
      </c>
      <c r="Y20" s="30">
        <f>'TE BE'!$Y$20*'TE BF'!$Y$49</f>
        <v>0</v>
      </c>
      <c r="Z20" s="30">
        <f>SUM($Y$20:$Y$20)</f>
        <v>0</v>
      </c>
      <c r="AA20" s="30">
        <f>SUMIF($L$4:$Z$4,"SUBTOTAL",$L$20:$Z$20)</f>
        <v>0</v>
      </c>
    </row>
    <row r="21" spans="1:27" ht="11.25" customHeight="1" x14ac:dyDescent="0.25">
      <c r="A21" s="136" t="s">
        <v>41</v>
      </c>
      <c r="B21" s="136" t="s">
        <v>68</v>
      </c>
      <c r="C21" s="136" t="s">
        <v>42</v>
      </c>
      <c r="D21" s="136" t="s">
        <v>25</v>
      </c>
      <c r="E21" s="136" t="s">
        <v>25</v>
      </c>
      <c r="F21" s="136" t="s">
        <v>25</v>
      </c>
      <c r="G21" s="32" t="s">
        <v>70</v>
      </c>
      <c r="H21" s="32" t="s">
        <v>69</v>
      </c>
      <c r="I21" s="32">
        <f>'MERCADO TE'!$U$18</f>
        <v>0.34100000000000003</v>
      </c>
      <c r="J21" s="17"/>
      <c r="L21" s="30">
        <f>'TE BE'!$L$21*'TE BF'!$L$49</f>
        <v>0</v>
      </c>
      <c r="M21" s="30">
        <f>'TE BE'!$M$21*'TE BF'!$M$49</f>
        <v>0</v>
      </c>
      <c r="N21" s="30">
        <f>'TE BE'!$N$21*'TE BF'!$N$49</f>
        <v>0</v>
      </c>
      <c r="O21" s="30">
        <f>'TE BE'!$O$21*'TE BF'!$O$49</f>
        <v>0</v>
      </c>
      <c r="P21" s="30">
        <f>SUM($L$21:$O$21)</f>
        <v>0</v>
      </c>
      <c r="Q21" s="30">
        <f>'TE BE'!$Q$21*'TE BF'!$Q$49</f>
        <v>0</v>
      </c>
      <c r="R21" s="30">
        <f>SUM($Q$21:$Q$21)</f>
        <v>0</v>
      </c>
      <c r="S21" s="30">
        <f>'TE BE'!$S$21*'TE BF'!$S$49</f>
        <v>0</v>
      </c>
      <c r="T21" s="30">
        <f>'TE BE'!$T$21*'TE BF'!$T$49</f>
        <v>0</v>
      </c>
      <c r="U21" s="30">
        <f>'TE BE'!$U$21*'TE BF'!$U$49</f>
        <v>0</v>
      </c>
      <c r="V21" s="30">
        <f>SUM($S$21:$U$21)</f>
        <v>0</v>
      </c>
      <c r="W21" s="30">
        <f>'TE BE'!$AA$21*'TE BF'!$W$49</f>
        <v>0</v>
      </c>
      <c r="X21" s="30">
        <f>SUM($W$21:$W$21)</f>
        <v>0</v>
      </c>
      <c r="Y21" s="30">
        <f>'TE BE'!$Y$21*'TE BF'!$Y$49</f>
        <v>0</v>
      </c>
      <c r="Z21" s="30">
        <f>SUM($Y$21:$Y$21)</f>
        <v>0</v>
      </c>
      <c r="AA21" s="30">
        <f>SUMIF($L$4:$Z$4,"SUBTOTAL",$L$21:$Z$21)</f>
        <v>0</v>
      </c>
    </row>
    <row r="22" spans="1:27" ht="11.25" customHeight="1" x14ac:dyDescent="0.25">
      <c r="A22" s="136"/>
      <c r="B22" s="136"/>
      <c r="C22" s="136"/>
      <c r="D22" s="136"/>
      <c r="E22" s="136"/>
      <c r="F22" s="136"/>
      <c r="G22" s="32" t="s">
        <v>83</v>
      </c>
      <c r="H22" s="32" t="s">
        <v>69</v>
      </c>
      <c r="I22" s="32">
        <f>'MERCADO TE'!$U$19</f>
        <v>0.55500000000000005</v>
      </c>
      <c r="J22" s="17"/>
      <c r="L22" s="30">
        <f>'TE BE'!$L$22*'TE BF'!$L$49</f>
        <v>0</v>
      </c>
      <c r="M22" s="30">
        <f>'TE BE'!$M$22*'TE BF'!$M$49</f>
        <v>0</v>
      </c>
      <c r="N22" s="30">
        <f>'TE BE'!$N$22*'TE BF'!$N$49</f>
        <v>0</v>
      </c>
      <c r="O22" s="30">
        <f>'TE BE'!$O$22*'TE BF'!$O$49</f>
        <v>0</v>
      </c>
      <c r="P22" s="30">
        <f>SUM($L$22:$O$22)</f>
        <v>0</v>
      </c>
      <c r="Q22" s="30">
        <f>'TE BE'!$Q$22*'TE BF'!$Q$49</f>
        <v>0</v>
      </c>
      <c r="R22" s="30">
        <f>SUM($Q$22:$Q$22)</f>
        <v>0</v>
      </c>
      <c r="S22" s="30">
        <f>'TE BE'!$S$22*'TE BF'!$S$49</f>
        <v>0</v>
      </c>
      <c r="T22" s="30">
        <f>'TE BE'!$T$22*'TE BF'!$T$49</f>
        <v>0</v>
      </c>
      <c r="U22" s="30">
        <f>'TE BE'!$U$22*'TE BF'!$U$49</f>
        <v>0</v>
      </c>
      <c r="V22" s="30">
        <f>SUM($S$22:$U$22)</f>
        <v>0</v>
      </c>
      <c r="W22" s="30">
        <f>'TE BE'!$AA$22*'TE BF'!$W$49</f>
        <v>0</v>
      </c>
      <c r="X22" s="30">
        <f>SUM($W$22:$W$22)</f>
        <v>0</v>
      </c>
      <c r="Y22" s="30">
        <f>'TE BE'!$Y$22*'TE BF'!$Y$49</f>
        <v>0</v>
      </c>
      <c r="Z22" s="30">
        <f>SUM($Y$22:$Y$22)</f>
        <v>0</v>
      </c>
      <c r="AA22" s="30">
        <f>SUMIF($L$4:$Z$4,"SUBTOTAL",$L$22:$Z$22)</f>
        <v>0</v>
      </c>
    </row>
    <row r="23" spans="1:27" ht="11.25" customHeight="1" x14ac:dyDescent="0.25">
      <c r="A23" s="136"/>
      <c r="B23" s="136"/>
      <c r="C23" s="136"/>
      <c r="D23" s="136"/>
      <c r="E23" s="136"/>
      <c r="F23" s="136"/>
      <c r="G23" s="32" t="s">
        <v>71</v>
      </c>
      <c r="H23" s="32" t="s">
        <v>69</v>
      </c>
      <c r="I23" s="32">
        <f>'MERCADO TE'!$U$20</f>
        <v>16.565999999999999</v>
      </c>
      <c r="J23" s="17"/>
      <c r="L23" s="30">
        <f>'TE BE'!$L$23*'TE BF'!$L$49</f>
        <v>0</v>
      </c>
      <c r="M23" s="30">
        <f>'TE BE'!$M$23*'TE BF'!$M$49</f>
        <v>0</v>
      </c>
      <c r="N23" s="30">
        <f>'TE BE'!$N$23*'TE BF'!$N$49</f>
        <v>0</v>
      </c>
      <c r="O23" s="30">
        <f>'TE BE'!$O$23*'TE BF'!$O$49</f>
        <v>0</v>
      </c>
      <c r="P23" s="30">
        <f>SUM($L$23:$O$23)</f>
        <v>0</v>
      </c>
      <c r="Q23" s="30">
        <f>'TE BE'!$Q$23*'TE BF'!$Q$49</f>
        <v>0</v>
      </c>
      <c r="R23" s="30">
        <f>SUM($Q$23:$Q$23)</f>
        <v>0</v>
      </c>
      <c r="S23" s="30">
        <f>'TE BE'!$S$23*'TE BF'!$S$49</f>
        <v>0</v>
      </c>
      <c r="T23" s="30">
        <f>'TE BE'!$T$23*'TE BF'!$T$49</f>
        <v>0</v>
      </c>
      <c r="U23" s="30">
        <f>'TE BE'!$U$23*'TE BF'!$U$49</f>
        <v>0</v>
      </c>
      <c r="V23" s="30">
        <f>SUM($S$23:$U$23)</f>
        <v>0</v>
      </c>
      <c r="W23" s="30">
        <f>'TE BE'!$AA$23*'TE BF'!$W$49</f>
        <v>0</v>
      </c>
      <c r="X23" s="30">
        <f>SUM($W$23:$W$23)</f>
        <v>0</v>
      </c>
      <c r="Y23" s="30">
        <f>'TE BE'!$Y$23*'TE BF'!$Y$49</f>
        <v>0</v>
      </c>
      <c r="Z23" s="30">
        <f>SUM($Y$23:$Y$23)</f>
        <v>0</v>
      </c>
      <c r="AA23" s="30">
        <f>SUMIF($L$4:$Z$4,"SUBTOTAL",$L$23:$Z$23)</f>
        <v>0</v>
      </c>
    </row>
    <row r="24" spans="1:27" ht="11.25" customHeight="1" x14ac:dyDescent="0.25">
      <c r="A24" s="136"/>
      <c r="B24" s="38" t="s">
        <v>72</v>
      </c>
      <c r="C24" s="38" t="s">
        <v>42</v>
      </c>
      <c r="D24" s="38" t="s">
        <v>25</v>
      </c>
      <c r="E24" s="38" t="s">
        <v>25</v>
      </c>
      <c r="F24" s="38" t="s">
        <v>25</v>
      </c>
      <c r="G24" s="32" t="s">
        <v>73</v>
      </c>
      <c r="H24" s="32" t="s">
        <v>69</v>
      </c>
      <c r="I24" s="32">
        <f>'MERCADO TE'!$U$21</f>
        <v>2549.6099999999997</v>
      </c>
      <c r="J24" s="17"/>
      <c r="L24" s="30">
        <f>'TE BE'!$L$24*'TE BF'!$L$49</f>
        <v>0</v>
      </c>
      <c r="M24" s="30">
        <f>'TE BE'!$M$24*'TE BF'!$M$49</f>
        <v>0</v>
      </c>
      <c r="N24" s="30">
        <f>'TE BE'!$N$24*'TE BF'!$N$49</f>
        <v>0</v>
      </c>
      <c r="O24" s="30">
        <f>'TE BE'!$O$24*'TE BF'!$O$49</f>
        <v>0</v>
      </c>
      <c r="P24" s="30">
        <f>SUM($L$24:$O$24)</f>
        <v>0</v>
      </c>
      <c r="Q24" s="30">
        <f>'TE BE'!$Q$24*'TE BF'!$Q$49</f>
        <v>0</v>
      </c>
      <c r="R24" s="30">
        <f>SUM($Q$24:$Q$24)</f>
        <v>0</v>
      </c>
      <c r="S24" s="30">
        <f>'TE BE'!$S$24*'TE BF'!$S$49</f>
        <v>0</v>
      </c>
      <c r="T24" s="30">
        <f>'TE BE'!$T$24*'TE BF'!$T$49</f>
        <v>0</v>
      </c>
      <c r="U24" s="30">
        <f>'TE BE'!$U$24*'TE BF'!$U$49</f>
        <v>0</v>
      </c>
      <c r="V24" s="30">
        <f>SUM($S$24:$U$24)</f>
        <v>0</v>
      </c>
      <c r="W24" s="30">
        <f>'TE BE'!$AA$24*'TE BF'!$W$49</f>
        <v>0</v>
      </c>
      <c r="X24" s="30">
        <f>SUM($W$24:$W$24)</f>
        <v>0</v>
      </c>
      <c r="Y24" s="30">
        <f>'TE BE'!$Y$24*'TE BF'!$Y$49</f>
        <v>0</v>
      </c>
      <c r="Z24" s="30">
        <f>SUM($Y$24:$Y$24)</f>
        <v>0</v>
      </c>
      <c r="AA24" s="30">
        <f>SUMIF($L$4:$Z$4,"SUBTOTAL",$L$24:$Z$24)</f>
        <v>0</v>
      </c>
    </row>
    <row r="25" spans="1:27" ht="11.25" customHeight="1" x14ac:dyDescent="0.25">
      <c r="A25" s="136"/>
      <c r="B25" s="136" t="s">
        <v>68</v>
      </c>
      <c r="C25" s="136" t="s">
        <v>42</v>
      </c>
      <c r="D25" s="136" t="s">
        <v>86</v>
      </c>
      <c r="E25" s="136" t="s">
        <v>25</v>
      </c>
      <c r="F25" s="136" t="s">
        <v>25</v>
      </c>
      <c r="G25" s="32" t="s">
        <v>70</v>
      </c>
      <c r="H25" s="32" t="s">
        <v>69</v>
      </c>
      <c r="I25" s="32">
        <f>'MERCADO TE'!$U$22</f>
        <v>0</v>
      </c>
      <c r="J25" s="17"/>
      <c r="L25" s="30">
        <f>'TE BE'!$L$25*'TE BF'!$L$49</f>
        <v>0</v>
      </c>
      <c r="M25" s="30">
        <f>'TE BE'!$M$25*'TE BF'!$M$49</f>
        <v>0</v>
      </c>
      <c r="N25" s="30">
        <f>'TE BE'!$N$25*'TE BF'!$N$49</f>
        <v>0</v>
      </c>
      <c r="O25" s="30">
        <f>'TE BE'!$O$25*'TE BF'!$O$49</f>
        <v>0</v>
      </c>
      <c r="P25" s="30">
        <f>SUM($L$25:$O$25)</f>
        <v>0</v>
      </c>
      <c r="Q25" s="30">
        <f>'TE BE'!$Q$25*'TE BF'!$Q$49</f>
        <v>0</v>
      </c>
      <c r="R25" s="30">
        <f>SUM($Q$25:$Q$25)</f>
        <v>0</v>
      </c>
      <c r="S25" s="30">
        <f>'TE BE'!$S$25*'TE BF'!$S$49</f>
        <v>0</v>
      </c>
      <c r="T25" s="30">
        <f>'TE BE'!$T$25*'TE BF'!$T$49</f>
        <v>0</v>
      </c>
      <c r="U25" s="30">
        <f>'TE BE'!$U$25*'TE BF'!$U$49</f>
        <v>0</v>
      </c>
      <c r="V25" s="30">
        <f>SUM($S$25:$U$25)</f>
        <v>0</v>
      </c>
      <c r="W25" s="30">
        <f>'TE BE'!$AA$25*'TE BF'!$W$49</f>
        <v>0</v>
      </c>
      <c r="X25" s="30">
        <f>SUM($W$25:$W$25)</f>
        <v>0</v>
      </c>
      <c r="Y25" s="30">
        <f>'TE BE'!$Y$25*'TE BF'!$Y$49</f>
        <v>0</v>
      </c>
      <c r="Z25" s="30">
        <f>SUM($Y$25:$Y$25)</f>
        <v>0</v>
      </c>
      <c r="AA25" s="30">
        <f>SUMIF($L$4:$Z$4,"SUBTOTAL",$L$25:$Z$25)</f>
        <v>0</v>
      </c>
    </row>
    <row r="26" spans="1:27" ht="11.25" customHeight="1" x14ac:dyDescent="0.25">
      <c r="A26" s="136"/>
      <c r="B26" s="136"/>
      <c r="C26" s="136"/>
      <c r="D26" s="136"/>
      <c r="E26" s="136"/>
      <c r="F26" s="136"/>
      <c r="G26" s="32" t="s">
        <v>83</v>
      </c>
      <c r="H26" s="32" t="s">
        <v>69</v>
      </c>
      <c r="I26" s="32">
        <f>'MERCADO TE'!$U$23</f>
        <v>0</v>
      </c>
      <c r="J26" s="17"/>
      <c r="L26" s="30">
        <f>'TE BE'!$L$26*'TE BF'!$L$49</f>
        <v>0</v>
      </c>
      <c r="M26" s="30">
        <f>'TE BE'!$M$26*'TE BF'!$M$49</f>
        <v>0</v>
      </c>
      <c r="N26" s="30">
        <f>'TE BE'!$N$26*'TE BF'!$N$49</f>
        <v>0</v>
      </c>
      <c r="O26" s="30">
        <f>'TE BE'!$O$26*'TE BF'!$O$49</f>
        <v>0</v>
      </c>
      <c r="P26" s="30">
        <f>SUM($L$26:$O$26)</f>
        <v>0</v>
      </c>
      <c r="Q26" s="30">
        <f>'TE BE'!$Q$26*'TE BF'!$Q$49</f>
        <v>0</v>
      </c>
      <c r="R26" s="30">
        <f>SUM($Q$26:$Q$26)</f>
        <v>0</v>
      </c>
      <c r="S26" s="30">
        <f>'TE BE'!$S$26*'TE BF'!$S$49</f>
        <v>0</v>
      </c>
      <c r="T26" s="30">
        <f>'TE BE'!$T$26*'TE BF'!$T$49</f>
        <v>0</v>
      </c>
      <c r="U26" s="30">
        <f>'TE BE'!$U$26*'TE BF'!$U$49</f>
        <v>0</v>
      </c>
      <c r="V26" s="30">
        <f>SUM($S$26:$U$26)</f>
        <v>0</v>
      </c>
      <c r="W26" s="30">
        <f>'TE BE'!$AA$26*'TE BF'!$W$49</f>
        <v>0</v>
      </c>
      <c r="X26" s="30">
        <f>SUM($W$26:$W$26)</f>
        <v>0</v>
      </c>
      <c r="Y26" s="30">
        <f>'TE BE'!$Y$26*'TE BF'!$Y$49</f>
        <v>0</v>
      </c>
      <c r="Z26" s="30">
        <f>SUM($Y$26:$Y$26)</f>
        <v>0</v>
      </c>
      <c r="AA26" s="30">
        <f>SUMIF($L$4:$Z$4,"SUBTOTAL",$L$26:$Z$26)</f>
        <v>0</v>
      </c>
    </row>
    <row r="27" spans="1:27" ht="11.25" customHeight="1" x14ac:dyDescent="0.25">
      <c r="A27" s="136"/>
      <c r="B27" s="136"/>
      <c r="C27" s="136"/>
      <c r="D27" s="136"/>
      <c r="E27" s="136"/>
      <c r="F27" s="136"/>
      <c r="G27" s="32" t="s">
        <v>71</v>
      </c>
      <c r="H27" s="32" t="s">
        <v>69</v>
      </c>
      <c r="I27" s="32">
        <f>'MERCADO TE'!$U$24</f>
        <v>0</v>
      </c>
      <c r="J27" s="17"/>
      <c r="L27" s="30">
        <f>'TE BE'!$L$27*'TE BF'!$L$49</f>
        <v>0</v>
      </c>
      <c r="M27" s="30">
        <f>'TE BE'!$M$27*'TE BF'!$M$49</f>
        <v>0</v>
      </c>
      <c r="N27" s="30">
        <f>'TE BE'!$N$27*'TE BF'!$N$49</f>
        <v>0</v>
      </c>
      <c r="O27" s="30">
        <f>'TE BE'!$O$27*'TE BF'!$O$49</f>
        <v>0</v>
      </c>
      <c r="P27" s="30">
        <f>SUM($L$27:$O$27)</f>
        <v>0</v>
      </c>
      <c r="Q27" s="30">
        <f>'TE BE'!$Q$27*'TE BF'!$Q$49</f>
        <v>0</v>
      </c>
      <c r="R27" s="30">
        <f>SUM($Q$27:$Q$27)</f>
        <v>0</v>
      </c>
      <c r="S27" s="30">
        <f>'TE BE'!$S$27*'TE BF'!$S$49</f>
        <v>0</v>
      </c>
      <c r="T27" s="30">
        <f>'TE BE'!$T$27*'TE BF'!$T$49</f>
        <v>0</v>
      </c>
      <c r="U27" s="30">
        <f>'TE BE'!$U$27*'TE BF'!$U$49</f>
        <v>0</v>
      </c>
      <c r="V27" s="30">
        <f>SUM($S$27:$U$27)</f>
        <v>0</v>
      </c>
      <c r="W27" s="30">
        <f>'TE BE'!$AA$27*'TE BF'!$W$49</f>
        <v>0</v>
      </c>
      <c r="X27" s="30">
        <f>SUM($W$27:$W$27)</f>
        <v>0</v>
      </c>
      <c r="Y27" s="30">
        <f>'TE BE'!$Y$27*'TE BF'!$Y$49</f>
        <v>0</v>
      </c>
      <c r="Z27" s="30">
        <f>SUM($Y$27:$Y$27)</f>
        <v>0</v>
      </c>
      <c r="AA27" s="30">
        <f>SUMIF($L$4:$Z$4,"SUBTOTAL",$L$27:$Z$27)</f>
        <v>0</v>
      </c>
    </row>
    <row r="28" spans="1:27" ht="11.25" customHeight="1" x14ac:dyDescent="0.25">
      <c r="A28" s="136"/>
      <c r="B28" s="38" t="s">
        <v>72</v>
      </c>
      <c r="C28" s="38" t="s">
        <v>42</v>
      </c>
      <c r="D28" s="38" t="s">
        <v>86</v>
      </c>
      <c r="E28" s="38" t="s">
        <v>25</v>
      </c>
      <c r="F28" s="38" t="s">
        <v>25</v>
      </c>
      <c r="G28" s="32" t="s">
        <v>73</v>
      </c>
      <c r="H28" s="32" t="s">
        <v>69</v>
      </c>
      <c r="I28" s="32">
        <f>'MERCADO TE'!$U$25</f>
        <v>0</v>
      </c>
      <c r="J28" s="17"/>
      <c r="L28" s="30">
        <f>'TE BE'!$L$28*'TE BF'!$L$49</f>
        <v>0</v>
      </c>
      <c r="M28" s="30">
        <f>'TE BE'!$M$28*'TE BF'!$M$49</f>
        <v>0</v>
      </c>
      <c r="N28" s="30">
        <f>'TE BE'!$N$28*'TE BF'!$N$49</f>
        <v>0</v>
      </c>
      <c r="O28" s="30">
        <f>'TE BE'!$O$28*'TE BF'!$O$49</f>
        <v>0</v>
      </c>
      <c r="P28" s="30">
        <f>SUM($L$28:$O$28)</f>
        <v>0</v>
      </c>
      <c r="Q28" s="30">
        <f>'TE BE'!$Q$28*'TE BF'!$Q$49</f>
        <v>0</v>
      </c>
      <c r="R28" s="30">
        <f>SUM($Q$28:$Q$28)</f>
        <v>0</v>
      </c>
      <c r="S28" s="30">
        <f>'TE BE'!$S$28*'TE BF'!$S$49</f>
        <v>0</v>
      </c>
      <c r="T28" s="30">
        <f>'TE BE'!$T$28*'TE BF'!$T$49</f>
        <v>0</v>
      </c>
      <c r="U28" s="30">
        <f>'TE BE'!$U$28*'TE BF'!$U$49</f>
        <v>0</v>
      </c>
      <c r="V28" s="30">
        <f>SUM($S$28:$U$28)</f>
        <v>0</v>
      </c>
      <c r="W28" s="30">
        <f>'TE BE'!$AA$28*'TE BF'!$W$49</f>
        <v>0</v>
      </c>
      <c r="X28" s="30">
        <f>SUM($W$28:$W$28)</f>
        <v>0</v>
      </c>
      <c r="Y28" s="30">
        <f>'TE BE'!$Y$28*'TE BF'!$Y$49</f>
        <v>0</v>
      </c>
      <c r="Z28" s="30">
        <f>SUM($Y$28:$Y$28)</f>
        <v>0</v>
      </c>
      <c r="AA28" s="30">
        <f>SUMIF($L$4:$Z$4,"SUBTOTAL",$L$28:$Z$28)</f>
        <v>0</v>
      </c>
    </row>
    <row r="29" spans="1:27" ht="11.25" customHeight="1" x14ac:dyDescent="0.25">
      <c r="A29" s="136"/>
      <c r="B29" s="136" t="s">
        <v>68</v>
      </c>
      <c r="C29" s="136" t="s">
        <v>42</v>
      </c>
      <c r="D29" s="136" t="s">
        <v>87</v>
      </c>
      <c r="E29" s="136" t="s">
        <v>25</v>
      </c>
      <c r="F29" s="136" t="s">
        <v>25</v>
      </c>
      <c r="G29" s="32" t="s">
        <v>70</v>
      </c>
      <c r="H29" s="32" t="s">
        <v>69</v>
      </c>
      <c r="I29" s="32">
        <f>'MERCADO TE'!$U$26</f>
        <v>0</v>
      </c>
      <c r="J29" s="17"/>
      <c r="L29" s="30">
        <f>'TE BE'!$L$29*'TE BF'!$L$49</f>
        <v>0</v>
      </c>
      <c r="M29" s="30">
        <f>'TE BE'!$M$29*'TE BF'!$M$49</f>
        <v>0</v>
      </c>
      <c r="N29" s="30">
        <f>'TE BE'!$N$29*'TE BF'!$N$49</f>
        <v>0</v>
      </c>
      <c r="O29" s="30">
        <f>'TE BE'!$O$29*'TE BF'!$O$49</f>
        <v>0</v>
      </c>
      <c r="P29" s="30">
        <f>SUM($L$29:$O$29)</f>
        <v>0</v>
      </c>
      <c r="Q29" s="30">
        <f>'TE BE'!$Q$29*'TE BF'!$Q$49</f>
        <v>0</v>
      </c>
      <c r="R29" s="30">
        <f>SUM($Q$29:$Q$29)</f>
        <v>0</v>
      </c>
      <c r="S29" s="30">
        <f>'TE BE'!$S$29*'TE BF'!$S$49</f>
        <v>0</v>
      </c>
      <c r="T29" s="30">
        <f>'TE BE'!$T$29*'TE BF'!$T$49</f>
        <v>0</v>
      </c>
      <c r="U29" s="30">
        <f>'TE BE'!$U$29*'TE BF'!$U$49</f>
        <v>0</v>
      </c>
      <c r="V29" s="30">
        <f>SUM($S$29:$U$29)</f>
        <v>0</v>
      </c>
      <c r="W29" s="30">
        <f>'TE BE'!$AA$29*'TE BF'!$W$49</f>
        <v>0</v>
      </c>
      <c r="X29" s="30">
        <f>SUM($W$29:$W$29)</f>
        <v>0</v>
      </c>
      <c r="Y29" s="30">
        <f>'TE BE'!$Y$29*'TE BF'!$Y$49</f>
        <v>0</v>
      </c>
      <c r="Z29" s="30">
        <f>SUM($Y$29:$Y$29)</f>
        <v>0</v>
      </c>
      <c r="AA29" s="30">
        <f>SUMIF($L$4:$Z$4,"SUBTOTAL",$L$29:$Z$29)</f>
        <v>0</v>
      </c>
    </row>
    <row r="30" spans="1:27" ht="11.25" customHeight="1" x14ac:dyDescent="0.25">
      <c r="A30" s="136"/>
      <c r="B30" s="136"/>
      <c r="C30" s="136"/>
      <c r="D30" s="136"/>
      <c r="E30" s="136"/>
      <c r="F30" s="136"/>
      <c r="G30" s="32" t="s">
        <v>83</v>
      </c>
      <c r="H30" s="32" t="s">
        <v>69</v>
      </c>
      <c r="I30" s="32">
        <f>'MERCADO TE'!$U$27</f>
        <v>0</v>
      </c>
      <c r="J30" s="17"/>
      <c r="L30" s="30">
        <f>'TE BE'!$L$30*'TE BF'!$L$49</f>
        <v>0</v>
      </c>
      <c r="M30" s="30">
        <f>'TE BE'!$M$30*'TE BF'!$M$49</f>
        <v>0</v>
      </c>
      <c r="N30" s="30">
        <f>'TE BE'!$N$30*'TE BF'!$N$49</f>
        <v>0</v>
      </c>
      <c r="O30" s="30">
        <f>'TE BE'!$O$30*'TE BF'!$O$49</f>
        <v>0</v>
      </c>
      <c r="P30" s="30">
        <f>SUM($L$30:$O$30)</f>
        <v>0</v>
      </c>
      <c r="Q30" s="30">
        <f>'TE BE'!$Q$30*'TE BF'!$Q$49</f>
        <v>0</v>
      </c>
      <c r="R30" s="30">
        <f>SUM($Q$30:$Q$30)</f>
        <v>0</v>
      </c>
      <c r="S30" s="30">
        <f>'TE BE'!$S$30*'TE BF'!$S$49</f>
        <v>0</v>
      </c>
      <c r="T30" s="30">
        <f>'TE BE'!$T$30*'TE BF'!$T$49</f>
        <v>0</v>
      </c>
      <c r="U30" s="30">
        <f>'TE BE'!$U$30*'TE BF'!$U$49</f>
        <v>0</v>
      </c>
      <c r="V30" s="30">
        <f>SUM($S$30:$U$30)</f>
        <v>0</v>
      </c>
      <c r="W30" s="30">
        <f>'TE BE'!$AA$30*'TE BF'!$W$49</f>
        <v>0</v>
      </c>
      <c r="X30" s="30">
        <f>SUM($W$30:$W$30)</f>
        <v>0</v>
      </c>
      <c r="Y30" s="30">
        <f>'TE BE'!$Y$30*'TE BF'!$Y$49</f>
        <v>0</v>
      </c>
      <c r="Z30" s="30">
        <f>SUM($Y$30:$Y$30)</f>
        <v>0</v>
      </c>
      <c r="AA30" s="30">
        <f>SUMIF($L$4:$Z$4,"SUBTOTAL",$L$30:$Z$30)</f>
        <v>0</v>
      </c>
    </row>
    <row r="31" spans="1:27" ht="11.25" customHeight="1" x14ac:dyDescent="0.25">
      <c r="A31" s="136"/>
      <c r="B31" s="136"/>
      <c r="C31" s="136"/>
      <c r="D31" s="136"/>
      <c r="E31" s="136"/>
      <c r="F31" s="136"/>
      <c r="G31" s="32" t="s">
        <v>71</v>
      </c>
      <c r="H31" s="32" t="s">
        <v>69</v>
      </c>
      <c r="I31" s="32">
        <f>'MERCADO TE'!$U$28</f>
        <v>0</v>
      </c>
      <c r="J31" s="17"/>
      <c r="L31" s="30">
        <f>'TE BE'!$L$31*'TE BF'!$L$49</f>
        <v>0</v>
      </c>
      <c r="M31" s="30">
        <f>'TE BE'!$M$31*'TE BF'!$M$49</f>
        <v>0</v>
      </c>
      <c r="N31" s="30">
        <f>'TE BE'!$N$31*'TE BF'!$N$49</f>
        <v>0</v>
      </c>
      <c r="O31" s="30">
        <f>'TE BE'!$O$31*'TE BF'!$O$49</f>
        <v>0</v>
      </c>
      <c r="P31" s="30">
        <f>SUM($L$31:$O$31)</f>
        <v>0</v>
      </c>
      <c r="Q31" s="30">
        <f>'TE BE'!$Q$31*'TE BF'!$Q$49</f>
        <v>0</v>
      </c>
      <c r="R31" s="30">
        <f>SUM($Q$31:$Q$31)</f>
        <v>0</v>
      </c>
      <c r="S31" s="30">
        <f>'TE BE'!$S$31*'TE BF'!$S$49</f>
        <v>0</v>
      </c>
      <c r="T31" s="30">
        <f>'TE BE'!$T$31*'TE BF'!$T$49</f>
        <v>0</v>
      </c>
      <c r="U31" s="30">
        <f>'TE BE'!$U$31*'TE BF'!$U$49</f>
        <v>0</v>
      </c>
      <c r="V31" s="30">
        <f>SUM($S$31:$U$31)</f>
        <v>0</v>
      </c>
      <c r="W31" s="30">
        <f>'TE BE'!$AA$31*'TE BF'!$W$49</f>
        <v>0</v>
      </c>
      <c r="X31" s="30">
        <f>SUM($W$31:$W$31)</f>
        <v>0</v>
      </c>
      <c r="Y31" s="30">
        <f>'TE BE'!$Y$31*'TE BF'!$Y$49</f>
        <v>0</v>
      </c>
      <c r="Z31" s="30">
        <f>SUM($Y$31:$Y$31)</f>
        <v>0</v>
      </c>
      <c r="AA31" s="30">
        <f>SUMIF($L$4:$Z$4,"SUBTOTAL",$L$31:$Z$31)</f>
        <v>0</v>
      </c>
    </row>
    <row r="32" spans="1:27" ht="11.25" customHeight="1" x14ac:dyDescent="0.25">
      <c r="A32" s="136"/>
      <c r="B32" s="38" t="s">
        <v>72</v>
      </c>
      <c r="C32" s="38" t="s">
        <v>42</v>
      </c>
      <c r="D32" s="38" t="s">
        <v>87</v>
      </c>
      <c r="E32" s="38" t="s">
        <v>25</v>
      </c>
      <c r="F32" s="38" t="s">
        <v>25</v>
      </c>
      <c r="G32" s="32" t="s">
        <v>73</v>
      </c>
      <c r="H32" s="32" t="s">
        <v>69</v>
      </c>
      <c r="I32" s="32">
        <f>'MERCADO TE'!$U$29</f>
        <v>0</v>
      </c>
      <c r="J32" s="17"/>
      <c r="L32" s="30">
        <f>'TE BE'!$L$32*'TE BF'!$L$49</f>
        <v>0</v>
      </c>
      <c r="M32" s="30">
        <f>'TE BE'!$M$32*'TE BF'!$M$49</f>
        <v>0</v>
      </c>
      <c r="N32" s="30">
        <f>'TE BE'!$N$32*'TE BF'!$N$49</f>
        <v>0</v>
      </c>
      <c r="O32" s="30">
        <f>'TE BE'!$O$32*'TE BF'!$O$49</f>
        <v>0</v>
      </c>
      <c r="P32" s="30">
        <f>SUM($L$32:$O$32)</f>
        <v>0</v>
      </c>
      <c r="Q32" s="30">
        <f>'TE BE'!$Q$32*'TE BF'!$Q$49</f>
        <v>0</v>
      </c>
      <c r="R32" s="30">
        <f>SUM($Q$32:$Q$32)</f>
        <v>0</v>
      </c>
      <c r="S32" s="30">
        <f>'TE BE'!$S$32*'TE BF'!$S$49</f>
        <v>0</v>
      </c>
      <c r="T32" s="30">
        <f>'TE BE'!$T$32*'TE BF'!$T$49</f>
        <v>0</v>
      </c>
      <c r="U32" s="30">
        <f>'TE BE'!$U$32*'TE BF'!$U$49</f>
        <v>0</v>
      </c>
      <c r="V32" s="30">
        <f>SUM($S$32:$U$32)</f>
        <v>0</v>
      </c>
      <c r="W32" s="30">
        <f>'TE BE'!$AA$32*'TE BF'!$W$49</f>
        <v>0</v>
      </c>
      <c r="X32" s="30">
        <f>SUM($W$32:$W$32)</f>
        <v>0</v>
      </c>
      <c r="Y32" s="30">
        <f>'TE BE'!$Y$32*'TE BF'!$Y$49</f>
        <v>0</v>
      </c>
      <c r="Z32" s="30">
        <f>SUM($Y$32:$Y$32)</f>
        <v>0</v>
      </c>
      <c r="AA32" s="30">
        <f>SUMIF($L$4:$Z$4,"SUBTOTAL",$L$32:$Z$32)</f>
        <v>0</v>
      </c>
    </row>
    <row r="33" spans="1:27" ht="11.25" customHeight="1" x14ac:dyDescent="0.25">
      <c r="A33" s="136"/>
      <c r="B33" s="136" t="s">
        <v>84</v>
      </c>
      <c r="C33" s="136" t="s">
        <v>42</v>
      </c>
      <c r="D33" s="38" t="s">
        <v>25</v>
      </c>
      <c r="E33" s="38" t="s">
        <v>25</v>
      </c>
      <c r="F33" s="38" t="s">
        <v>25</v>
      </c>
      <c r="G33" s="32" t="s">
        <v>73</v>
      </c>
      <c r="H33" s="32" t="s">
        <v>69</v>
      </c>
      <c r="I33" s="32">
        <f>'MERCADO TE'!$U$30</f>
        <v>0</v>
      </c>
      <c r="J33" s="17"/>
      <c r="L33" s="30">
        <f>'TE BE'!$L$33*'TE BF'!$L$49</f>
        <v>0</v>
      </c>
      <c r="M33" s="30">
        <f>'TE BE'!$M$33*'TE BF'!$M$49</f>
        <v>0</v>
      </c>
      <c r="N33" s="30">
        <f>'TE BE'!$N$33*'TE BF'!$N$49</f>
        <v>0</v>
      </c>
      <c r="O33" s="30">
        <f>'TE BE'!$O$33*'TE BF'!$O$49</f>
        <v>0</v>
      </c>
      <c r="P33" s="30">
        <f>SUM($L$33:$O$33)</f>
        <v>0</v>
      </c>
      <c r="Q33" s="30">
        <f>'TE BE'!$Q$33*'TE BF'!$Q$49</f>
        <v>0</v>
      </c>
      <c r="R33" s="30">
        <f>SUM($Q$33:$Q$33)</f>
        <v>0</v>
      </c>
      <c r="S33" s="30">
        <f>'TE BE'!$S$33*'TE BF'!$S$49</f>
        <v>0</v>
      </c>
      <c r="T33" s="30">
        <f>'TE BE'!$T$33*'TE BF'!$T$49</f>
        <v>0</v>
      </c>
      <c r="U33" s="30">
        <f>'TE BE'!$U$33*'TE BF'!$U$49</f>
        <v>0</v>
      </c>
      <c r="V33" s="30">
        <f>SUM($S$33:$U$33)</f>
        <v>0</v>
      </c>
      <c r="W33" s="30">
        <f>'TE BE'!$AA$33*'TE BF'!$W$49</f>
        <v>0</v>
      </c>
      <c r="X33" s="30">
        <f>SUM($W$33:$W$33)</f>
        <v>0</v>
      </c>
      <c r="Y33" s="30">
        <f>'TE BE'!$Y$33*'TE BF'!$Y$49</f>
        <v>0</v>
      </c>
      <c r="Z33" s="30">
        <f>SUM($Y$33:$Y$33)</f>
        <v>0</v>
      </c>
      <c r="AA33" s="30">
        <f>SUMIF($L$4:$Z$4,"SUBTOTAL",$L$33:$Z$33)</f>
        <v>0</v>
      </c>
    </row>
    <row r="34" spans="1:27" ht="11.25" customHeight="1" x14ac:dyDescent="0.25">
      <c r="A34" s="136"/>
      <c r="B34" s="136"/>
      <c r="C34" s="136"/>
      <c r="D34" s="38" t="s">
        <v>86</v>
      </c>
      <c r="E34" s="38" t="s">
        <v>25</v>
      </c>
      <c r="F34" s="38" t="s">
        <v>25</v>
      </c>
      <c r="G34" s="32" t="s">
        <v>73</v>
      </c>
      <c r="H34" s="32" t="s">
        <v>69</v>
      </c>
      <c r="I34" s="32">
        <f>'MERCADO TE'!$U$31</f>
        <v>0</v>
      </c>
      <c r="J34" s="17"/>
      <c r="L34" s="30">
        <f>'TE BE'!$L$34*'TE BF'!$L$49</f>
        <v>0</v>
      </c>
      <c r="M34" s="30">
        <f>'TE BE'!$M$34*'TE BF'!$M$49</f>
        <v>0</v>
      </c>
      <c r="N34" s="30">
        <f>'TE BE'!$N$34*'TE BF'!$N$49</f>
        <v>0</v>
      </c>
      <c r="O34" s="30">
        <f>'TE BE'!$O$34*'TE BF'!$O$49</f>
        <v>0</v>
      </c>
      <c r="P34" s="30">
        <f>SUM($L$34:$O$34)</f>
        <v>0</v>
      </c>
      <c r="Q34" s="30">
        <f>'TE BE'!$Q$34*'TE BF'!$Q$49</f>
        <v>0</v>
      </c>
      <c r="R34" s="30">
        <f>SUM($Q$34:$Q$34)</f>
        <v>0</v>
      </c>
      <c r="S34" s="30">
        <f>'TE BE'!$S$34*'TE BF'!$S$49</f>
        <v>0</v>
      </c>
      <c r="T34" s="30">
        <f>'TE BE'!$T$34*'TE BF'!$T$49</f>
        <v>0</v>
      </c>
      <c r="U34" s="30">
        <f>'TE BE'!$U$34*'TE BF'!$U$49</f>
        <v>0</v>
      </c>
      <c r="V34" s="30">
        <f>SUM($S$34:$U$34)</f>
        <v>0</v>
      </c>
      <c r="W34" s="30">
        <f>'TE BE'!$AA$34*'TE BF'!$W$49</f>
        <v>0</v>
      </c>
      <c r="X34" s="30">
        <f>SUM($W$34:$W$34)</f>
        <v>0</v>
      </c>
      <c r="Y34" s="30">
        <f>'TE BE'!$Y$34*'TE BF'!$Y$49</f>
        <v>0</v>
      </c>
      <c r="Z34" s="30">
        <f>SUM($Y$34:$Y$34)</f>
        <v>0</v>
      </c>
      <c r="AA34" s="30">
        <f>SUMIF($L$4:$Z$4,"SUBTOTAL",$L$34:$Z$34)</f>
        <v>0</v>
      </c>
    </row>
    <row r="35" spans="1:27" ht="11.25" customHeight="1" x14ac:dyDescent="0.25">
      <c r="A35" s="136"/>
      <c r="B35" s="136"/>
      <c r="C35" s="136"/>
      <c r="D35" s="38" t="s">
        <v>87</v>
      </c>
      <c r="E35" s="38" t="s">
        <v>25</v>
      </c>
      <c r="F35" s="38" t="s">
        <v>25</v>
      </c>
      <c r="G35" s="32" t="s">
        <v>73</v>
      </c>
      <c r="H35" s="32" t="s">
        <v>69</v>
      </c>
      <c r="I35" s="32">
        <f>'MERCADO TE'!$U$32</f>
        <v>0</v>
      </c>
      <c r="J35" s="17"/>
      <c r="L35" s="30">
        <f>'TE BE'!$L$35*'TE BF'!$L$49</f>
        <v>0</v>
      </c>
      <c r="M35" s="30">
        <f>'TE BE'!$M$35*'TE BF'!$M$49</f>
        <v>0</v>
      </c>
      <c r="N35" s="30">
        <f>'TE BE'!$N$35*'TE BF'!$N$49</f>
        <v>0</v>
      </c>
      <c r="O35" s="30">
        <f>'TE BE'!$O$35*'TE BF'!$O$49</f>
        <v>0</v>
      </c>
      <c r="P35" s="30">
        <f>SUM($L$35:$O$35)</f>
        <v>0</v>
      </c>
      <c r="Q35" s="30">
        <f>'TE BE'!$Q$35*'TE BF'!$Q$49</f>
        <v>0</v>
      </c>
      <c r="R35" s="30">
        <f>SUM($Q$35:$Q$35)</f>
        <v>0</v>
      </c>
      <c r="S35" s="30">
        <f>'TE BE'!$S$35*'TE BF'!$S$49</f>
        <v>0</v>
      </c>
      <c r="T35" s="30">
        <f>'TE BE'!$T$35*'TE BF'!$T$49</f>
        <v>0</v>
      </c>
      <c r="U35" s="30">
        <f>'TE BE'!$U$35*'TE BF'!$U$49</f>
        <v>0</v>
      </c>
      <c r="V35" s="30">
        <f>SUM($S$35:$U$35)</f>
        <v>0</v>
      </c>
      <c r="W35" s="30">
        <f>'TE BE'!$AA$35*'TE BF'!$W$49</f>
        <v>0</v>
      </c>
      <c r="X35" s="30">
        <f>SUM($W$35:$W$35)</f>
        <v>0</v>
      </c>
      <c r="Y35" s="30">
        <f>'TE BE'!$Y$35*'TE BF'!$Y$49</f>
        <v>0</v>
      </c>
      <c r="Z35" s="30">
        <f>SUM($Y$35:$Y$35)</f>
        <v>0</v>
      </c>
      <c r="AA35" s="30">
        <f>SUMIF($L$4:$Z$4,"SUBTOTAL",$L$35:$Z$35)</f>
        <v>0</v>
      </c>
    </row>
    <row r="36" spans="1:27" ht="11.25" customHeight="1" x14ac:dyDescent="0.25">
      <c r="A36" s="136" t="s">
        <v>32</v>
      </c>
      <c r="B36" s="136" t="s">
        <v>68</v>
      </c>
      <c r="C36" s="136" t="s">
        <v>25</v>
      </c>
      <c r="D36" s="136" t="s">
        <v>25</v>
      </c>
      <c r="E36" s="136" t="s">
        <v>25</v>
      </c>
      <c r="F36" s="136" t="s">
        <v>25</v>
      </c>
      <c r="G36" s="32" t="s">
        <v>70</v>
      </c>
      <c r="H36" s="32" t="s">
        <v>69</v>
      </c>
      <c r="I36" s="32">
        <f>'MERCADO TE'!$U$33</f>
        <v>0.13600000000000001</v>
      </c>
      <c r="J36" s="17"/>
      <c r="L36" s="30">
        <f>'TE BE'!$L$36*'TE BF'!$L$49</f>
        <v>0</v>
      </c>
      <c r="M36" s="30">
        <f>'TE BE'!$M$36*'TE BF'!$M$49</f>
        <v>0</v>
      </c>
      <c r="N36" s="30">
        <f>'TE BE'!$N$36*'TE BF'!$N$49</f>
        <v>0</v>
      </c>
      <c r="O36" s="30">
        <f>'TE BE'!$O$36*'TE BF'!$O$49</f>
        <v>0</v>
      </c>
      <c r="P36" s="30">
        <f>SUM($L$36:$O$36)</f>
        <v>0</v>
      </c>
      <c r="Q36" s="30">
        <f>'TE BE'!$Q$36*'TE BF'!$Q$49</f>
        <v>0</v>
      </c>
      <c r="R36" s="30">
        <f>SUM($Q$36:$Q$36)</f>
        <v>0</v>
      </c>
      <c r="S36" s="30">
        <f>'TE BE'!$S$36*'TE BF'!$S$49</f>
        <v>0</v>
      </c>
      <c r="T36" s="30">
        <f>'TE BE'!$T$36*'TE BF'!$T$49</f>
        <v>0</v>
      </c>
      <c r="U36" s="30">
        <f>'TE BE'!$U$36*'TE BF'!$U$49</f>
        <v>0</v>
      </c>
      <c r="V36" s="30">
        <f>SUM($S$36:$U$36)</f>
        <v>0</v>
      </c>
      <c r="W36" s="30">
        <f>'TE BE'!$AA$36*'TE BF'!$W$49</f>
        <v>0</v>
      </c>
      <c r="X36" s="30">
        <f>SUM($W$36:$W$36)</f>
        <v>0</v>
      </c>
      <c r="Y36" s="30">
        <f>'TE BE'!$Y$36*'TE BF'!$Y$49</f>
        <v>0</v>
      </c>
      <c r="Z36" s="30">
        <f>SUM($Y$36:$Y$36)</f>
        <v>0</v>
      </c>
      <c r="AA36" s="30">
        <f>SUMIF($L$4:$Z$4,"SUBTOTAL",$L$36:$Z$36)</f>
        <v>0</v>
      </c>
    </row>
    <row r="37" spans="1:27" ht="11.25" customHeight="1" x14ac:dyDescent="0.25">
      <c r="A37" s="136"/>
      <c r="B37" s="136"/>
      <c r="C37" s="136"/>
      <c r="D37" s="136"/>
      <c r="E37" s="136"/>
      <c r="F37" s="136"/>
      <c r="G37" s="32" t="s">
        <v>83</v>
      </c>
      <c r="H37" s="32" t="s">
        <v>69</v>
      </c>
      <c r="I37" s="32">
        <f>'MERCADO TE'!$U$34</f>
        <v>0.16400000000000003</v>
      </c>
      <c r="J37" s="17"/>
      <c r="L37" s="30">
        <f>'TE BE'!$L$37*'TE BF'!$L$49</f>
        <v>0</v>
      </c>
      <c r="M37" s="30">
        <f>'TE BE'!$M$37*'TE BF'!$M$49</f>
        <v>0</v>
      </c>
      <c r="N37" s="30">
        <f>'TE BE'!$N$37*'TE BF'!$N$49</f>
        <v>0</v>
      </c>
      <c r="O37" s="30">
        <f>'TE BE'!$O$37*'TE BF'!$O$49</f>
        <v>0</v>
      </c>
      <c r="P37" s="30">
        <f>SUM($L$37:$O$37)</f>
        <v>0</v>
      </c>
      <c r="Q37" s="30">
        <f>'TE BE'!$Q$37*'TE BF'!$Q$49</f>
        <v>0</v>
      </c>
      <c r="R37" s="30">
        <f>SUM($Q$37:$Q$37)</f>
        <v>0</v>
      </c>
      <c r="S37" s="30">
        <f>'TE BE'!$S$37*'TE BF'!$S$49</f>
        <v>0</v>
      </c>
      <c r="T37" s="30">
        <f>'TE BE'!$T$37*'TE BF'!$T$49</f>
        <v>0</v>
      </c>
      <c r="U37" s="30">
        <f>'TE BE'!$U$37*'TE BF'!$U$49</f>
        <v>0</v>
      </c>
      <c r="V37" s="30">
        <f>SUM($S$37:$U$37)</f>
        <v>0</v>
      </c>
      <c r="W37" s="30">
        <f>'TE BE'!$AA$37*'TE BF'!$W$49</f>
        <v>0</v>
      </c>
      <c r="X37" s="30">
        <f>SUM($W$37:$W$37)</f>
        <v>0</v>
      </c>
      <c r="Y37" s="30">
        <f>'TE BE'!$Y$37*'TE BF'!$Y$49</f>
        <v>0</v>
      </c>
      <c r="Z37" s="30">
        <f>SUM($Y$37:$Y$37)</f>
        <v>0</v>
      </c>
      <c r="AA37" s="30">
        <f>SUMIF($L$4:$Z$4,"SUBTOTAL",$L$37:$Z$37)</f>
        <v>0</v>
      </c>
    </row>
    <row r="38" spans="1:27" ht="11.25" customHeight="1" x14ac:dyDescent="0.25">
      <c r="A38" s="136"/>
      <c r="B38" s="136"/>
      <c r="C38" s="136"/>
      <c r="D38" s="136"/>
      <c r="E38" s="136"/>
      <c r="F38" s="136"/>
      <c r="G38" s="32" t="s">
        <v>71</v>
      </c>
      <c r="H38" s="32" t="s">
        <v>69</v>
      </c>
      <c r="I38" s="32">
        <f>'MERCADO TE'!$U$35</f>
        <v>5.0719999999999992</v>
      </c>
      <c r="J38" s="17"/>
      <c r="L38" s="30">
        <f>'TE BE'!$L$38*'TE BF'!$L$49</f>
        <v>0</v>
      </c>
      <c r="M38" s="30">
        <f>'TE BE'!$M$38*'TE BF'!$M$49</f>
        <v>0</v>
      </c>
      <c r="N38" s="30">
        <f>'TE BE'!$N$38*'TE BF'!$N$49</f>
        <v>0</v>
      </c>
      <c r="O38" s="30">
        <f>'TE BE'!$O$38*'TE BF'!$O$49</f>
        <v>0</v>
      </c>
      <c r="P38" s="30">
        <f>SUM($L$38:$O$38)</f>
        <v>0</v>
      </c>
      <c r="Q38" s="30">
        <f>'TE BE'!$Q$38*'TE BF'!$Q$49</f>
        <v>0</v>
      </c>
      <c r="R38" s="30">
        <f>SUM($Q$38:$Q$38)</f>
        <v>0</v>
      </c>
      <c r="S38" s="30">
        <f>'TE BE'!$S$38*'TE BF'!$S$49</f>
        <v>0</v>
      </c>
      <c r="T38" s="30">
        <f>'TE BE'!$T$38*'TE BF'!$T$49</f>
        <v>0</v>
      </c>
      <c r="U38" s="30">
        <f>'TE BE'!$U$38*'TE BF'!$U$49</f>
        <v>0</v>
      </c>
      <c r="V38" s="30">
        <f>SUM($S$38:$U$38)</f>
        <v>0</v>
      </c>
      <c r="W38" s="30">
        <f>'TE BE'!$AA$38*'TE BF'!$W$49</f>
        <v>0</v>
      </c>
      <c r="X38" s="30">
        <f>SUM($W$38:$W$38)</f>
        <v>0</v>
      </c>
      <c r="Y38" s="30">
        <f>'TE BE'!$Y$38*'TE BF'!$Y$49</f>
        <v>0</v>
      </c>
      <c r="Z38" s="30">
        <f>SUM($Y$38:$Y$38)</f>
        <v>0</v>
      </c>
      <c r="AA38" s="30">
        <f>SUMIF($L$4:$Z$4,"SUBTOTAL",$L$38:$Z$38)</f>
        <v>0</v>
      </c>
    </row>
    <row r="39" spans="1:27" ht="11.25" customHeight="1" x14ac:dyDescent="0.25">
      <c r="A39" s="136"/>
      <c r="B39" s="38" t="s">
        <v>72</v>
      </c>
      <c r="C39" s="38" t="s">
        <v>25</v>
      </c>
      <c r="D39" s="38" t="s">
        <v>25</v>
      </c>
      <c r="E39" s="38" t="s">
        <v>25</v>
      </c>
      <c r="F39" s="38" t="s">
        <v>25</v>
      </c>
      <c r="G39" s="32" t="s">
        <v>73</v>
      </c>
      <c r="H39" s="32" t="s">
        <v>69</v>
      </c>
      <c r="I39" s="32">
        <f>'MERCADO TE'!$U$36</f>
        <v>1791.422</v>
      </c>
      <c r="J39" s="17"/>
      <c r="L39" s="30">
        <f>'TE BE'!$L$39*'TE BF'!$L$49</f>
        <v>0</v>
      </c>
      <c r="M39" s="30">
        <f>'TE BE'!$M$39*'TE BF'!$M$49</f>
        <v>0</v>
      </c>
      <c r="N39" s="30">
        <f>'TE BE'!$N$39*'TE BF'!$N$49</f>
        <v>0</v>
      </c>
      <c r="O39" s="30">
        <f>'TE BE'!$O$39*'TE BF'!$O$49</f>
        <v>0</v>
      </c>
      <c r="P39" s="30">
        <f>SUM($L$39:$O$39)</f>
        <v>0</v>
      </c>
      <c r="Q39" s="30">
        <f>'TE BE'!$Q$39*'TE BF'!$Q$49</f>
        <v>0</v>
      </c>
      <c r="R39" s="30">
        <f>SUM($Q$39:$Q$39)</f>
        <v>0</v>
      </c>
      <c r="S39" s="30">
        <f>'TE BE'!$S$39*'TE BF'!$S$49</f>
        <v>0</v>
      </c>
      <c r="T39" s="30">
        <f>'TE BE'!$T$39*'TE BF'!$T$49</f>
        <v>0</v>
      </c>
      <c r="U39" s="30">
        <f>'TE BE'!$U$39*'TE BF'!$U$49</f>
        <v>0</v>
      </c>
      <c r="V39" s="30">
        <f>SUM($S$39:$U$39)</f>
        <v>0</v>
      </c>
      <c r="W39" s="30">
        <f>'TE BE'!$AA$39*'TE BF'!$W$49</f>
        <v>0</v>
      </c>
      <c r="X39" s="30">
        <f>SUM($W$39:$W$39)</f>
        <v>0</v>
      </c>
      <c r="Y39" s="30">
        <f>'TE BE'!$Y$39*'TE BF'!$Y$49</f>
        <v>0</v>
      </c>
      <c r="Z39" s="30">
        <f>SUM($Y$39:$Y$39)</f>
        <v>0</v>
      </c>
      <c r="AA39" s="30">
        <f>SUMIF($L$4:$Z$4,"SUBTOTAL",$L$39:$Z$39)</f>
        <v>0</v>
      </c>
    </row>
    <row r="40" spans="1:27" ht="11.25" customHeight="1" x14ac:dyDescent="0.25">
      <c r="A40" s="136"/>
      <c r="B40" s="38" t="s">
        <v>84</v>
      </c>
      <c r="C40" s="38" t="s">
        <v>25</v>
      </c>
      <c r="D40" s="38" t="s">
        <v>25</v>
      </c>
      <c r="E40" s="38" t="s">
        <v>25</v>
      </c>
      <c r="F40" s="38" t="s">
        <v>25</v>
      </c>
      <c r="G40" s="32" t="s">
        <v>73</v>
      </c>
      <c r="H40" s="32" t="s">
        <v>69</v>
      </c>
      <c r="I40" s="32">
        <f>'MERCADO TE'!$U$37</f>
        <v>0</v>
      </c>
      <c r="J40" s="17"/>
      <c r="L40" s="30">
        <f>'TE BE'!$L$40*'TE BF'!$L$49</f>
        <v>0</v>
      </c>
      <c r="M40" s="30">
        <f>'TE BE'!$M$40*'TE BF'!$M$49</f>
        <v>0</v>
      </c>
      <c r="N40" s="30">
        <f>'TE BE'!$N$40*'TE BF'!$N$49</f>
        <v>0</v>
      </c>
      <c r="O40" s="30">
        <f>'TE BE'!$O$40*'TE BF'!$O$49</f>
        <v>0</v>
      </c>
      <c r="P40" s="30">
        <f>SUM($L$40:$O$40)</f>
        <v>0</v>
      </c>
      <c r="Q40" s="30">
        <f>'TE BE'!$Q$40*'TE BF'!$Q$49</f>
        <v>0</v>
      </c>
      <c r="R40" s="30">
        <f>SUM($Q$40:$Q$40)</f>
        <v>0</v>
      </c>
      <c r="S40" s="30">
        <f>'TE BE'!$S$40*'TE BF'!$S$49</f>
        <v>0</v>
      </c>
      <c r="T40" s="30">
        <f>'TE BE'!$T$40*'TE BF'!$T$49</f>
        <v>0</v>
      </c>
      <c r="U40" s="30">
        <f>'TE BE'!$U$40*'TE BF'!$U$49</f>
        <v>0</v>
      </c>
      <c r="V40" s="30">
        <f>SUM($S$40:$U$40)</f>
        <v>0</v>
      </c>
      <c r="W40" s="30">
        <f>'TE BE'!$AA$40*'TE BF'!$W$49</f>
        <v>0</v>
      </c>
      <c r="X40" s="30">
        <f>SUM($W$40:$W$40)</f>
        <v>0</v>
      </c>
      <c r="Y40" s="30">
        <f>'TE BE'!$Y$40*'TE BF'!$Y$49</f>
        <v>0</v>
      </c>
      <c r="Z40" s="30">
        <f>SUM($Y$40:$Y$40)</f>
        <v>0</v>
      </c>
      <c r="AA40" s="30">
        <f>SUMIF($L$4:$Z$4,"SUBTOTAL",$L$40:$Z$40)</f>
        <v>0</v>
      </c>
    </row>
    <row r="41" spans="1:27" ht="11.25" customHeight="1" x14ac:dyDescent="0.25">
      <c r="A41" s="136" t="s">
        <v>44</v>
      </c>
      <c r="B41" s="136" t="s">
        <v>72</v>
      </c>
      <c r="C41" s="136" t="s">
        <v>45</v>
      </c>
      <c r="D41" s="38" t="s">
        <v>46</v>
      </c>
      <c r="E41" s="38" t="s">
        <v>25</v>
      </c>
      <c r="F41" s="38" t="s">
        <v>25</v>
      </c>
      <c r="G41" s="32" t="s">
        <v>73</v>
      </c>
      <c r="H41" s="32" t="s">
        <v>69</v>
      </c>
      <c r="I41" s="32">
        <f>'MERCADO TE'!$U$38</f>
        <v>1518.0680000000002</v>
      </c>
      <c r="J41" s="17"/>
      <c r="L41" s="30">
        <f>'TE BE'!$L$41*'TE BF'!$L$49</f>
        <v>0</v>
      </c>
      <c r="M41" s="30">
        <f>'TE BE'!$M$41*'TE BF'!$M$49</f>
        <v>0</v>
      </c>
      <c r="N41" s="30">
        <f>'TE BE'!$N$41*'TE BF'!$N$49</f>
        <v>0</v>
      </c>
      <c r="O41" s="30">
        <f>'TE BE'!$O$41*'TE BF'!$O$49</f>
        <v>0</v>
      </c>
      <c r="P41" s="30">
        <f>SUM($L$41:$O$41)</f>
        <v>0</v>
      </c>
      <c r="Q41" s="30">
        <f>'TE BE'!$Q$41*'TE BF'!$Q$49</f>
        <v>0</v>
      </c>
      <c r="R41" s="30">
        <f>SUM($Q$41:$Q$41)</f>
        <v>0</v>
      </c>
      <c r="S41" s="30">
        <f>'TE BE'!$S$41*'TE BF'!$S$49</f>
        <v>0</v>
      </c>
      <c r="T41" s="30">
        <f>'TE BE'!$T$41*'TE BF'!$T$49</f>
        <v>0</v>
      </c>
      <c r="U41" s="30">
        <f>'TE BE'!$U$41*'TE BF'!$U$49</f>
        <v>0</v>
      </c>
      <c r="V41" s="30">
        <f>SUM($S$41:$U$41)</f>
        <v>0</v>
      </c>
      <c r="W41" s="30">
        <f>'TE BE'!$AA$41*'TE BF'!$W$49</f>
        <v>0</v>
      </c>
      <c r="X41" s="30">
        <f>SUM($W$41:$W$41)</f>
        <v>0</v>
      </c>
      <c r="Y41" s="30">
        <f>'TE BE'!$Y$41*'TE BF'!$Y$49</f>
        <v>0</v>
      </c>
      <c r="Z41" s="30">
        <f>SUM($Y$41:$Y$41)</f>
        <v>0</v>
      </c>
      <c r="AA41" s="30">
        <f>SUMIF($L$4:$Z$4,"SUBTOTAL",$L$41:$Z$41)</f>
        <v>0</v>
      </c>
    </row>
    <row r="42" spans="1:27" ht="11.25" customHeight="1" x14ac:dyDescent="0.25">
      <c r="A42" s="136"/>
      <c r="B42" s="136"/>
      <c r="C42" s="136"/>
      <c r="D42" s="32" t="s">
        <v>88</v>
      </c>
      <c r="E42" s="32" t="s">
        <v>25</v>
      </c>
      <c r="F42" s="32" t="s">
        <v>25</v>
      </c>
      <c r="G42" s="32" t="s">
        <v>73</v>
      </c>
      <c r="H42" s="32" t="s">
        <v>69</v>
      </c>
      <c r="I42" s="32">
        <f>'MERCADO TE'!$U$39</f>
        <v>0</v>
      </c>
      <c r="J42" s="17"/>
      <c r="L42" s="30">
        <f>'TE BE'!$L$42*'TE BF'!$L$49</f>
        <v>0</v>
      </c>
      <c r="M42" s="30">
        <f>'TE BE'!$M$42*'TE BF'!$M$49</f>
        <v>0</v>
      </c>
      <c r="N42" s="30">
        <f>'TE BE'!$N$42*'TE BF'!$N$49</f>
        <v>0</v>
      </c>
      <c r="O42" s="30">
        <f>'TE BE'!$O$42*'TE BF'!$O$49</f>
        <v>0</v>
      </c>
      <c r="P42" s="30">
        <f>SUM($L$42:$O$42)</f>
        <v>0</v>
      </c>
      <c r="Q42" s="30">
        <f>'TE BE'!$Q$42*'TE BF'!$Q$49</f>
        <v>0</v>
      </c>
      <c r="R42" s="30">
        <f>SUM($Q$42:$Q$42)</f>
        <v>0</v>
      </c>
      <c r="S42" s="30">
        <f>'TE BE'!$S$42*'TE BF'!$S$49</f>
        <v>0</v>
      </c>
      <c r="T42" s="30">
        <f>'TE BE'!$T$42*'TE BF'!$T$49</f>
        <v>0</v>
      </c>
      <c r="U42" s="30">
        <f>'TE BE'!$U$42*'TE BF'!$U$49</f>
        <v>0</v>
      </c>
      <c r="V42" s="30">
        <f>SUM($S$42:$U$42)</f>
        <v>0</v>
      </c>
      <c r="W42" s="30">
        <f>'TE BE'!$AA$42*'TE BF'!$W$49</f>
        <v>0</v>
      </c>
      <c r="X42" s="30">
        <f>SUM($W$42:$W$42)</f>
        <v>0</v>
      </c>
      <c r="Y42" s="30">
        <f>'TE BE'!$Y$42*'TE BF'!$Y$49</f>
        <v>0</v>
      </c>
      <c r="Z42" s="30">
        <f>SUM($Y$42:$Y$42)</f>
        <v>0</v>
      </c>
      <c r="AA42" s="30">
        <f>SUMIF($L$4:$Z$4,"SUBTOTAL",$L$42:$Z$42)</f>
        <v>0</v>
      </c>
    </row>
    <row r="44" spans="1:27" ht="11.25" customHeight="1" x14ac:dyDescent="0.25">
      <c r="K44" s="37" t="s">
        <v>630</v>
      </c>
      <c r="L44" s="30">
        <f t="shared" ref="L44:AA44" si="0">SUMPRODUCT($I$5:$I$42,L$5:L$42)</f>
        <v>0</v>
      </c>
      <c r="M44" s="30">
        <f t="shared" si="0"/>
        <v>0</v>
      </c>
      <c r="N44" s="30">
        <f t="shared" si="0"/>
        <v>0</v>
      </c>
      <c r="O44" s="30">
        <f t="shared" si="0"/>
        <v>0</v>
      </c>
      <c r="P44" s="30">
        <f t="shared" si="0"/>
        <v>0</v>
      </c>
      <c r="Q44" s="30">
        <f t="shared" si="0"/>
        <v>0</v>
      </c>
      <c r="R44" s="30">
        <f t="shared" si="0"/>
        <v>0</v>
      </c>
      <c r="S44" s="30">
        <f t="shared" si="0"/>
        <v>0</v>
      </c>
      <c r="T44" s="30">
        <f t="shared" si="0"/>
        <v>0</v>
      </c>
      <c r="U44" s="30">
        <f t="shared" si="0"/>
        <v>0</v>
      </c>
      <c r="V44" s="30">
        <f t="shared" si="0"/>
        <v>0</v>
      </c>
      <c r="W44" s="30">
        <f t="shared" si="0"/>
        <v>0</v>
      </c>
      <c r="X44" s="30">
        <f t="shared" si="0"/>
        <v>0</v>
      </c>
      <c r="Y44" s="30">
        <f t="shared" si="0"/>
        <v>0</v>
      </c>
      <c r="Z44" s="30">
        <f t="shared" si="0"/>
        <v>0</v>
      </c>
      <c r="AA44" s="30">
        <f t="shared" si="0"/>
        <v>0</v>
      </c>
    </row>
    <row r="45" spans="1:27" ht="11.25" customHeight="1" x14ac:dyDescent="0.25">
      <c r="K45" s="37" t="s">
        <v>549</v>
      </c>
      <c r="L45" s="30">
        <f>CUSTOS!$D$30</f>
        <v>0</v>
      </c>
      <c r="M45" s="30">
        <f>CUSTOS!$D$31</f>
        <v>0</v>
      </c>
      <c r="N45" s="30">
        <f>CUSTOS!$D$32</f>
        <v>0</v>
      </c>
      <c r="O45" s="30">
        <f>CUSTOS!$D$33</f>
        <v>0</v>
      </c>
      <c r="P45" s="30">
        <f>CUSTOS!$D$34</f>
        <v>0</v>
      </c>
      <c r="Q45" s="30">
        <f>CUSTOS!$D$35</f>
        <v>2810087.9282794264</v>
      </c>
      <c r="R45" s="30">
        <f>CUSTOS!$D$36</f>
        <v>2810087.9282794264</v>
      </c>
      <c r="S45" s="30">
        <f>CUSTOS!$D$37</f>
        <v>0</v>
      </c>
      <c r="T45" s="30">
        <f>CUSTOS!$D$38</f>
        <v>0</v>
      </c>
      <c r="U45" s="30">
        <f>CUSTOS!$D$39</f>
        <v>0</v>
      </c>
      <c r="V45" s="30">
        <f>CUSTOS!$D$40</f>
        <v>0</v>
      </c>
      <c r="W45" s="30">
        <f>CUSTOS!$D$41</f>
        <v>0</v>
      </c>
      <c r="X45" s="30">
        <f>CUSTOS!$D$42</f>
        <v>0</v>
      </c>
      <c r="Y45" s="30">
        <f>CUSTOS!$D$43</f>
        <v>0</v>
      </c>
      <c r="Z45" s="30">
        <f>CUSTOS!$D$44</f>
        <v>0</v>
      </c>
      <c r="AA45" s="30">
        <f>CUSTOS!$D$45</f>
        <v>2810087.9282794264</v>
      </c>
    </row>
    <row r="46" spans="1:27" ht="11.25" customHeight="1" x14ac:dyDescent="0.25">
      <c r="K46" s="37" t="s">
        <v>550</v>
      </c>
      <c r="L46" s="30">
        <f>CUSTOS!$E$30</f>
        <v>0</v>
      </c>
      <c r="M46" s="30">
        <f>CUSTOS!$E$31</f>
        <v>0</v>
      </c>
      <c r="N46" s="30">
        <f>CUSTOS!$E$32</f>
        <v>0</v>
      </c>
      <c r="O46" s="30">
        <f>CUSTOS!$E$33</f>
        <v>0</v>
      </c>
      <c r="P46" s="30">
        <f>CUSTOS!$E$34</f>
        <v>0</v>
      </c>
      <c r="Q46" s="30">
        <f>CUSTOS!$E$35</f>
        <v>-135306.5116078635</v>
      </c>
      <c r="R46" s="30">
        <f>CUSTOS!$E$36</f>
        <v>-135306.5116078635</v>
      </c>
      <c r="S46" s="30">
        <f>CUSTOS!$E$37</f>
        <v>0</v>
      </c>
      <c r="T46" s="30">
        <f>CUSTOS!$E$38</f>
        <v>0</v>
      </c>
      <c r="U46" s="30">
        <f>CUSTOS!$E$39</f>
        <v>0</v>
      </c>
      <c r="V46" s="30">
        <f>CUSTOS!$E$40</f>
        <v>0</v>
      </c>
      <c r="W46" s="30">
        <f>CUSTOS!$E$41</f>
        <v>30125.721087432001</v>
      </c>
      <c r="X46" s="30">
        <f>CUSTOS!$E$42</f>
        <v>30125.721087432001</v>
      </c>
      <c r="Y46" s="30">
        <f>CUSTOS!$E$43</f>
        <v>0</v>
      </c>
      <c r="Z46" s="30">
        <f>CUSTOS!$E$44</f>
        <v>0</v>
      </c>
      <c r="AA46" s="30">
        <f>CUSTOS!$E$45</f>
        <v>-105180.7905204315</v>
      </c>
    </row>
    <row r="47" spans="1:27" ht="11.25" customHeight="1" x14ac:dyDescent="0.25">
      <c r="K47" s="37" t="s">
        <v>551</v>
      </c>
      <c r="L47" s="30">
        <f>CUSTOS!$F$30</f>
        <v>0</v>
      </c>
      <c r="M47" s="30">
        <f>CUSTOS!$F$31</f>
        <v>0</v>
      </c>
      <c r="N47" s="30">
        <f>CUSTOS!$F$32</f>
        <v>0</v>
      </c>
      <c r="O47" s="30">
        <f>CUSTOS!$F$33</f>
        <v>0</v>
      </c>
      <c r="P47" s="30">
        <f>CUSTOS!$F$34</f>
        <v>0</v>
      </c>
      <c r="Q47" s="30">
        <f>CUSTOS!$F$35</f>
        <v>0</v>
      </c>
      <c r="R47" s="30">
        <f>CUSTOS!$F$36</f>
        <v>0</v>
      </c>
      <c r="S47" s="30">
        <f>CUSTOS!$F$37</f>
        <v>0</v>
      </c>
      <c r="T47" s="30">
        <f>CUSTOS!$F$38</f>
        <v>0</v>
      </c>
      <c r="U47" s="30">
        <f>CUSTOS!$F$39</f>
        <v>0</v>
      </c>
      <c r="V47" s="30">
        <f>CUSTOS!$F$40</f>
        <v>0</v>
      </c>
      <c r="W47" s="30">
        <f>CUSTOS!$F$41</f>
        <v>0</v>
      </c>
      <c r="X47" s="30">
        <f>CUSTOS!$F$42</f>
        <v>0</v>
      </c>
      <c r="Y47" s="30">
        <f>CUSTOS!$F$43</f>
        <v>0</v>
      </c>
      <c r="Z47" s="30">
        <f>CUSTOS!$F$44</f>
        <v>0</v>
      </c>
      <c r="AA47" s="30">
        <f>CUSTOS!$F$45</f>
        <v>0</v>
      </c>
    </row>
    <row r="48" spans="1:27" ht="11.25" customHeight="1" x14ac:dyDescent="0.25"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</row>
    <row r="49" spans="11:27" ht="11.25" customHeight="1" x14ac:dyDescent="0.25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</row>
    <row r="50" spans="11:27" ht="11.25" customHeight="1" x14ac:dyDescent="0.25"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</row>
  </sheetData>
  <mergeCells count="61">
    <mergeCell ref="E36:E38"/>
    <mergeCell ref="F36:F38"/>
    <mergeCell ref="A41:A42"/>
    <mergeCell ref="B41:B42"/>
    <mergeCell ref="C41:C42"/>
    <mergeCell ref="D36:D38"/>
    <mergeCell ref="B33:B35"/>
    <mergeCell ref="C33:C35"/>
    <mergeCell ref="A36:A40"/>
    <mergeCell ref="B36:B38"/>
    <mergeCell ref="C36:C38"/>
    <mergeCell ref="A21:A35"/>
    <mergeCell ref="B21:B23"/>
    <mergeCell ref="C21:C23"/>
    <mergeCell ref="B29:B31"/>
    <mergeCell ref="C29:C31"/>
    <mergeCell ref="B25:B27"/>
    <mergeCell ref="C25:C27"/>
    <mergeCell ref="D29:D31"/>
    <mergeCell ref="E29:E31"/>
    <mergeCell ref="F29:F31"/>
    <mergeCell ref="D21:D23"/>
    <mergeCell ref="E21:E23"/>
    <mergeCell ref="F21:F23"/>
    <mergeCell ref="D25:D27"/>
    <mergeCell ref="E25:E27"/>
    <mergeCell ref="F25:F27"/>
    <mergeCell ref="A8:A20"/>
    <mergeCell ref="B8:B10"/>
    <mergeCell ref="C8:C10"/>
    <mergeCell ref="D8:D10"/>
    <mergeCell ref="E8:E10"/>
    <mergeCell ref="F8:F10"/>
    <mergeCell ref="B11:B15"/>
    <mergeCell ref="C11:C15"/>
    <mergeCell ref="B16:B20"/>
    <mergeCell ref="C16:C20"/>
    <mergeCell ref="Y3:Z3"/>
    <mergeCell ref="AA3:AA4"/>
    <mergeCell ref="A5:A7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A1"/>
    <mergeCell ref="L2:AA2"/>
    <mergeCell ref="L3:P3"/>
    <mergeCell ref="Q3:R3"/>
    <mergeCell ref="S3:V3"/>
    <mergeCell ref="W3:X3"/>
    <mergeCell ref="A1:A4"/>
    <mergeCell ref="B1:B4"/>
    <mergeCell ref="C1:C4"/>
    <mergeCell ref="D1:D4"/>
    <mergeCell ref="E1:E4"/>
    <mergeCell ref="F1:F4"/>
  </mergeCells>
  <conditionalFormatting sqref="L44">
    <cfRule type="cellIs" dxfId="607" priority="31" operator="notEqual">
      <formula>$L$47</formula>
    </cfRule>
    <cfRule type="cellIs" dxfId="606" priority="32" operator="equal">
      <formula>$L$47</formula>
    </cfRule>
  </conditionalFormatting>
  <conditionalFormatting sqref="M44">
    <cfRule type="cellIs" dxfId="605" priority="29" operator="notEqual">
      <formula>$M$47</formula>
    </cfRule>
    <cfRule type="cellIs" dxfId="604" priority="30" operator="equal">
      <formula>$M$47</formula>
    </cfRule>
  </conditionalFormatting>
  <conditionalFormatting sqref="N44">
    <cfRule type="cellIs" dxfId="603" priority="27" operator="notEqual">
      <formula>$N$47</formula>
    </cfRule>
    <cfRule type="cellIs" dxfId="602" priority="28" operator="equal">
      <formula>$N$47</formula>
    </cfRule>
  </conditionalFormatting>
  <conditionalFormatting sqref="O44">
    <cfRule type="cellIs" dxfId="601" priority="25" operator="notEqual">
      <formula>$O$47</formula>
    </cfRule>
    <cfRule type="cellIs" dxfId="600" priority="26" operator="equal">
      <formula>$O$47</formula>
    </cfRule>
  </conditionalFormatting>
  <conditionalFormatting sqref="P44">
    <cfRule type="cellIs" dxfId="599" priority="23" operator="notEqual">
      <formula>$P$47</formula>
    </cfRule>
    <cfRule type="cellIs" dxfId="598" priority="24" operator="equal">
      <formula>$P$47</formula>
    </cfRule>
  </conditionalFormatting>
  <conditionalFormatting sqref="Q44">
    <cfRule type="cellIs" dxfId="597" priority="21" operator="notEqual">
      <formula>$Q$47</formula>
    </cfRule>
    <cfRule type="cellIs" dxfId="596" priority="22" operator="equal">
      <formula>$Q$47</formula>
    </cfRule>
  </conditionalFormatting>
  <conditionalFormatting sqref="R44">
    <cfRule type="cellIs" dxfId="595" priority="19" operator="notEqual">
      <formula>$R$47</formula>
    </cfRule>
    <cfRule type="cellIs" dxfId="594" priority="20" operator="equal">
      <formula>$R$47</formula>
    </cfRule>
  </conditionalFormatting>
  <conditionalFormatting sqref="S44">
    <cfRule type="cellIs" dxfId="593" priority="17" operator="notEqual">
      <formula>$S$47</formula>
    </cfRule>
    <cfRule type="cellIs" dxfId="592" priority="18" operator="equal">
      <formula>$S$47</formula>
    </cfRule>
  </conditionalFormatting>
  <conditionalFormatting sqref="T44">
    <cfRule type="cellIs" dxfId="591" priority="15" operator="notEqual">
      <formula>$T$47</formula>
    </cfRule>
    <cfRule type="cellIs" dxfId="590" priority="16" operator="equal">
      <formula>$T$47</formula>
    </cfRule>
  </conditionalFormatting>
  <conditionalFormatting sqref="U44">
    <cfRule type="cellIs" dxfId="589" priority="13" operator="notEqual">
      <formula>$U$47</formula>
    </cfRule>
    <cfRule type="cellIs" dxfId="588" priority="14" operator="equal">
      <formula>$U$47</formula>
    </cfRule>
  </conditionalFormatting>
  <conditionalFormatting sqref="V44">
    <cfRule type="cellIs" dxfId="587" priority="11" operator="notEqual">
      <formula>$V$47</formula>
    </cfRule>
    <cfRule type="cellIs" dxfId="586" priority="12" operator="equal">
      <formula>$V$47</formula>
    </cfRule>
  </conditionalFormatting>
  <conditionalFormatting sqref="W44">
    <cfRule type="cellIs" dxfId="585" priority="9" operator="notEqual">
      <formula>$W$47</formula>
    </cfRule>
    <cfRule type="cellIs" dxfId="584" priority="10" operator="equal">
      <formula>$W$47</formula>
    </cfRule>
  </conditionalFormatting>
  <conditionalFormatting sqref="X44">
    <cfRule type="cellIs" dxfId="583" priority="7" operator="notEqual">
      <formula>$X$47</formula>
    </cfRule>
    <cfRule type="cellIs" dxfId="582" priority="8" operator="equal">
      <formula>$X$47</formula>
    </cfRule>
  </conditionalFormatting>
  <conditionalFormatting sqref="Y44">
    <cfRule type="cellIs" dxfId="581" priority="5" operator="notEqual">
      <formula>$Y$47</formula>
    </cfRule>
    <cfRule type="cellIs" dxfId="580" priority="6" operator="equal">
      <formula>$Y$47</formula>
    </cfRule>
  </conditionalFormatting>
  <conditionalFormatting sqref="Z44">
    <cfRule type="cellIs" dxfId="579" priority="3" operator="notEqual">
      <formula>$Z$47</formula>
    </cfRule>
    <cfRule type="cellIs" dxfId="578" priority="4" operator="equal">
      <formula>$Z$47</formula>
    </cfRule>
  </conditionalFormatting>
  <conditionalFormatting sqref="AA44">
    <cfRule type="cellIs" dxfId="577" priority="1" operator="notEqual">
      <formula>$AA$47</formula>
    </cfRule>
    <cfRule type="cellIs" dxfId="576" priority="2" operator="equal">
      <formula>$AA$47</formula>
    </cfRule>
  </conditionalFormatting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5DE4-A374-421D-9E30-A670595A8AB7}">
  <dimension ref="A1:AV332"/>
  <sheetViews>
    <sheetView showGridLines="0" topLeftCell="AG1" workbookViewId="0">
      <selection activeCell="AV3" sqref="AV3"/>
    </sheetView>
  </sheetViews>
  <sheetFormatPr defaultRowHeight="11.25" customHeight="1" x14ac:dyDescent="0.25"/>
  <cols>
    <col min="1" max="1" width="19.140625" style="4" bestFit="1" customWidth="1"/>
    <col min="2" max="2" width="13.28515625" style="4" bestFit="1" customWidth="1"/>
    <col min="3" max="3" width="14.5703125" style="4" bestFit="1" customWidth="1"/>
    <col min="4" max="4" width="13.5703125" style="4" bestFit="1" customWidth="1"/>
    <col min="5" max="5" width="25.140625" style="4" bestFit="1" customWidth="1"/>
    <col min="6" max="6" width="12.85546875" style="4" bestFit="1" customWidth="1"/>
    <col min="7" max="7" width="11.28515625" style="4" bestFit="1" customWidth="1"/>
    <col min="8" max="8" width="10.28515625" style="4" bestFit="1" customWidth="1"/>
    <col min="9" max="9" width="12.140625" style="5" bestFit="1" customWidth="1"/>
    <col min="10" max="10" width="6.5703125" style="6" bestFit="1" customWidth="1"/>
    <col min="11" max="11" width="7.85546875" style="6" bestFit="1" customWidth="1"/>
    <col min="12" max="12" width="11.28515625" style="6" bestFit="1" customWidth="1"/>
    <col min="13" max="13" width="12.5703125" style="6" bestFit="1" customWidth="1"/>
    <col min="14" max="14" width="9.140625" style="6" bestFit="1" customWidth="1"/>
    <col min="15" max="15" width="10.42578125" style="6" bestFit="1" customWidth="1"/>
    <col min="16" max="16" width="7.7109375" style="6" bestFit="1" customWidth="1"/>
    <col min="17" max="17" width="11.140625" style="4" bestFit="1" customWidth="1"/>
    <col min="18" max="18" width="13.140625" style="4" bestFit="1" customWidth="1"/>
    <col min="19" max="19" width="23" style="4" bestFit="1" customWidth="1"/>
    <col min="20" max="20" width="24.42578125" style="4" bestFit="1" customWidth="1"/>
    <col min="21" max="21" width="22.28515625" style="4" bestFit="1" customWidth="1"/>
    <col min="22" max="22" width="15.85546875" style="4" bestFit="1" customWidth="1"/>
    <col min="23" max="23" width="17.28515625" style="4" bestFit="1" customWidth="1"/>
    <col min="24" max="24" width="15.140625" style="4" bestFit="1" customWidth="1"/>
    <col min="25" max="25" width="20.85546875" style="4" bestFit="1" customWidth="1"/>
    <col min="26" max="26" width="22.42578125" style="4" bestFit="1" customWidth="1"/>
    <col min="27" max="27" width="20.140625" style="4" bestFit="1" customWidth="1"/>
    <col min="28" max="28" width="23.28515625" style="4" bestFit="1" customWidth="1"/>
    <col min="29" max="29" width="24.7109375" style="4" bestFit="1" customWidth="1"/>
    <col min="30" max="30" width="22.5703125" style="4" bestFit="1" customWidth="1"/>
    <col min="31" max="31" width="24.140625" style="4" bestFit="1" customWidth="1"/>
    <col min="32" max="32" width="25.5703125" style="4" bestFit="1" customWidth="1"/>
    <col min="33" max="33" width="23.42578125" style="4" bestFit="1" customWidth="1"/>
    <col min="34" max="34" width="9.140625" style="4"/>
    <col min="35" max="35" width="9.28515625" style="4" bestFit="1" customWidth="1"/>
    <col min="36" max="36" width="14.5703125" style="4" bestFit="1" customWidth="1"/>
    <col min="37" max="37" width="15.42578125" style="4" bestFit="1" customWidth="1"/>
    <col min="38" max="38" width="9.28515625" style="4" bestFit="1" customWidth="1"/>
    <col min="39" max="39" width="9.140625" style="4"/>
    <col min="40" max="40" width="9.28515625" style="4" bestFit="1" customWidth="1"/>
    <col min="41" max="41" width="12.28515625" style="4" bestFit="1" customWidth="1"/>
    <col min="42" max="42" width="13.28515625" style="4" bestFit="1" customWidth="1"/>
    <col min="43" max="43" width="9.28515625" style="4" bestFit="1" customWidth="1"/>
    <col min="44" max="44" width="9.140625" style="4"/>
    <col min="45" max="45" width="9.28515625" style="4" bestFit="1" customWidth="1"/>
    <col min="46" max="47" width="10" style="4" bestFit="1" customWidth="1"/>
    <col min="48" max="48" width="9.28515625" style="4" bestFit="1" customWidth="1"/>
    <col min="49" max="16384" width="9.140625" style="4"/>
  </cols>
  <sheetData>
    <row r="1" spans="1:48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656</v>
      </c>
      <c r="W1" s="1" t="s">
        <v>657</v>
      </c>
      <c r="X1" s="1" t="s">
        <v>658</v>
      </c>
      <c r="Y1" s="1" t="s">
        <v>659</v>
      </c>
      <c r="Z1" s="1" t="s">
        <v>660</v>
      </c>
      <c r="AA1" s="1" t="s">
        <v>661</v>
      </c>
      <c r="AB1" s="1" t="s">
        <v>674</v>
      </c>
      <c r="AC1" s="1" t="s">
        <v>675</v>
      </c>
      <c r="AD1" s="1" t="s">
        <v>676</v>
      </c>
      <c r="AE1" s="1" t="s">
        <v>677</v>
      </c>
      <c r="AF1" s="1" t="s">
        <v>678</v>
      </c>
      <c r="AG1" s="1" t="s">
        <v>679</v>
      </c>
      <c r="AI1" s="52" t="s">
        <v>59</v>
      </c>
      <c r="AJ1" s="52" t="s">
        <v>680</v>
      </c>
      <c r="AK1" s="52" t="s">
        <v>681</v>
      </c>
      <c r="AL1" s="52" t="s">
        <v>682</v>
      </c>
      <c r="AN1" s="52" t="s">
        <v>59</v>
      </c>
      <c r="AO1" s="52" t="s">
        <v>683</v>
      </c>
      <c r="AP1" s="52" t="s">
        <v>684</v>
      </c>
      <c r="AQ1" s="52" t="s">
        <v>682</v>
      </c>
      <c r="AS1" s="52" t="s">
        <v>59</v>
      </c>
      <c r="AT1" s="52" t="s">
        <v>685</v>
      </c>
      <c r="AU1" s="52" t="s">
        <v>686</v>
      </c>
      <c r="AV1" s="52" t="s">
        <v>682</v>
      </c>
    </row>
    <row r="2" spans="1:48" ht="11.25" customHeight="1" x14ac:dyDescent="0.25">
      <c r="A2" s="4" t="s">
        <v>21</v>
      </c>
      <c r="B2" s="4" t="s">
        <v>34</v>
      </c>
      <c r="C2" s="4" t="s">
        <v>35</v>
      </c>
      <c r="D2" s="4" t="s">
        <v>33</v>
      </c>
      <c r="E2" s="4" t="s">
        <v>25</v>
      </c>
      <c r="F2" s="4" t="s">
        <v>25</v>
      </c>
      <c r="G2" s="4" t="s">
        <v>25</v>
      </c>
      <c r="H2" s="4" t="s">
        <v>37</v>
      </c>
      <c r="I2" s="5">
        <v>44317</v>
      </c>
      <c r="J2" s="6">
        <v>0</v>
      </c>
      <c r="K2" s="6">
        <v>0</v>
      </c>
      <c r="L2" s="6">
        <v>20.687999999999999</v>
      </c>
      <c r="M2" s="6">
        <v>20.687999999999999</v>
      </c>
      <c r="N2" s="6">
        <v>20.687999999999999</v>
      </c>
      <c r="O2" s="6">
        <v>20.687999999999999</v>
      </c>
      <c r="P2" s="6">
        <v>0</v>
      </c>
      <c r="Q2" s="4" t="s">
        <v>26</v>
      </c>
      <c r="R2" s="4">
        <v>0</v>
      </c>
      <c r="S2" s="6">
        <v>0</v>
      </c>
      <c r="T2" s="6">
        <v>8</v>
      </c>
      <c r="U2" s="6">
        <v>49</v>
      </c>
      <c r="V2" s="6">
        <f>IF(ISERROR(VLOOKUP($S$2,'TAR FIN'!$A$1:$O$85,15,0)),0,VLOOKUP($S$2,'TAR FIN'!$A$1:$O$85,15,0))</f>
        <v>0</v>
      </c>
      <c r="W2" s="6">
        <f>IF(ISERROR(VLOOKUP($T$2,'TAR FIN'!$A$1:$O$85,15,0)),0,VLOOKUP($T$2,'TAR FIN'!$A$1:$O$85,15,0))</f>
        <v>48.17</v>
      </c>
      <c r="X2" s="6">
        <f>IF(ISERROR(VLOOKUP($U$2,'TAR FIN'!$A$1:$O$85,15,0)),0,VLOOKUP($U$2,'TAR FIN'!$A$1:$O$85,15,0))</f>
        <v>251.85</v>
      </c>
      <c r="Y2" s="6"/>
      <c r="Z2" s="6">
        <f ca="1">('TUSD BE'!$AM$12+'TUSD BF'!$AM$12+'TUSD CVA'!$AM$12)*1</f>
        <v>67.084280547967893</v>
      </c>
      <c r="AA2" s="6">
        <f>('TE BE'!$AA$6+'TE BF'!$AA$6+'TE CVA'!$AA$6)*1</f>
        <v>256.69216484835653</v>
      </c>
      <c r="AB2" s="6">
        <f>$K$2*$V$2</f>
        <v>0</v>
      </c>
      <c r="AC2" s="6">
        <f>$M$2*$W$2</f>
        <v>996.54095999999993</v>
      </c>
      <c r="AD2" s="6">
        <f>$O$2*$X$2</f>
        <v>5210.2727999999997</v>
      </c>
      <c r="AE2" s="6">
        <f>$K$2*$Y$2</f>
        <v>0</v>
      </c>
      <c r="AF2" s="6">
        <f ca="1">$M$2*$Z$2</f>
        <v>1387.8395959763598</v>
      </c>
      <c r="AG2" s="6">
        <f>$O$2*$AA$2</f>
        <v>5310.4475063827995</v>
      </c>
      <c r="AI2" s="53" t="s">
        <v>34</v>
      </c>
      <c r="AJ2" s="54">
        <f>SUMIF($B$2:$B$332,AI2,$AB$2:$AB$332)+SUMIF($B$2:$B$332,AI2,$AC$2:$AC$332)</f>
        <v>85647.969259999998</v>
      </c>
      <c r="AK2" s="54">
        <f ca="1">SUMIF($B$2:$B$332,AI2,$AE$2:$AE$332)+SUMIF($B$2:$B$332,AI2,$AF$2:$AF$332)</f>
        <v>108745.14804599581</v>
      </c>
      <c r="AL2" s="55">
        <f t="shared" ref="AL2:AL9" ca="1" si="0">IF(AJ2&lt;&gt;0,AK2/AJ2-1,0)</f>
        <v>0.26967573178390403</v>
      </c>
      <c r="AN2" s="53" t="s">
        <v>34</v>
      </c>
      <c r="AO2" s="54">
        <f>SUMIF($B$2:$B$332,AN2,$AD$2:$AD$332)</f>
        <v>78783.213299999974</v>
      </c>
      <c r="AP2" s="54">
        <f>SUMIF($B$2:$B$332,AN2,$AG$2:$AG$332)</f>
        <v>80297.9296235332</v>
      </c>
      <c r="AQ2" s="55">
        <f t="shared" ref="AQ2:AQ9" si="1">IF(AO2&lt;&gt;0,AP2/AO2-1,0)</f>
        <v>1.9226384150711207E-2</v>
      </c>
      <c r="AS2" s="53" t="s">
        <v>34</v>
      </c>
      <c r="AT2" s="54">
        <f>SUMIF($B$2:$B$332,AS2,$AB$2:$AB$332)+SUMIF($B$2:$B$332,AS2,$AC$2:$AC$332)+SUMIF($B$2:$B$332,AS2,$AD$2:$AD$332)</f>
        <v>164431.18255999999</v>
      </c>
      <c r="AU2" s="54">
        <f ca="1">SUMIF($B$2:$B$332,AS2,$AE$2:$AE$332)+SUMIF($B$2:$B$332,AS2,$AF$2:$AF$332)+SUMIF($B$2:$B$332,AS2,$AG$2:$AG$332)</f>
        <v>189043.07766952901</v>
      </c>
      <c r="AV2" s="55">
        <f t="shared" ref="AV2:AV9" ca="1" si="2">IF(AT2&lt;&gt;0,AU2/AT2-1,0)</f>
        <v>0.14967900082180763</v>
      </c>
    </row>
    <row r="3" spans="1:48" ht="11.25" customHeight="1" x14ac:dyDescent="0.25">
      <c r="A3" s="4" t="s">
        <v>21</v>
      </c>
      <c r="B3" s="4" t="s">
        <v>34</v>
      </c>
      <c r="C3" s="4" t="s">
        <v>35</v>
      </c>
      <c r="D3" s="4" t="s">
        <v>33</v>
      </c>
      <c r="E3" s="4" t="s">
        <v>25</v>
      </c>
      <c r="F3" s="4" t="s">
        <v>25</v>
      </c>
      <c r="G3" s="4" t="s">
        <v>25</v>
      </c>
      <c r="H3" s="4" t="s">
        <v>37</v>
      </c>
      <c r="I3" s="5">
        <v>44348</v>
      </c>
      <c r="J3" s="6">
        <v>0</v>
      </c>
      <c r="K3" s="6">
        <v>0</v>
      </c>
      <c r="L3" s="6">
        <v>22.076000000000001</v>
      </c>
      <c r="M3" s="6">
        <v>22.076000000000001</v>
      </c>
      <c r="N3" s="6">
        <v>22.076000000000001</v>
      </c>
      <c r="O3" s="6">
        <v>22.076000000000001</v>
      </c>
      <c r="P3" s="6">
        <v>0</v>
      </c>
      <c r="Q3" s="4" t="s">
        <v>26</v>
      </c>
      <c r="R3" s="4">
        <v>0</v>
      </c>
      <c r="S3" s="6">
        <v>0</v>
      </c>
      <c r="T3" s="6">
        <v>8</v>
      </c>
      <c r="U3" s="6">
        <v>49</v>
      </c>
      <c r="V3" s="6">
        <f>IF(ISERROR(VLOOKUP($S$3,'TAR FIN'!$A$1:$O$85,15,0)),0,VLOOKUP($S$3,'TAR FIN'!$A$1:$O$85,15,0))</f>
        <v>0</v>
      </c>
      <c r="W3" s="6">
        <f>IF(ISERROR(VLOOKUP($T$3,'TAR FIN'!$A$1:$O$85,15,0)),0,VLOOKUP($T$3,'TAR FIN'!$A$1:$O$85,15,0))</f>
        <v>48.17</v>
      </c>
      <c r="X3" s="6">
        <f>IF(ISERROR(VLOOKUP($U$3,'TAR FIN'!$A$1:$O$85,15,0)),0,VLOOKUP($U$3,'TAR FIN'!$A$1:$O$85,15,0))</f>
        <v>251.85</v>
      </c>
      <c r="Y3" s="6"/>
      <c r="Z3" s="6">
        <f ca="1">('TUSD BE'!$AM$12+'TUSD BF'!$AM$12+'TUSD CVA'!$AM$12)*1</f>
        <v>67.084280547967893</v>
      </c>
      <c r="AA3" s="6">
        <f>('TE BE'!$AA$6+'TE BF'!$AA$6+'TE CVA'!$AA$6)*1</f>
        <v>256.69216484835653</v>
      </c>
      <c r="AB3" s="6">
        <f>$K$3*$V$3</f>
        <v>0</v>
      </c>
      <c r="AC3" s="6">
        <f>$M$3*$W$3</f>
        <v>1063.40092</v>
      </c>
      <c r="AD3" s="6">
        <f>$O$3*$X$3</f>
        <v>5559.8406000000004</v>
      </c>
      <c r="AE3" s="6">
        <f>$K$3*$Y$3</f>
        <v>0</v>
      </c>
      <c r="AF3" s="6">
        <f ca="1">$M$3*$Z$3</f>
        <v>1480.9525773769392</v>
      </c>
      <c r="AG3" s="6">
        <f>$O$3*$AA$3</f>
        <v>5666.7362311923189</v>
      </c>
      <c r="AI3" s="53" t="s">
        <v>22</v>
      </c>
      <c r="AJ3" s="54">
        <f>SUMIF($B$2:$B$332,AI3,$AB$2:$AB$332)+SUMIF($B$2:$B$332,AI3,$AC$2:$AC$332)</f>
        <v>1981930.1564000002</v>
      </c>
      <c r="AK3" s="54">
        <f ca="1">SUMIF($B$2:$B$332,AI3,$AE$2:$AE$332)+SUMIF($B$2:$B$332,AI3,$AF$2:$AF$332)</f>
        <v>2544045.7771834498</v>
      </c>
      <c r="AL3" s="55">
        <f t="shared" ca="1" si="0"/>
        <v>0.28362029760144658</v>
      </c>
      <c r="AN3" s="53" t="s">
        <v>22</v>
      </c>
      <c r="AO3" s="54">
        <f>SUMIF($B$2:$B$332,AN3,$AD$2:$AD$332)</f>
        <v>1005236.9567099999</v>
      </c>
      <c r="AP3" s="54">
        <f>SUMIF($B$2:$B$332,AN3,$AG$2:$AG$332)</f>
        <v>1024559.977330205</v>
      </c>
      <c r="AQ3" s="55">
        <f t="shared" si="1"/>
        <v>1.9222353984523766E-2</v>
      </c>
      <c r="AS3" s="53" t="s">
        <v>22</v>
      </c>
      <c r="AT3" s="54">
        <f>SUMIF($B$2:$B$332,AS3,$AB$2:$AB$332)+SUMIF($B$2:$B$332,AS3,$AC$2:$AC$332)+SUMIF($B$2:$B$332,AS3,$AD$2:$AD$332)</f>
        <v>2987167.1131100003</v>
      </c>
      <c r="AU3" s="54">
        <f ca="1">SUMIF($B$2:$B$332,AS3,$AE$2:$AE$332)+SUMIF($B$2:$B$332,AS3,$AF$2:$AF$332)+SUMIF($B$2:$B$332,AS3,$AG$2:$AG$332)</f>
        <v>3568605.7545136549</v>
      </c>
      <c r="AV3" s="55">
        <f t="shared" ca="1" si="2"/>
        <v>0.19464550170355444</v>
      </c>
    </row>
    <row r="4" spans="1:48" ht="11.25" customHeight="1" x14ac:dyDescent="0.25">
      <c r="A4" s="4" t="s">
        <v>21</v>
      </c>
      <c r="B4" s="4" t="s">
        <v>34</v>
      </c>
      <c r="C4" s="4" t="s">
        <v>35</v>
      </c>
      <c r="D4" s="4" t="s">
        <v>33</v>
      </c>
      <c r="E4" s="4" t="s">
        <v>25</v>
      </c>
      <c r="F4" s="4" t="s">
        <v>25</v>
      </c>
      <c r="G4" s="4" t="s">
        <v>25</v>
      </c>
      <c r="H4" s="4" t="s">
        <v>37</v>
      </c>
      <c r="I4" s="5">
        <v>44378</v>
      </c>
      <c r="J4" s="6">
        <v>0</v>
      </c>
      <c r="K4" s="6">
        <v>0</v>
      </c>
      <c r="L4" s="6">
        <v>22.064</v>
      </c>
      <c r="M4" s="6">
        <v>22.064</v>
      </c>
      <c r="N4" s="6">
        <v>22.064</v>
      </c>
      <c r="O4" s="6">
        <v>22.064</v>
      </c>
      <c r="P4" s="6">
        <v>0</v>
      </c>
      <c r="Q4" s="4" t="s">
        <v>26</v>
      </c>
      <c r="R4" s="4">
        <v>0</v>
      </c>
      <c r="S4" s="6">
        <v>0</v>
      </c>
      <c r="T4" s="6">
        <v>8</v>
      </c>
      <c r="U4" s="6">
        <v>49</v>
      </c>
      <c r="V4" s="6">
        <f>IF(ISERROR(VLOOKUP($S$4,'TAR FIN'!$A$1:$O$85,15,0)),0,VLOOKUP($S$4,'TAR FIN'!$A$1:$O$85,15,0))</f>
        <v>0</v>
      </c>
      <c r="W4" s="6">
        <f>IF(ISERROR(VLOOKUP($T$4,'TAR FIN'!$A$1:$O$85,15,0)),0,VLOOKUP($T$4,'TAR FIN'!$A$1:$O$85,15,0))</f>
        <v>48.17</v>
      </c>
      <c r="X4" s="6">
        <f>IF(ISERROR(VLOOKUP($U$4,'TAR FIN'!$A$1:$O$85,15,0)),0,VLOOKUP($U$4,'TAR FIN'!$A$1:$O$85,15,0))</f>
        <v>251.85</v>
      </c>
      <c r="Y4" s="6"/>
      <c r="Z4" s="6">
        <f ca="1">('TUSD BE'!$AM$12+'TUSD BF'!$AM$12+'TUSD CVA'!$AM$12)*1</f>
        <v>67.084280547967893</v>
      </c>
      <c r="AA4" s="6">
        <f>('TE BE'!$AA$6+'TE BF'!$AA$6+'TE CVA'!$AA$6)*1</f>
        <v>256.69216484835653</v>
      </c>
      <c r="AB4" s="6">
        <f>$K$4*$V$4</f>
        <v>0</v>
      </c>
      <c r="AC4" s="6">
        <f>$M$4*$W$4</f>
        <v>1062.8228799999999</v>
      </c>
      <c r="AD4" s="6">
        <f>$O$4*$X$4</f>
        <v>5556.8184000000001</v>
      </c>
      <c r="AE4" s="6">
        <f>$K$4*$Y$4</f>
        <v>0</v>
      </c>
      <c r="AF4" s="6">
        <f ca="1">$M$4*$Z$4</f>
        <v>1480.1475660103636</v>
      </c>
      <c r="AG4" s="6">
        <f>$O$4*$AA$4</f>
        <v>5663.6559252141387</v>
      </c>
      <c r="AI4" s="53" t="s">
        <v>41</v>
      </c>
      <c r="AJ4" s="54">
        <f>SUMIF($B$2:$B$332,AI4,$AB$2:$AB$332)+SUMIF($B$2:$B$332,AI4,$AC$2:$AC$332)</f>
        <v>1133107.6933570001</v>
      </c>
      <c r="AK4" s="54">
        <f ca="1">SUMIF($B$2:$B$332,AI4,$AE$2:$AE$332)+SUMIF($B$2:$B$332,AI4,$AF$2:$AF$332)</f>
        <v>1563286.4317699645</v>
      </c>
      <c r="AL4" s="55">
        <f t="shared" ca="1" si="0"/>
        <v>0.37964506016060651</v>
      </c>
      <c r="AN4" s="53" t="s">
        <v>41</v>
      </c>
      <c r="AO4" s="54">
        <f>SUMIF($B$2:$B$332,AN4,$AD$2:$AD$332)</f>
        <v>561499.44985899993</v>
      </c>
      <c r="AP4" s="54">
        <f>SUMIF($B$2:$B$332,AN4,$AG$2:$AG$332)</f>
        <v>611309.65476126818</v>
      </c>
      <c r="AQ4" s="55">
        <f t="shared" si="1"/>
        <v>8.8709267506453138E-2</v>
      </c>
      <c r="AS4" s="53" t="s">
        <v>41</v>
      </c>
      <c r="AT4" s="54">
        <f>SUMIF($B$2:$B$332,AS4,$AB$2:$AB$332)+SUMIF($B$2:$B$332,AS4,$AC$2:$AC$332)+SUMIF($B$2:$B$332,AS4,$AD$2:$AD$332)</f>
        <v>1694607.1432159999</v>
      </c>
      <c r="AU4" s="54">
        <f ca="1">SUMIF($B$2:$B$332,AS4,$AE$2:$AE$332)+SUMIF($B$2:$B$332,AS4,$AF$2:$AF$332)+SUMIF($B$2:$B$332,AS4,$AG$2:$AG$332)</f>
        <v>2174596.0865312326</v>
      </c>
      <c r="AV4" s="55">
        <f t="shared" ca="1" si="2"/>
        <v>0.2832449663845491</v>
      </c>
    </row>
    <row r="5" spans="1:48" ht="11.25" customHeight="1" x14ac:dyDescent="0.25">
      <c r="A5" s="4" t="s">
        <v>21</v>
      </c>
      <c r="B5" s="4" t="s">
        <v>34</v>
      </c>
      <c r="C5" s="4" t="s">
        <v>35</v>
      </c>
      <c r="D5" s="4" t="s">
        <v>33</v>
      </c>
      <c r="E5" s="4" t="s">
        <v>25</v>
      </c>
      <c r="F5" s="4" t="s">
        <v>25</v>
      </c>
      <c r="G5" s="4" t="s">
        <v>25</v>
      </c>
      <c r="H5" s="4" t="s">
        <v>37</v>
      </c>
      <c r="I5" s="5">
        <v>44409</v>
      </c>
      <c r="J5" s="6">
        <v>0</v>
      </c>
      <c r="K5" s="6">
        <v>0</v>
      </c>
      <c r="L5" s="6">
        <v>24.585999999999999</v>
      </c>
      <c r="M5" s="6">
        <v>24.585999999999999</v>
      </c>
      <c r="N5" s="6">
        <v>24.585999999999999</v>
      </c>
      <c r="O5" s="6">
        <v>24.585999999999999</v>
      </c>
      <c r="P5" s="6">
        <v>0</v>
      </c>
      <c r="Q5" s="4" t="s">
        <v>26</v>
      </c>
      <c r="R5" s="4">
        <v>0</v>
      </c>
      <c r="S5" s="6">
        <v>0</v>
      </c>
      <c r="T5" s="6">
        <v>8</v>
      </c>
      <c r="U5" s="6">
        <v>49</v>
      </c>
      <c r="V5" s="6">
        <f>IF(ISERROR(VLOOKUP($S$5,'TAR FIN'!$A$1:$O$85,15,0)),0,VLOOKUP($S$5,'TAR FIN'!$A$1:$O$85,15,0))</f>
        <v>0</v>
      </c>
      <c r="W5" s="6">
        <f>IF(ISERROR(VLOOKUP($T$5,'TAR FIN'!$A$1:$O$85,15,0)),0,VLOOKUP($T$5,'TAR FIN'!$A$1:$O$85,15,0))</f>
        <v>48.17</v>
      </c>
      <c r="X5" s="6">
        <f>IF(ISERROR(VLOOKUP($U$5,'TAR FIN'!$A$1:$O$85,15,0)),0,VLOOKUP($U$5,'TAR FIN'!$A$1:$O$85,15,0))</f>
        <v>251.85</v>
      </c>
      <c r="Y5" s="6"/>
      <c r="Z5" s="6">
        <f ca="1">('TUSD BE'!$AM$12+'TUSD BF'!$AM$12+'TUSD CVA'!$AM$12)*1</f>
        <v>67.084280547967893</v>
      </c>
      <c r="AA5" s="6">
        <f>('TE BE'!$AA$6+'TE BF'!$AA$6+'TE CVA'!$AA$6)*1</f>
        <v>256.69216484835653</v>
      </c>
      <c r="AB5" s="6">
        <f>$K$5*$V$5</f>
        <v>0</v>
      </c>
      <c r="AC5" s="6">
        <f>$M$5*$W$5</f>
        <v>1184.30762</v>
      </c>
      <c r="AD5" s="6">
        <f>$O$5*$X$5</f>
        <v>6191.9840999999997</v>
      </c>
      <c r="AE5" s="6">
        <f>$K$5*$Y$5</f>
        <v>0</v>
      </c>
      <c r="AF5" s="6">
        <f ca="1">$M$5*$Z$5</f>
        <v>1649.3341215523385</v>
      </c>
      <c r="AG5" s="6">
        <f>$O$5*$AA$5</f>
        <v>6311.0335649616936</v>
      </c>
      <c r="AI5" s="53" t="s">
        <v>32</v>
      </c>
      <c r="AJ5" s="54">
        <f>SUMIF($B$2:$B$332,AI5,$AB$2:$AB$332)+SUMIF($B$2:$B$332,AI5,$AC$2:$AC$332)</f>
        <v>891828.73983800004</v>
      </c>
      <c r="AK5" s="54">
        <f ca="1">SUMIF($B$2:$B$332,AI5,$AE$2:$AE$332)+SUMIF($B$2:$B$332,AI5,$AF$2:$AF$332)</f>
        <v>1166648.8528779091</v>
      </c>
      <c r="AL5" s="55">
        <f t="shared" ca="1" si="0"/>
        <v>0.30815346126861742</v>
      </c>
      <c r="AN5" s="53" t="s">
        <v>32</v>
      </c>
      <c r="AO5" s="54">
        <f>SUMIF($B$2:$B$332,AN5,$AD$2:$AD$332)</f>
        <v>441183.42560999998</v>
      </c>
      <c r="AP5" s="54">
        <f>SUMIF($B$2:$B$332,AN5,$AG$2:$AG$332)</f>
        <v>455444.36463912111</v>
      </c>
      <c r="AQ5" s="55">
        <f t="shared" si="1"/>
        <v>3.2324285549492959E-2</v>
      </c>
      <c r="AS5" s="53" t="s">
        <v>32</v>
      </c>
      <c r="AT5" s="54">
        <f>SUMIF($B$2:$B$332,AS5,$AB$2:$AB$332)+SUMIF($B$2:$B$332,AS5,$AC$2:$AC$332)+SUMIF($B$2:$B$332,AS5,$AD$2:$AD$332)</f>
        <v>1333012.165448</v>
      </c>
      <c r="AU5" s="54">
        <f ca="1">SUMIF($B$2:$B$332,AS5,$AE$2:$AE$332)+SUMIF($B$2:$B$332,AS5,$AF$2:$AF$332)+SUMIF($B$2:$B$332,AS5,$AG$2:$AG$332)</f>
        <v>1622093.2175170302</v>
      </c>
      <c r="AV5" s="55">
        <f t="shared" ca="1" si="2"/>
        <v>0.21686302613140485</v>
      </c>
    </row>
    <row r="6" spans="1:48" ht="11.25" customHeight="1" x14ac:dyDescent="0.25">
      <c r="A6" s="4" t="s">
        <v>21</v>
      </c>
      <c r="B6" s="4" t="s">
        <v>34</v>
      </c>
      <c r="C6" s="4" t="s">
        <v>35</v>
      </c>
      <c r="D6" s="4" t="s">
        <v>33</v>
      </c>
      <c r="E6" s="4" t="s">
        <v>25</v>
      </c>
      <c r="F6" s="4" t="s">
        <v>25</v>
      </c>
      <c r="G6" s="4" t="s">
        <v>25</v>
      </c>
      <c r="H6" s="4" t="s">
        <v>37</v>
      </c>
      <c r="I6" s="5">
        <v>44440</v>
      </c>
      <c r="J6" s="6">
        <v>0</v>
      </c>
      <c r="K6" s="6">
        <v>0</v>
      </c>
      <c r="L6" s="6">
        <v>30.41</v>
      </c>
      <c r="M6" s="6">
        <v>30.41</v>
      </c>
      <c r="N6" s="6">
        <v>30.41</v>
      </c>
      <c r="O6" s="6">
        <v>30.41</v>
      </c>
      <c r="P6" s="6">
        <v>0</v>
      </c>
      <c r="Q6" s="4" t="s">
        <v>26</v>
      </c>
      <c r="R6" s="4">
        <v>0</v>
      </c>
      <c r="S6" s="6">
        <v>0</v>
      </c>
      <c r="T6" s="6">
        <v>8</v>
      </c>
      <c r="U6" s="6">
        <v>49</v>
      </c>
      <c r="V6" s="6">
        <f>IF(ISERROR(VLOOKUP($S$6,'TAR FIN'!$A$1:$O$85,15,0)),0,VLOOKUP($S$6,'TAR FIN'!$A$1:$O$85,15,0))</f>
        <v>0</v>
      </c>
      <c r="W6" s="6">
        <f>IF(ISERROR(VLOOKUP($T$6,'TAR FIN'!$A$1:$O$85,15,0)),0,VLOOKUP($T$6,'TAR FIN'!$A$1:$O$85,15,0))</f>
        <v>48.17</v>
      </c>
      <c r="X6" s="6">
        <f>IF(ISERROR(VLOOKUP($U$6,'TAR FIN'!$A$1:$O$85,15,0)),0,VLOOKUP($U$6,'TAR FIN'!$A$1:$O$85,15,0))</f>
        <v>251.85</v>
      </c>
      <c r="Y6" s="6"/>
      <c r="Z6" s="6">
        <f ca="1">('TUSD BE'!$AM$12+'TUSD BF'!$AM$12+'TUSD CVA'!$AM$12)*1</f>
        <v>67.084280547967893</v>
      </c>
      <c r="AA6" s="6">
        <f>('TE BE'!$AA$6+'TE BF'!$AA$6+'TE CVA'!$AA$6)*1</f>
        <v>256.69216484835653</v>
      </c>
      <c r="AB6" s="6">
        <f>$K$6*$V$6</f>
        <v>0</v>
      </c>
      <c r="AC6" s="6">
        <f>$M$6*$W$6</f>
        <v>1464.8497</v>
      </c>
      <c r="AD6" s="6">
        <f>$O$6*$X$6</f>
        <v>7658.7584999999999</v>
      </c>
      <c r="AE6" s="6">
        <f>$K$6*$Y$6</f>
        <v>0</v>
      </c>
      <c r="AF6" s="6">
        <f ca="1">$M$6*$Z$6</f>
        <v>2040.0329714637037</v>
      </c>
      <c r="AG6" s="6">
        <f>$O$6*$AA$6</f>
        <v>7806.0087330385222</v>
      </c>
      <c r="AI6" s="53" t="s">
        <v>44</v>
      </c>
      <c r="AJ6" s="54">
        <f>SUMIF($B$2:$B$332,AI6,$AB$2:$AB$332)+SUMIF($B$2:$B$332,AI6,$AC$2:$AC$332)</f>
        <v>425332.29224000004</v>
      </c>
      <c r="AK6" s="54">
        <f ca="1">SUMIF($B$2:$B$332,AI6,$AE$2:$AE$332)+SUMIF($B$2:$B$332,AI6,$AF$2:$AF$332)</f>
        <v>549346.56075832655</v>
      </c>
      <c r="AL6" s="55">
        <f t="shared" ca="1" si="0"/>
        <v>0.29157031050995208</v>
      </c>
      <c r="AN6" s="53" t="s">
        <v>44</v>
      </c>
      <c r="AO6" s="54">
        <f>SUMIF($B$2:$B$332,AN6,$AD$2:$AD$332)</f>
        <v>210282.77936000002</v>
      </c>
      <c r="AP6" s="54">
        <f>SUMIF($B$2:$B$332,AN6,$AG$2:$AG$332)</f>
        <v>214321.88871885816</v>
      </c>
      <c r="AQ6" s="55">
        <f t="shared" si="1"/>
        <v>1.9207989218856802E-2</v>
      </c>
      <c r="AS6" s="53" t="s">
        <v>44</v>
      </c>
      <c r="AT6" s="54">
        <f>SUMIF($B$2:$B$332,AS6,$AB$2:$AB$332)+SUMIF($B$2:$B$332,AS6,$AC$2:$AC$332)+SUMIF($B$2:$B$332,AS6,$AD$2:$AD$332)</f>
        <v>635615.07160000002</v>
      </c>
      <c r="AU6" s="54">
        <f ca="1">SUMIF($B$2:$B$332,AS6,$AE$2:$AE$332)+SUMIF($B$2:$B$332,AS6,$AF$2:$AF$332)+SUMIF($B$2:$B$332,AS6,$AG$2:$AG$332)</f>
        <v>763668.44947718468</v>
      </c>
      <c r="AV6" s="55">
        <f t="shared" ca="1" si="2"/>
        <v>0.20146372167488513</v>
      </c>
    </row>
    <row r="7" spans="1:48" ht="11.25" customHeight="1" x14ac:dyDescent="0.25">
      <c r="A7" s="4" t="s">
        <v>21</v>
      </c>
      <c r="B7" s="4" t="s">
        <v>34</v>
      </c>
      <c r="C7" s="4" t="s">
        <v>35</v>
      </c>
      <c r="D7" s="4" t="s">
        <v>33</v>
      </c>
      <c r="E7" s="4" t="s">
        <v>25</v>
      </c>
      <c r="F7" s="4" t="s">
        <v>25</v>
      </c>
      <c r="G7" s="4" t="s">
        <v>25</v>
      </c>
      <c r="H7" s="4" t="s">
        <v>37</v>
      </c>
      <c r="I7" s="5">
        <v>44470</v>
      </c>
      <c r="J7" s="6">
        <v>0</v>
      </c>
      <c r="K7" s="6">
        <v>0</v>
      </c>
      <c r="L7" s="6">
        <v>27.844000000000001</v>
      </c>
      <c r="M7" s="6">
        <v>27.844000000000001</v>
      </c>
      <c r="N7" s="6">
        <v>27.844000000000001</v>
      </c>
      <c r="O7" s="6">
        <v>27.844000000000001</v>
      </c>
      <c r="P7" s="6">
        <v>0</v>
      </c>
      <c r="Q7" s="4" t="s">
        <v>26</v>
      </c>
      <c r="R7" s="4">
        <v>0</v>
      </c>
      <c r="S7" s="6">
        <v>0</v>
      </c>
      <c r="T7" s="6">
        <v>8</v>
      </c>
      <c r="U7" s="6">
        <v>49</v>
      </c>
      <c r="V7" s="6">
        <f>IF(ISERROR(VLOOKUP($S$7,'TAR FIN'!$A$1:$O$85,15,0)),0,VLOOKUP($S$7,'TAR FIN'!$A$1:$O$85,15,0))</f>
        <v>0</v>
      </c>
      <c r="W7" s="6">
        <f>IF(ISERROR(VLOOKUP($T$7,'TAR FIN'!$A$1:$O$85,15,0)),0,VLOOKUP($T$7,'TAR FIN'!$A$1:$O$85,15,0))</f>
        <v>48.17</v>
      </c>
      <c r="X7" s="6">
        <f>IF(ISERROR(VLOOKUP($U$7,'TAR FIN'!$A$1:$O$85,15,0)),0,VLOOKUP($U$7,'TAR FIN'!$A$1:$O$85,15,0))</f>
        <v>251.85</v>
      </c>
      <c r="Y7" s="6"/>
      <c r="Z7" s="6">
        <f ca="1">('TUSD BE'!$AM$12+'TUSD BF'!$AM$12+'TUSD CVA'!$AM$12)*1</f>
        <v>67.084280547967893</v>
      </c>
      <c r="AA7" s="6">
        <f>('TE BE'!$AA$6+'TE BF'!$AA$6+'TE CVA'!$AA$6)*1</f>
        <v>256.69216484835653</v>
      </c>
      <c r="AB7" s="6">
        <f>$K$7*$V$7</f>
        <v>0</v>
      </c>
      <c r="AC7" s="6">
        <f>$M$7*$W$7</f>
        <v>1341.24548</v>
      </c>
      <c r="AD7" s="6">
        <f>$O$7*$X$7</f>
        <v>7012.5114000000003</v>
      </c>
      <c r="AE7" s="6">
        <f>$K$7*$Y$7</f>
        <v>0</v>
      </c>
      <c r="AF7" s="6">
        <f ca="1">$M$7*$Z$7</f>
        <v>1867.8947075776182</v>
      </c>
      <c r="AG7" s="6">
        <f>$O$7*$AA$7</f>
        <v>7147.3366380376392</v>
      </c>
      <c r="AI7" s="53" t="s">
        <v>687</v>
      </c>
      <c r="AJ7" s="54">
        <f>+$AJ$2</f>
        <v>85647.969259999998</v>
      </c>
      <c r="AK7" s="54">
        <f ca="1">+$AK$2</f>
        <v>108745.14804599581</v>
      </c>
      <c r="AL7" s="55">
        <f t="shared" ca="1" si="0"/>
        <v>0.26967573178390403</v>
      </c>
      <c r="AN7" s="53" t="s">
        <v>687</v>
      </c>
      <c r="AO7" s="54">
        <f>+$AO$2</f>
        <v>78783.213299999974</v>
      </c>
      <c r="AP7" s="54">
        <f>+$AP$2</f>
        <v>80297.9296235332</v>
      </c>
      <c r="AQ7" s="55">
        <f t="shared" si="1"/>
        <v>1.9226384150711207E-2</v>
      </c>
      <c r="AS7" s="53" t="s">
        <v>687</v>
      </c>
      <c r="AT7" s="54">
        <f>+$AT$2</f>
        <v>164431.18255999999</v>
      </c>
      <c r="AU7" s="54">
        <f ca="1">+$AU$2</f>
        <v>189043.07766952901</v>
      </c>
      <c r="AV7" s="55">
        <f t="shared" ca="1" si="2"/>
        <v>0.14967900082180763</v>
      </c>
    </row>
    <row r="8" spans="1:48" ht="11.25" customHeight="1" x14ac:dyDescent="0.25">
      <c r="A8" s="4" t="s">
        <v>21</v>
      </c>
      <c r="B8" s="4" t="s">
        <v>34</v>
      </c>
      <c r="C8" s="4" t="s">
        <v>35</v>
      </c>
      <c r="D8" s="4" t="s">
        <v>33</v>
      </c>
      <c r="E8" s="4" t="s">
        <v>25</v>
      </c>
      <c r="F8" s="4" t="s">
        <v>25</v>
      </c>
      <c r="G8" s="4" t="s">
        <v>25</v>
      </c>
      <c r="H8" s="4" t="s">
        <v>37</v>
      </c>
      <c r="I8" s="5">
        <v>44501</v>
      </c>
      <c r="J8" s="6">
        <v>0</v>
      </c>
      <c r="K8" s="6">
        <v>0</v>
      </c>
      <c r="L8" s="6">
        <v>30.475000000000001</v>
      </c>
      <c r="M8" s="6">
        <v>30.475000000000001</v>
      </c>
      <c r="N8" s="6">
        <v>30.475000000000001</v>
      </c>
      <c r="O8" s="6">
        <v>30.475000000000001</v>
      </c>
      <c r="P8" s="6">
        <v>0</v>
      </c>
      <c r="Q8" s="4" t="s">
        <v>26</v>
      </c>
      <c r="R8" s="4">
        <v>0</v>
      </c>
      <c r="S8" s="6">
        <v>0</v>
      </c>
      <c r="T8" s="6">
        <v>8</v>
      </c>
      <c r="U8" s="6">
        <v>49</v>
      </c>
      <c r="V8" s="6">
        <f>IF(ISERROR(VLOOKUP($S$8,'TAR FIN'!$A$1:$O$85,15,0)),0,VLOOKUP($S$8,'TAR FIN'!$A$1:$O$85,15,0))</f>
        <v>0</v>
      </c>
      <c r="W8" s="6">
        <f>IF(ISERROR(VLOOKUP($T$8,'TAR FIN'!$A$1:$O$85,15,0)),0,VLOOKUP($T$8,'TAR FIN'!$A$1:$O$85,15,0))</f>
        <v>48.17</v>
      </c>
      <c r="X8" s="6">
        <f>IF(ISERROR(VLOOKUP($U$8,'TAR FIN'!$A$1:$O$85,15,0)),0,VLOOKUP($U$8,'TAR FIN'!$A$1:$O$85,15,0))</f>
        <v>251.85</v>
      </c>
      <c r="Y8" s="6"/>
      <c r="Z8" s="6">
        <f ca="1">('TUSD BE'!$AM$12+'TUSD BF'!$AM$12+'TUSD CVA'!$AM$12)*1</f>
        <v>67.084280547967893</v>
      </c>
      <c r="AA8" s="6">
        <f>('TE BE'!$AA$6+'TE BF'!$AA$6+'TE CVA'!$AA$6)*1</f>
        <v>256.69216484835653</v>
      </c>
      <c r="AB8" s="6">
        <f>$K$8*$V$8</f>
        <v>0</v>
      </c>
      <c r="AC8" s="6">
        <f>$M$8*$W$8</f>
        <v>1467.9807500000002</v>
      </c>
      <c r="AD8" s="6">
        <f>$O$8*$X$8</f>
        <v>7675.1287499999999</v>
      </c>
      <c r="AE8" s="6">
        <f>$K$8*$Y$8</f>
        <v>0</v>
      </c>
      <c r="AF8" s="6">
        <f ca="1">$M$8*$Z$8</f>
        <v>2044.3934496993215</v>
      </c>
      <c r="AG8" s="6">
        <f>$O$8*$AA$8</f>
        <v>7822.6937237536658</v>
      </c>
      <c r="AI8" s="53" t="s">
        <v>80</v>
      </c>
      <c r="AJ8" s="54">
        <f>+$AJ$3+$AJ$4+$AJ$5+$AJ$6</f>
        <v>4432198.8818350006</v>
      </c>
      <c r="AK8" s="54">
        <f ca="1">+$AK$3+$AK$4+$AK$5+$AK$6</f>
        <v>5823327.6225896496</v>
      </c>
      <c r="AL8" s="55">
        <f t="shared" ca="1" si="0"/>
        <v>0.31386875405254822</v>
      </c>
      <c r="AN8" s="53" t="s">
        <v>80</v>
      </c>
      <c r="AO8" s="54">
        <f>+$AO$3+$AO$4+$AO$5+$AO$6</f>
        <v>2218202.6115389997</v>
      </c>
      <c r="AP8" s="54">
        <f>+$AP$3+$AP$4+$AP$5+$AP$6</f>
        <v>2305635.8854494528</v>
      </c>
      <c r="AQ8" s="55">
        <f t="shared" si="1"/>
        <v>3.9416270387397701E-2</v>
      </c>
      <c r="AS8" s="53" t="s">
        <v>80</v>
      </c>
      <c r="AT8" s="54">
        <f>+$AT$3+$AT$4+$AT$5+$AT$6</f>
        <v>6650401.4933740003</v>
      </c>
      <c r="AU8" s="54">
        <f ca="1">+$AU$3+$AU$4+$AU$5+$AU$6</f>
        <v>8128963.5080391029</v>
      </c>
      <c r="AV8" s="55">
        <f t="shared" ca="1" si="2"/>
        <v>0.22232672961748845</v>
      </c>
    </row>
    <row r="9" spans="1:48" ht="11.25" customHeight="1" x14ac:dyDescent="0.25">
      <c r="A9" s="4" t="s">
        <v>21</v>
      </c>
      <c r="B9" s="4" t="s">
        <v>34</v>
      </c>
      <c r="C9" s="4" t="s">
        <v>35</v>
      </c>
      <c r="D9" s="4" t="s">
        <v>33</v>
      </c>
      <c r="E9" s="4" t="s">
        <v>25</v>
      </c>
      <c r="F9" s="4" t="s">
        <v>25</v>
      </c>
      <c r="G9" s="4" t="s">
        <v>25</v>
      </c>
      <c r="H9" s="4" t="s">
        <v>37</v>
      </c>
      <c r="I9" s="5">
        <v>44531</v>
      </c>
      <c r="J9" s="6">
        <v>0</v>
      </c>
      <c r="K9" s="6">
        <v>0</v>
      </c>
      <c r="L9" s="6">
        <v>31.911000000000001</v>
      </c>
      <c r="M9" s="6">
        <v>31.911000000000001</v>
      </c>
      <c r="N9" s="6">
        <v>31.911000000000001</v>
      </c>
      <c r="O9" s="6">
        <v>31.911000000000001</v>
      </c>
      <c r="P9" s="6">
        <v>0</v>
      </c>
      <c r="Q9" s="4" t="s">
        <v>26</v>
      </c>
      <c r="R9" s="4">
        <v>0</v>
      </c>
      <c r="S9" s="6">
        <v>0</v>
      </c>
      <c r="T9" s="6">
        <v>8</v>
      </c>
      <c r="U9" s="6">
        <v>49</v>
      </c>
      <c r="V9" s="6">
        <f>IF(ISERROR(VLOOKUP($S$9,'TAR FIN'!$A$1:$O$85,15,0)),0,VLOOKUP($S$9,'TAR FIN'!$A$1:$O$85,15,0))</f>
        <v>0</v>
      </c>
      <c r="W9" s="6">
        <f>IF(ISERROR(VLOOKUP($T$9,'TAR FIN'!$A$1:$O$85,15,0)),0,VLOOKUP($T$9,'TAR FIN'!$A$1:$O$85,15,0))</f>
        <v>48.17</v>
      </c>
      <c r="X9" s="6">
        <f>IF(ISERROR(VLOOKUP($U$9,'TAR FIN'!$A$1:$O$85,15,0)),0,VLOOKUP($U$9,'TAR FIN'!$A$1:$O$85,15,0))</f>
        <v>251.85</v>
      </c>
      <c r="Y9" s="6"/>
      <c r="Z9" s="6">
        <f ca="1">('TUSD BE'!$AM$12+'TUSD BF'!$AM$12+'TUSD CVA'!$AM$12)*1</f>
        <v>67.084280547967893</v>
      </c>
      <c r="AA9" s="6">
        <f>('TE BE'!$AA$6+'TE BF'!$AA$6+'TE CVA'!$AA$6)*1</f>
        <v>256.69216484835653</v>
      </c>
      <c r="AB9" s="6">
        <f>$K$9*$V$9</f>
        <v>0</v>
      </c>
      <c r="AC9" s="6">
        <f>$M$9*$W$9</f>
        <v>1537.1528700000001</v>
      </c>
      <c r="AD9" s="6">
        <f>$O$9*$X$9</f>
        <v>8036.7853500000001</v>
      </c>
      <c r="AE9" s="6">
        <f>$K$9*$Y$9</f>
        <v>0</v>
      </c>
      <c r="AF9" s="6">
        <f ca="1">$M$9*$Z$9</f>
        <v>2140.7264765662035</v>
      </c>
      <c r="AG9" s="6">
        <f>$O$9*$AA$9</f>
        <v>8191.3036724759058</v>
      </c>
      <c r="AI9" s="53" t="s">
        <v>688</v>
      </c>
      <c r="AJ9" s="54">
        <f>AJ8+AJ7</f>
        <v>4517846.8510950003</v>
      </c>
      <c r="AK9" s="54">
        <f ca="1">AK8+AK7</f>
        <v>5932072.7706356458</v>
      </c>
      <c r="AL9" s="55">
        <f t="shared" ca="1" si="0"/>
        <v>0.31303095615068854</v>
      </c>
      <c r="AN9" s="53" t="s">
        <v>688</v>
      </c>
      <c r="AO9" s="54">
        <f>AO8+AO7</f>
        <v>2296985.8248389997</v>
      </c>
      <c r="AP9" s="54">
        <f>AP8+AP7</f>
        <v>2385933.8150729858</v>
      </c>
      <c r="AQ9" s="55">
        <f t="shared" si="1"/>
        <v>3.8723787178887248E-2</v>
      </c>
      <c r="AS9" s="53" t="s">
        <v>688</v>
      </c>
      <c r="AT9" s="54">
        <f>AT8+AT7</f>
        <v>6814832.6759339999</v>
      </c>
      <c r="AU9" s="54">
        <f ca="1">AU8+AU7</f>
        <v>8318006.5857086321</v>
      </c>
      <c r="AV9" s="55">
        <f t="shared" ca="1" si="2"/>
        <v>0.22057385430503129</v>
      </c>
    </row>
    <row r="10" spans="1:48" ht="11.25" customHeight="1" x14ac:dyDescent="0.25">
      <c r="A10" s="4" t="s">
        <v>21</v>
      </c>
      <c r="B10" s="4" t="s">
        <v>34</v>
      </c>
      <c r="C10" s="4" t="s">
        <v>35</v>
      </c>
      <c r="D10" s="4" t="s">
        <v>33</v>
      </c>
      <c r="E10" s="4" t="s">
        <v>25</v>
      </c>
      <c r="F10" s="4" t="s">
        <v>25</v>
      </c>
      <c r="G10" s="4" t="s">
        <v>25</v>
      </c>
      <c r="H10" s="4" t="s">
        <v>37</v>
      </c>
      <c r="I10" s="5">
        <v>44562</v>
      </c>
      <c r="J10" s="6">
        <v>0</v>
      </c>
      <c r="K10" s="6">
        <v>0</v>
      </c>
      <c r="L10" s="6">
        <v>23.591000000000001</v>
      </c>
      <c r="M10" s="6">
        <v>23.591000000000001</v>
      </c>
      <c r="N10" s="6">
        <v>23.591000000000001</v>
      </c>
      <c r="O10" s="6">
        <v>23.591000000000001</v>
      </c>
      <c r="P10" s="6">
        <v>0</v>
      </c>
      <c r="Q10" s="4" t="s">
        <v>26</v>
      </c>
      <c r="R10" s="4">
        <v>0</v>
      </c>
      <c r="S10" s="6">
        <v>0</v>
      </c>
      <c r="T10" s="6">
        <v>8</v>
      </c>
      <c r="U10" s="6">
        <v>49</v>
      </c>
      <c r="V10" s="6">
        <f>IF(ISERROR(VLOOKUP($S$10,'TAR FIN'!$A$1:$O$85,15,0)),0,VLOOKUP($S$10,'TAR FIN'!$A$1:$O$85,15,0))</f>
        <v>0</v>
      </c>
      <c r="W10" s="6">
        <f>IF(ISERROR(VLOOKUP($T$10,'TAR FIN'!$A$1:$O$85,15,0)),0,VLOOKUP($T$10,'TAR FIN'!$A$1:$O$85,15,0))</f>
        <v>48.17</v>
      </c>
      <c r="X10" s="6">
        <f>IF(ISERROR(VLOOKUP($U$10,'TAR FIN'!$A$1:$O$85,15,0)),0,VLOOKUP($U$10,'TAR FIN'!$A$1:$O$85,15,0))</f>
        <v>251.85</v>
      </c>
      <c r="Y10" s="6"/>
      <c r="Z10" s="6">
        <f ca="1">('TUSD BE'!$AM$12+'TUSD BF'!$AM$12+'TUSD CVA'!$AM$12)*1</f>
        <v>67.084280547967893</v>
      </c>
      <c r="AA10" s="6">
        <f>('TE BE'!$AA$6+'TE BF'!$AA$6+'TE CVA'!$AA$6)*1</f>
        <v>256.69216484835653</v>
      </c>
      <c r="AB10" s="6">
        <f>$K$10*$V$10</f>
        <v>0</v>
      </c>
      <c r="AC10" s="6">
        <f>$M$10*$W$10</f>
        <v>1136.3784700000001</v>
      </c>
      <c r="AD10" s="6">
        <f>$O$10*$X$10</f>
        <v>5941.3933500000003</v>
      </c>
      <c r="AE10" s="6">
        <f>$K$10*$Y$10</f>
        <v>0</v>
      </c>
      <c r="AF10" s="6">
        <f ca="1">$M$10*$Z$10</f>
        <v>1582.5852624071106</v>
      </c>
      <c r="AG10" s="6">
        <f>$O$10*$AA$10</f>
        <v>6055.6248609375789</v>
      </c>
    </row>
    <row r="11" spans="1:48" ht="11.25" customHeight="1" x14ac:dyDescent="0.25">
      <c r="A11" s="4" t="s">
        <v>21</v>
      </c>
      <c r="B11" s="4" t="s">
        <v>34</v>
      </c>
      <c r="C11" s="4" t="s">
        <v>35</v>
      </c>
      <c r="D11" s="4" t="s">
        <v>33</v>
      </c>
      <c r="E11" s="4" t="s">
        <v>25</v>
      </c>
      <c r="F11" s="4" t="s">
        <v>25</v>
      </c>
      <c r="G11" s="4" t="s">
        <v>25</v>
      </c>
      <c r="H11" s="4" t="s">
        <v>37</v>
      </c>
      <c r="I11" s="5">
        <v>44593</v>
      </c>
      <c r="J11" s="6">
        <v>0</v>
      </c>
      <c r="K11" s="6">
        <v>0</v>
      </c>
      <c r="L11" s="6">
        <v>23.384</v>
      </c>
      <c r="M11" s="6">
        <v>23.384</v>
      </c>
      <c r="N11" s="6">
        <v>23.384</v>
      </c>
      <c r="O11" s="6">
        <v>23.384</v>
      </c>
      <c r="P11" s="6">
        <v>0</v>
      </c>
      <c r="Q11" s="4" t="s">
        <v>26</v>
      </c>
      <c r="R11" s="4">
        <v>0</v>
      </c>
      <c r="S11" s="6">
        <v>0</v>
      </c>
      <c r="T11" s="6">
        <v>8</v>
      </c>
      <c r="U11" s="6">
        <v>49</v>
      </c>
      <c r="V11" s="6">
        <f>IF(ISERROR(VLOOKUP($S$11,'TAR FIN'!$A$1:$O$85,15,0)),0,VLOOKUP($S$11,'TAR FIN'!$A$1:$O$85,15,0))</f>
        <v>0</v>
      </c>
      <c r="W11" s="6">
        <f>IF(ISERROR(VLOOKUP($T$11,'TAR FIN'!$A$1:$O$85,15,0)),0,VLOOKUP($T$11,'TAR FIN'!$A$1:$O$85,15,0))</f>
        <v>48.17</v>
      </c>
      <c r="X11" s="6">
        <f>IF(ISERROR(VLOOKUP($U$11,'TAR FIN'!$A$1:$O$85,15,0)),0,VLOOKUP($U$11,'TAR FIN'!$A$1:$O$85,15,0))</f>
        <v>251.85</v>
      </c>
      <c r="Y11" s="6"/>
      <c r="Z11" s="6">
        <f ca="1">('TUSD BE'!$AM$12+'TUSD BF'!$AM$12+'TUSD CVA'!$AM$12)*1</f>
        <v>67.084280547967893</v>
      </c>
      <c r="AA11" s="6">
        <f>('TE BE'!$AA$6+'TE BF'!$AA$6+'TE CVA'!$AA$6)*1</f>
        <v>256.69216484835653</v>
      </c>
      <c r="AB11" s="6">
        <f>$K$11*$V$11</f>
        <v>0</v>
      </c>
      <c r="AC11" s="6">
        <f>$M$11*$W$11</f>
        <v>1126.4072800000001</v>
      </c>
      <c r="AD11" s="6">
        <f>$O$11*$X$11</f>
        <v>5889.2604000000001</v>
      </c>
      <c r="AE11" s="6">
        <f>$K$11*$Y$11</f>
        <v>0</v>
      </c>
      <c r="AF11" s="6">
        <f ca="1">$M$11*$Z$11</f>
        <v>1568.6988163336812</v>
      </c>
      <c r="AG11" s="6">
        <f>$O$11*$AA$11</f>
        <v>6002.4895828139688</v>
      </c>
    </row>
    <row r="12" spans="1:48" ht="11.25" customHeight="1" x14ac:dyDescent="0.25">
      <c r="A12" s="4" t="s">
        <v>21</v>
      </c>
      <c r="B12" s="4" t="s">
        <v>34</v>
      </c>
      <c r="C12" s="4" t="s">
        <v>35</v>
      </c>
      <c r="D12" s="4" t="s">
        <v>33</v>
      </c>
      <c r="E12" s="4" t="s">
        <v>25</v>
      </c>
      <c r="F12" s="4" t="s">
        <v>25</v>
      </c>
      <c r="G12" s="4" t="s">
        <v>25</v>
      </c>
      <c r="H12" s="4" t="s">
        <v>37</v>
      </c>
      <c r="I12" s="5">
        <v>44621</v>
      </c>
      <c r="J12" s="6">
        <v>0</v>
      </c>
      <c r="K12" s="6">
        <v>0</v>
      </c>
      <c r="L12" s="6">
        <v>27.555</v>
      </c>
      <c r="M12" s="6">
        <v>27.555</v>
      </c>
      <c r="N12" s="6">
        <v>27.555</v>
      </c>
      <c r="O12" s="6">
        <v>27.555</v>
      </c>
      <c r="P12" s="6">
        <v>0</v>
      </c>
      <c r="Q12" s="4" t="s">
        <v>26</v>
      </c>
      <c r="R12" s="4">
        <v>0</v>
      </c>
      <c r="S12" s="6">
        <v>0</v>
      </c>
      <c r="T12" s="6">
        <v>8</v>
      </c>
      <c r="U12" s="6">
        <v>49</v>
      </c>
      <c r="V12" s="6">
        <f>IF(ISERROR(VLOOKUP($S$12,'TAR FIN'!$A$1:$O$85,15,0)),0,VLOOKUP($S$12,'TAR FIN'!$A$1:$O$85,15,0))</f>
        <v>0</v>
      </c>
      <c r="W12" s="6">
        <f>IF(ISERROR(VLOOKUP($T$12,'TAR FIN'!$A$1:$O$85,15,0)),0,VLOOKUP($T$12,'TAR FIN'!$A$1:$O$85,15,0))</f>
        <v>48.17</v>
      </c>
      <c r="X12" s="6">
        <f>IF(ISERROR(VLOOKUP($U$12,'TAR FIN'!$A$1:$O$85,15,0)),0,VLOOKUP($U$12,'TAR FIN'!$A$1:$O$85,15,0))</f>
        <v>251.85</v>
      </c>
      <c r="Y12" s="6"/>
      <c r="Z12" s="6">
        <f ca="1">('TUSD BE'!$AM$12+'TUSD BF'!$AM$12+'TUSD CVA'!$AM$12)*1</f>
        <v>67.084280547967893</v>
      </c>
      <c r="AA12" s="6">
        <f>('TE BE'!$AA$6+'TE BF'!$AA$6+'TE CVA'!$AA$6)*1</f>
        <v>256.69216484835653</v>
      </c>
      <c r="AB12" s="6">
        <f>$K$12*$V$12</f>
        <v>0</v>
      </c>
      <c r="AC12" s="6">
        <f>$M$12*$W$12</f>
        <v>1327.3243500000001</v>
      </c>
      <c r="AD12" s="6">
        <f>$O$12*$X$12</f>
        <v>6939.7267499999998</v>
      </c>
      <c r="AE12" s="6">
        <f>$K$12*$Y$12</f>
        <v>0</v>
      </c>
      <c r="AF12" s="6">
        <f ca="1">$M$12*$Z$12</f>
        <v>1848.5073504992554</v>
      </c>
      <c r="AG12" s="6">
        <f>$O$12*$AA$12</f>
        <v>7073.1526023964643</v>
      </c>
    </row>
    <row r="13" spans="1:48" ht="11.25" customHeight="1" x14ac:dyDescent="0.25">
      <c r="A13" s="4" t="s">
        <v>21</v>
      </c>
      <c r="B13" s="4" t="s">
        <v>34</v>
      </c>
      <c r="C13" s="4" t="s">
        <v>35</v>
      </c>
      <c r="D13" s="4" t="s">
        <v>33</v>
      </c>
      <c r="E13" s="4" t="s">
        <v>25</v>
      </c>
      <c r="F13" s="4" t="s">
        <v>25</v>
      </c>
      <c r="G13" s="4" t="s">
        <v>25</v>
      </c>
      <c r="H13" s="4" t="s">
        <v>37</v>
      </c>
      <c r="I13" s="5">
        <v>44652</v>
      </c>
      <c r="J13" s="6">
        <v>0</v>
      </c>
      <c r="K13" s="6">
        <v>0</v>
      </c>
      <c r="L13" s="6">
        <v>25.942</v>
      </c>
      <c r="M13" s="6">
        <v>25.942</v>
      </c>
      <c r="N13" s="6">
        <v>25.942</v>
      </c>
      <c r="O13" s="6">
        <v>25.942</v>
      </c>
      <c r="P13" s="6">
        <v>0</v>
      </c>
      <c r="Q13" s="4" t="s">
        <v>26</v>
      </c>
      <c r="R13" s="4">
        <v>0</v>
      </c>
      <c r="S13" s="6">
        <v>0</v>
      </c>
      <c r="T13" s="6">
        <v>8</v>
      </c>
      <c r="U13" s="6">
        <v>49</v>
      </c>
      <c r="V13" s="6">
        <f>IF(ISERROR(VLOOKUP($S$13,'TAR FIN'!$A$1:$O$85,15,0)),0,VLOOKUP($S$13,'TAR FIN'!$A$1:$O$85,15,0))</f>
        <v>0</v>
      </c>
      <c r="W13" s="6">
        <f>IF(ISERROR(VLOOKUP($T$13,'TAR FIN'!$A$1:$O$85,15,0)),0,VLOOKUP($T$13,'TAR FIN'!$A$1:$O$85,15,0))</f>
        <v>48.17</v>
      </c>
      <c r="X13" s="6">
        <f>IF(ISERROR(VLOOKUP($U$13,'TAR FIN'!$A$1:$O$85,15,0)),0,VLOOKUP($U$13,'TAR FIN'!$A$1:$O$85,15,0))</f>
        <v>251.85</v>
      </c>
      <c r="Y13" s="6"/>
      <c r="Z13" s="6">
        <f ca="1">('TUSD BE'!$AM$12+'TUSD BF'!$AM$12+'TUSD CVA'!$AM$12)*1</f>
        <v>67.084280547967893</v>
      </c>
      <c r="AA13" s="6">
        <f>('TE BE'!$AA$6+'TE BF'!$AA$6+'TE CVA'!$AA$6)*1</f>
        <v>256.69216484835653</v>
      </c>
      <c r="AB13" s="6">
        <f>$K$13*$V$13</f>
        <v>0</v>
      </c>
      <c r="AC13" s="6">
        <f>$M$13*$W$13</f>
        <v>1249.6261400000001</v>
      </c>
      <c r="AD13" s="6">
        <f>$O$13*$X$13</f>
        <v>6533.4926999999998</v>
      </c>
      <c r="AE13" s="6">
        <f>$K$13*$Y$13</f>
        <v>0</v>
      </c>
      <c r="AF13" s="6">
        <f ca="1">$M$13*$Z$13</f>
        <v>1740.300405975383</v>
      </c>
      <c r="AG13" s="6">
        <f>$O$13*$AA$13</f>
        <v>6659.1081404960651</v>
      </c>
    </row>
    <row r="14" spans="1:48" ht="11.25" customHeight="1" x14ac:dyDescent="0.25">
      <c r="A14" s="4" t="s">
        <v>21</v>
      </c>
      <c r="B14" s="4" t="s">
        <v>34</v>
      </c>
      <c r="C14" s="4" t="s">
        <v>35</v>
      </c>
      <c r="D14" s="4" t="s">
        <v>33</v>
      </c>
      <c r="E14" s="4" t="s">
        <v>25</v>
      </c>
      <c r="F14" s="4" t="s">
        <v>25</v>
      </c>
      <c r="G14" s="4" t="s">
        <v>25</v>
      </c>
      <c r="H14" s="4" t="s">
        <v>25</v>
      </c>
      <c r="I14" s="5">
        <v>44317</v>
      </c>
      <c r="J14" s="6">
        <v>120</v>
      </c>
      <c r="K14" s="6">
        <v>120</v>
      </c>
      <c r="L14" s="6">
        <v>0</v>
      </c>
      <c r="M14" s="6">
        <v>0</v>
      </c>
      <c r="N14" s="6">
        <v>0</v>
      </c>
      <c r="O14" s="6">
        <v>0</v>
      </c>
      <c r="P14" s="6">
        <v>1</v>
      </c>
      <c r="Q14" s="4" t="s">
        <v>26</v>
      </c>
      <c r="R14" s="4">
        <v>0</v>
      </c>
      <c r="S14" s="6">
        <v>6</v>
      </c>
      <c r="T14" s="6">
        <v>0</v>
      </c>
      <c r="U14" s="6">
        <v>0</v>
      </c>
      <c r="V14" s="6">
        <f>IF(ISERROR(VLOOKUP($S$14,'TAR FIN'!$A$1:$O$85,15,0)),0,VLOOKUP($S$14,'TAR FIN'!$A$1:$O$85,15,0))</f>
        <v>45.2</v>
      </c>
      <c r="W14" s="6">
        <f>IF(ISERROR(VLOOKUP($T$14,'TAR FIN'!$A$1:$O$85,15,0)),0,VLOOKUP($T$14,'TAR FIN'!$A$1:$O$85,15,0))</f>
        <v>0</v>
      </c>
      <c r="X14" s="6">
        <f>IF(ISERROR(VLOOKUP($U$14,'TAR FIN'!$A$1:$O$85,15,0)),0,VLOOKUP($U$14,'TAR FIN'!$A$1:$O$85,15,0))</f>
        <v>0</v>
      </c>
      <c r="Y14" s="6">
        <f ca="1">('TUSD BE'!$AM$10+'TUSD BF'!$AM$10+'TUSD CVA'!$AM$10)*1</f>
        <v>56.083312884033845</v>
      </c>
      <c r="Z14" s="6"/>
      <c r="AA14" s="6"/>
      <c r="AB14" s="6">
        <f>$K$14*$V$14</f>
        <v>5424</v>
      </c>
      <c r="AC14" s="6">
        <f>$M$14*$W$14</f>
        <v>0</v>
      </c>
      <c r="AD14" s="6">
        <f>$O$14*$X$14</f>
        <v>0</v>
      </c>
      <c r="AE14" s="6">
        <f ca="1">$K$14*$Y$14</f>
        <v>6729.9975460840615</v>
      </c>
      <c r="AF14" s="6">
        <f>$M$14*$Z$14</f>
        <v>0</v>
      </c>
      <c r="AG14" s="6">
        <f>$O$14*$AA$14</f>
        <v>0</v>
      </c>
    </row>
    <row r="15" spans="1:48" ht="11.25" customHeight="1" x14ac:dyDescent="0.25">
      <c r="A15" s="4" t="s">
        <v>21</v>
      </c>
      <c r="B15" s="4" t="s">
        <v>34</v>
      </c>
      <c r="C15" s="4" t="s">
        <v>35</v>
      </c>
      <c r="D15" s="4" t="s">
        <v>33</v>
      </c>
      <c r="E15" s="4" t="s">
        <v>25</v>
      </c>
      <c r="F15" s="4" t="s">
        <v>25</v>
      </c>
      <c r="G15" s="4" t="s">
        <v>25</v>
      </c>
      <c r="H15" s="4" t="s">
        <v>25</v>
      </c>
      <c r="I15" s="5">
        <v>44348</v>
      </c>
      <c r="J15" s="6">
        <v>120</v>
      </c>
      <c r="K15" s="6">
        <v>120</v>
      </c>
      <c r="L15" s="6">
        <v>0</v>
      </c>
      <c r="M15" s="6">
        <v>0</v>
      </c>
      <c r="N15" s="6">
        <v>0</v>
      </c>
      <c r="O15" s="6">
        <v>0</v>
      </c>
      <c r="P15" s="6">
        <v>1</v>
      </c>
      <c r="Q15" s="4" t="s">
        <v>26</v>
      </c>
      <c r="R15" s="4">
        <v>0</v>
      </c>
      <c r="S15" s="6">
        <v>6</v>
      </c>
      <c r="T15" s="6">
        <v>0</v>
      </c>
      <c r="U15" s="6">
        <v>0</v>
      </c>
      <c r="V15" s="6">
        <f>IF(ISERROR(VLOOKUP($S$15,'TAR FIN'!$A$1:$O$85,15,0)),0,VLOOKUP($S$15,'TAR FIN'!$A$1:$O$85,15,0))</f>
        <v>45.2</v>
      </c>
      <c r="W15" s="6">
        <f>IF(ISERROR(VLOOKUP($T$15,'TAR FIN'!$A$1:$O$85,15,0)),0,VLOOKUP($T$15,'TAR FIN'!$A$1:$O$85,15,0))</f>
        <v>0</v>
      </c>
      <c r="X15" s="6">
        <f>IF(ISERROR(VLOOKUP($U$15,'TAR FIN'!$A$1:$O$85,15,0)),0,VLOOKUP($U$15,'TAR FIN'!$A$1:$O$85,15,0))</f>
        <v>0</v>
      </c>
      <c r="Y15" s="6">
        <f ca="1">('TUSD BE'!$AM$10+'TUSD BF'!$AM$10+'TUSD CVA'!$AM$10)*1</f>
        <v>56.083312884033845</v>
      </c>
      <c r="Z15" s="6"/>
      <c r="AA15" s="6"/>
      <c r="AB15" s="6">
        <f>$K$15*$V$15</f>
        <v>5424</v>
      </c>
      <c r="AC15" s="6">
        <f>$M$15*$W$15</f>
        <v>0</v>
      </c>
      <c r="AD15" s="6">
        <f>$O$15*$X$15</f>
        <v>0</v>
      </c>
      <c r="AE15" s="6">
        <f ca="1">$K$15*$Y$15</f>
        <v>6729.9975460840615</v>
      </c>
      <c r="AF15" s="6">
        <f>$M$15*$Z$15</f>
        <v>0</v>
      </c>
      <c r="AG15" s="6">
        <f>$O$15*$AA$15</f>
        <v>0</v>
      </c>
    </row>
    <row r="16" spans="1:48" ht="11.25" customHeight="1" x14ac:dyDescent="0.25">
      <c r="A16" s="4" t="s">
        <v>21</v>
      </c>
      <c r="B16" s="4" t="s">
        <v>34</v>
      </c>
      <c r="C16" s="4" t="s">
        <v>35</v>
      </c>
      <c r="D16" s="4" t="s">
        <v>33</v>
      </c>
      <c r="E16" s="4" t="s">
        <v>25</v>
      </c>
      <c r="F16" s="4" t="s">
        <v>25</v>
      </c>
      <c r="G16" s="4" t="s">
        <v>25</v>
      </c>
      <c r="H16" s="4" t="s">
        <v>25</v>
      </c>
      <c r="I16" s="5">
        <v>44378</v>
      </c>
      <c r="J16" s="6">
        <v>120</v>
      </c>
      <c r="K16" s="6">
        <v>120</v>
      </c>
      <c r="L16" s="6">
        <v>0</v>
      </c>
      <c r="M16" s="6">
        <v>0</v>
      </c>
      <c r="N16" s="6">
        <v>0</v>
      </c>
      <c r="O16" s="6">
        <v>0</v>
      </c>
      <c r="P16" s="6">
        <v>1</v>
      </c>
      <c r="Q16" s="4" t="s">
        <v>26</v>
      </c>
      <c r="R16" s="4">
        <v>0</v>
      </c>
      <c r="S16" s="6">
        <v>6</v>
      </c>
      <c r="T16" s="6">
        <v>0</v>
      </c>
      <c r="U16" s="6">
        <v>0</v>
      </c>
      <c r="V16" s="6">
        <f>IF(ISERROR(VLOOKUP($S$16,'TAR FIN'!$A$1:$O$85,15,0)),0,VLOOKUP($S$16,'TAR FIN'!$A$1:$O$85,15,0))</f>
        <v>45.2</v>
      </c>
      <c r="W16" s="6">
        <f>IF(ISERROR(VLOOKUP($T$16,'TAR FIN'!$A$1:$O$85,15,0)),0,VLOOKUP($T$16,'TAR FIN'!$A$1:$O$85,15,0))</f>
        <v>0</v>
      </c>
      <c r="X16" s="6">
        <f>IF(ISERROR(VLOOKUP($U$16,'TAR FIN'!$A$1:$O$85,15,0)),0,VLOOKUP($U$16,'TAR FIN'!$A$1:$O$85,15,0))</f>
        <v>0</v>
      </c>
      <c r="Y16" s="6">
        <f ca="1">('TUSD BE'!$AM$10+'TUSD BF'!$AM$10+'TUSD CVA'!$AM$10)*1</f>
        <v>56.083312884033845</v>
      </c>
      <c r="Z16" s="6"/>
      <c r="AA16" s="6"/>
      <c r="AB16" s="6">
        <f>$K$16*$V$16</f>
        <v>5424</v>
      </c>
      <c r="AC16" s="6">
        <f>$M$16*$W$16</f>
        <v>0</v>
      </c>
      <c r="AD16" s="6">
        <f>$O$16*$X$16</f>
        <v>0</v>
      </c>
      <c r="AE16" s="6">
        <f ca="1">$K$16*$Y$16</f>
        <v>6729.9975460840615</v>
      </c>
      <c r="AF16" s="6">
        <f>$M$16*$Z$16</f>
        <v>0</v>
      </c>
      <c r="AG16" s="6">
        <f>$O$16*$AA$16</f>
        <v>0</v>
      </c>
    </row>
    <row r="17" spans="1:33" ht="11.25" customHeight="1" x14ac:dyDescent="0.25">
      <c r="A17" s="4" t="s">
        <v>21</v>
      </c>
      <c r="B17" s="4" t="s">
        <v>34</v>
      </c>
      <c r="C17" s="4" t="s">
        <v>35</v>
      </c>
      <c r="D17" s="4" t="s">
        <v>33</v>
      </c>
      <c r="E17" s="4" t="s">
        <v>25</v>
      </c>
      <c r="F17" s="4" t="s">
        <v>25</v>
      </c>
      <c r="G17" s="4" t="s">
        <v>25</v>
      </c>
      <c r="H17" s="4" t="s">
        <v>25</v>
      </c>
      <c r="I17" s="5">
        <v>44409</v>
      </c>
      <c r="J17" s="6">
        <v>120</v>
      </c>
      <c r="K17" s="6">
        <v>120</v>
      </c>
      <c r="L17" s="6">
        <v>0</v>
      </c>
      <c r="M17" s="6">
        <v>0</v>
      </c>
      <c r="N17" s="6">
        <v>0</v>
      </c>
      <c r="O17" s="6">
        <v>0</v>
      </c>
      <c r="P17" s="6">
        <v>1</v>
      </c>
      <c r="Q17" s="4" t="s">
        <v>26</v>
      </c>
      <c r="R17" s="4">
        <v>0</v>
      </c>
      <c r="S17" s="6">
        <v>6</v>
      </c>
      <c r="T17" s="6">
        <v>0</v>
      </c>
      <c r="U17" s="6">
        <v>0</v>
      </c>
      <c r="V17" s="6">
        <f>IF(ISERROR(VLOOKUP($S$17,'TAR FIN'!$A$1:$O$85,15,0)),0,VLOOKUP($S$17,'TAR FIN'!$A$1:$O$85,15,0))</f>
        <v>45.2</v>
      </c>
      <c r="W17" s="6">
        <f>IF(ISERROR(VLOOKUP($T$17,'TAR FIN'!$A$1:$O$85,15,0)),0,VLOOKUP($T$17,'TAR FIN'!$A$1:$O$85,15,0))</f>
        <v>0</v>
      </c>
      <c r="X17" s="6">
        <f>IF(ISERROR(VLOOKUP($U$17,'TAR FIN'!$A$1:$O$85,15,0)),0,VLOOKUP($U$17,'TAR FIN'!$A$1:$O$85,15,0))</f>
        <v>0</v>
      </c>
      <c r="Y17" s="6">
        <f ca="1">('TUSD BE'!$AM$10+'TUSD BF'!$AM$10+'TUSD CVA'!$AM$10)*1</f>
        <v>56.083312884033845</v>
      </c>
      <c r="Z17" s="6"/>
      <c r="AA17" s="6"/>
      <c r="AB17" s="6">
        <f>$K$17*$V$17</f>
        <v>5424</v>
      </c>
      <c r="AC17" s="6">
        <f>$M$17*$W$17</f>
        <v>0</v>
      </c>
      <c r="AD17" s="6">
        <f>$O$17*$X$17</f>
        <v>0</v>
      </c>
      <c r="AE17" s="6">
        <f ca="1">$K$17*$Y$17</f>
        <v>6729.9975460840615</v>
      </c>
      <c r="AF17" s="6">
        <f>$M$17*$Z$17</f>
        <v>0</v>
      </c>
      <c r="AG17" s="6">
        <f>$O$17*$AA$17</f>
        <v>0</v>
      </c>
    </row>
    <row r="18" spans="1:33" ht="11.25" customHeight="1" x14ac:dyDescent="0.25">
      <c r="A18" s="4" t="s">
        <v>21</v>
      </c>
      <c r="B18" s="4" t="s">
        <v>34</v>
      </c>
      <c r="C18" s="4" t="s">
        <v>35</v>
      </c>
      <c r="D18" s="4" t="s">
        <v>33</v>
      </c>
      <c r="E18" s="4" t="s">
        <v>25</v>
      </c>
      <c r="F18" s="4" t="s">
        <v>25</v>
      </c>
      <c r="G18" s="4" t="s">
        <v>25</v>
      </c>
      <c r="H18" s="4" t="s">
        <v>25</v>
      </c>
      <c r="I18" s="5">
        <v>44440</v>
      </c>
      <c r="J18" s="6">
        <v>120</v>
      </c>
      <c r="K18" s="6">
        <v>120</v>
      </c>
      <c r="L18" s="6">
        <v>0</v>
      </c>
      <c r="M18" s="6">
        <v>0</v>
      </c>
      <c r="N18" s="6">
        <v>0</v>
      </c>
      <c r="O18" s="6">
        <v>0</v>
      </c>
      <c r="P18" s="6">
        <v>1</v>
      </c>
      <c r="Q18" s="4" t="s">
        <v>26</v>
      </c>
      <c r="R18" s="4">
        <v>0</v>
      </c>
      <c r="S18" s="6">
        <v>6</v>
      </c>
      <c r="T18" s="6">
        <v>0</v>
      </c>
      <c r="U18" s="6">
        <v>0</v>
      </c>
      <c r="V18" s="6">
        <f>IF(ISERROR(VLOOKUP($S$18,'TAR FIN'!$A$1:$O$85,15,0)),0,VLOOKUP($S$18,'TAR FIN'!$A$1:$O$85,15,0))</f>
        <v>45.2</v>
      </c>
      <c r="W18" s="6">
        <f>IF(ISERROR(VLOOKUP($T$18,'TAR FIN'!$A$1:$O$85,15,0)),0,VLOOKUP($T$18,'TAR FIN'!$A$1:$O$85,15,0))</f>
        <v>0</v>
      </c>
      <c r="X18" s="6">
        <f>IF(ISERROR(VLOOKUP($U$18,'TAR FIN'!$A$1:$O$85,15,0)),0,VLOOKUP($U$18,'TAR FIN'!$A$1:$O$85,15,0))</f>
        <v>0</v>
      </c>
      <c r="Y18" s="6">
        <f ca="1">('TUSD BE'!$AM$10+'TUSD BF'!$AM$10+'TUSD CVA'!$AM$10)*1</f>
        <v>56.083312884033845</v>
      </c>
      <c r="Z18" s="6"/>
      <c r="AA18" s="6"/>
      <c r="AB18" s="6">
        <f>$K$18*$V$18</f>
        <v>5424</v>
      </c>
      <c r="AC18" s="6">
        <f>$M$18*$W$18</f>
        <v>0</v>
      </c>
      <c r="AD18" s="6">
        <f>$O$18*$X$18</f>
        <v>0</v>
      </c>
      <c r="AE18" s="6">
        <f ca="1">$K$18*$Y$18</f>
        <v>6729.9975460840615</v>
      </c>
      <c r="AF18" s="6">
        <f>$M$18*$Z$18</f>
        <v>0</v>
      </c>
      <c r="AG18" s="6">
        <f>$O$18*$AA$18</f>
        <v>0</v>
      </c>
    </row>
    <row r="19" spans="1:33" ht="11.25" customHeight="1" x14ac:dyDescent="0.25">
      <c r="A19" s="4" t="s">
        <v>21</v>
      </c>
      <c r="B19" s="4" t="s">
        <v>34</v>
      </c>
      <c r="C19" s="4" t="s">
        <v>35</v>
      </c>
      <c r="D19" s="4" t="s">
        <v>33</v>
      </c>
      <c r="E19" s="4" t="s">
        <v>25</v>
      </c>
      <c r="F19" s="4" t="s">
        <v>25</v>
      </c>
      <c r="G19" s="4" t="s">
        <v>25</v>
      </c>
      <c r="H19" s="4" t="s">
        <v>25</v>
      </c>
      <c r="I19" s="5">
        <v>44470</v>
      </c>
      <c r="J19" s="6">
        <v>123</v>
      </c>
      <c r="K19" s="6">
        <v>123</v>
      </c>
      <c r="L19" s="6">
        <v>0</v>
      </c>
      <c r="M19" s="6">
        <v>0</v>
      </c>
      <c r="N19" s="6">
        <v>0</v>
      </c>
      <c r="O19" s="6">
        <v>0</v>
      </c>
      <c r="P19" s="6">
        <v>1</v>
      </c>
      <c r="Q19" s="4" t="s">
        <v>26</v>
      </c>
      <c r="R19" s="4">
        <v>0</v>
      </c>
      <c r="S19" s="6">
        <v>6</v>
      </c>
      <c r="T19" s="6">
        <v>0</v>
      </c>
      <c r="U19" s="6">
        <v>0</v>
      </c>
      <c r="V19" s="6">
        <f>IF(ISERROR(VLOOKUP($S$19,'TAR FIN'!$A$1:$O$85,15,0)),0,VLOOKUP($S$19,'TAR FIN'!$A$1:$O$85,15,0))</f>
        <v>45.2</v>
      </c>
      <c r="W19" s="6">
        <f>IF(ISERROR(VLOOKUP($T$19,'TAR FIN'!$A$1:$O$85,15,0)),0,VLOOKUP($T$19,'TAR FIN'!$A$1:$O$85,15,0))</f>
        <v>0</v>
      </c>
      <c r="X19" s="6">
        <f>IF(ISERROR(VLOOKUP($U$19,'TAR FIN'!$A$1:$O$85,15,0)),0,VLOOKUP($U$19,'TAR FIN'!$A$1:$O$85,15,0))</f>
        <v>0</v>
      </c>
      <c r="Y19" s="6">
        <f ca="1">('TUSD BE'!$AM$10+'TUSD BF'!$AM$10+'TUSD CVA'!$AM$10)*1</f>
        <v>56.083312884033845</v>
      </c>
      <c r="Z19" s="6"/>
      <c r="AA19" s="6"/>
      <c r="AB19" s="6">
        <f>$K$19*$V$19</f>
        <v>5559.6</v>
      </c>
      <c r="AC19" s="6">
        <f>$M$19*$W$19</f>
        <v>0</v>
      </c>
      <c r="AD19" s="6">
        <f>$O$19*$X$19</f>
        <v>0</v>
      </c>
      <c r="AE19" s="6">
        <f ca="1">$K$19*$Y$19</f>
        <v>6898.2474847361627</v>
      </c>
      <c r="AF19" s="6">
        <f>$M$19*$Z$19</f>
        <v>0</v>
      </c>
      <c r="AG19" s="6">
        <f>$O$19*$AA$19</f>
        <v>0</v>
      </c>
    </row>
    <row r="20" spans="1:33" ht="11.25" customHeight="1" x14ac:dyDescent="0.25">
      <c r="A20" s="4" t="s">
        <v>21</v>
      </c>
      <c r="B20" s="4" t="s">
        <v>34</v>
      </c>
      <c r="C20" s="4" t="s">
        <v>35</v>
      </c>
      <c r="D20" s="4" t="s">
        <v>33</v>
      </c>
      <c r="E20" s="4" t="s">
        <v>25</v>
      </c>
      <c r="F20" s="4" t="s">
        <v>25</v>
      </c>
      <c r="G20" s="4" t="s">
        <v>25</v>
      </c>
      <c r="H20" s="4" t="s">
        <v>25</v>
      </c>
      <c r="I20" s="5">
        <v>44501</v>
      </c>
      <c r="J20" s="6">
        <v>120</v>
      </c>
      <c r="K20" s="6">
        <v>120</v>
      </c>
      <c r="L20" s="6">
        <v>0</v>
      </c>
      <c r="M20" s="6">
        <v>0</v>
      </c>
      <c r="N20" s="6">
        <v>0</v>
      </c>
      <c r="O20" s="6">
        <v>0</v>
      </c>
      <c r="P20" s="6">
        <v>1</v>
      </c>
      <c r="Q20" s="4" t="s">
        <v>26</v>
      </c>
      <c r="R20" s="4">
        <v>0</v>
      </c>
      <c r="S20" s="6">
        <v>6</v>
      </c>
      <c r="T20" s="6">
        <v>0</v>
      </c>
      <c r="U20" s="6">
        <v>0</v>
      </c>
      <c r="V20" s="6">
        <f>IF(ISERROR(VLOOKUP($S$20,'TAR FIN'!$A$1:$O$85,15,0)),0,VLOOKUP($S$20,'TAR FIN'!$A$1:$O$85,15,0))</f>
        <v>45.2</v>
      </c>
      <c r="W20" s="6">
        <f>IF(ISERROR(VLOOKUP($T$20,'TAR FIN'!$A$1:$O$85,15,0)),0,VLOOKUP($T$20,'TAR FIN'!$A$1:$O$85,15,0))</f>
        <v>0</v>
      </c>
      <c r="X20" s="6">
        <f>IF(ISERROR(VLOOKUP($U$20,'TAR FIN'!$A$1:$O$85,15,0)),0,VLOOKUP($U$20,'TAR FIN'!$A$1:$O$85,15,0))</f>
        <v>0</v>
      </c>
      <c r="Y20" s="6">
        <f ca="1">('TUSD BE'!$AM$10+'TUSD BF'!$AM$10+'TUSD CVA'!$AM$10)*1</f>
        <v>56.083312884033845</v>
      </c>
      <c r="Z20" s="6"/>
      <c r="AA20" s="6"/>
      <c r="AB20" s="6">
        <f>$K$20*$V$20</f>
        <v>5424</v>
      </c>
      <c r="AC20" s="6">
        <f>$M$20*$W$20</f>
        <v>0</v>
      </c>
      <c r="AD20" s="6">
        <f>$O$20*$X$20</f>
        <v>0</v>
      </c>
      <c r="AE20" s="6">
        <f ca="1">$K$20*$Y$20</f>
        <v>6729.9975460840615</v>
      </c>
      <c r="AF20" s="6">
        <f>$M$20*$Z$20</f>
        <v>0</v>
      </c>
      <c r="AG20" s="6">
        <f>$O$20*$AA$20</f>
        <v>0</v>
      </c>
    </row>
    <row r="21" spans="1:33" ht="11.25" customHeight="1" x14ac:dyDescent="0.25">
      <c r="A21" s="4" t="s">
        <v>21</v>
      </c>
      <c r="B21" s="4" t="s">
        <v>34</v>
      </c>
      <c r="C21" s="4" t="s">
        <v>35</v>
      </c>
      <c r="D21" s="4" t="s">
        <v>33</v>
      </c>
      <c r="E21" s="4" t="s">
        <v>25</v>
      </c>
      <c r="F21" s="4" t="s">
        <v>25</v>
      </c>
      <c r="G21" s="4" t="s">
        <v>25</v>
      </c>
      <c r="H21" s="4" t="s">
        <v>25</v>
      </c>
      <c r="I21" s="5">
        <v>44531</v>
      </c>
      <c r="J21" s="6">
        <v>120</v>
      </c>
      <c r="K21" s="6">
        <v>120</v>
      </c>
      <c r="L21" s="6">
        <v>0</v>
      </c>
      <c r="M21" s="6">
        <v>0</v>
      </c>
      <c r="N21" s="6">
        <v>0</v>
      </c>
      <c r="O21" s="6">
        <v>0</v>
      </c>
      <c r="P21" s="6">
        <v>1</v>
      </c>
      <c r="Q21" s="4" t="s">
        <v>26</v>
      </c>
      <c r="R21" s="4">
        <v>0</v>
      </c>
      <c r="S21" s="6">
        <v>6</v>
      </c>
      <c r="T21" s="6">
        <v>0</v>
      </c>
      <c r="U21" s="6">
        <v>0</v>
      </c>
      <c r="V21" s="6">
        <f>IF(ISERROR(VLOOKUP($S$21,'TAR FIN'!$A$1:$O$85,15,0)),0,VLOOKUP($S$21,'TAR FIN'!$A$1:$O$85,15,0))</f>
        <v>45.2</v>
      </c>
      <c r="W21" s="6">
        <f>IF(ISERROR(VLOOKUP($T$21,'TAR FIN'!$A$1:$O$85,15,0)),0,VLOOKUP($T$21,'TAR FIN'!$A$1:$O$85,15,0))</f>
        <v>0</v>
      </c>
      <c r="X21" s="6">
        <f>IF(ISERROR(VLOOKUP($U$21,'TAR FIN'!$A$1:$O$85,15,0)),0,VLOOKUP($U$21,'TAR FIN'!$A$1:$O$85,15,0))</f>
        <v>0</v>
      </c>
      <c r="Y21" s="6">
        <f ca="1">('TUSD BE'!$AM$10+'TUSD BF'!$AM$10+'TUSD CVA'!$AM$10)*1</f>
        <v>56.083312884033845</v>
      </c>
      <c r="Z21" s="6"/>
      <c r="AA21" s="6"/>
      <c r="AB21" s="6">
        <f>$K$21*$V$21</f>
        <v>5424</v>
      </c>
      <c r="AC21" s="6">
        <f>$M$21*$W$21</f>
        <v>0</v>
      </c>
      <c r="AD21" s="6">
        <f>$O$21*$X$21</f>
        <v>0</v>
      </c>
      <c r="AE21" s="6">
        <f ca="1">$K$21*$Y$21</f>
        <v>6729.9975460840615</v>
      </c>
      <c r="AF21" s="6">
        <f>$M$21*$Z$21</f>
        <v>0</v>
      </c>
      <c r="AG21" s="6">
        <f>$O$21*$AA$21</f>
        <v>0</v>
      </c>
    </row>
    <row r="22" spans="1:33" ht="11.25" customHeight="1" x14ac:dyDescent="0.25">
      <c r="A22" s="4" t="s">
        <v>21</v>
      </c>
      <c r="B22" s="4" t="s">
        <v>34</v>
      </c>
      <c r="C22" s="4" t="s">
        <v>35</v>
      </c>
      <c r="D22" s="4" t="s">
        <v>33</v>
      </c>
      <c r="E22" s="4" t="s">
        <v>25</v>
      </c>
      <c r="F22" s="4" t="s">
        <v>25</v>
      </c>
      <c r="G22" s="4" t="s">
        <v>25</v>
      </c>
      <c r="H22" s="4" t="s">
        <v>25</v>
      </c>
      <c r="I22" s="5">
        <v>44562</v>
      </c>
      <c r="J22" s="6">
        <v>120</v>
      </c>
      <c r="K22" s="6">
        <v>120</v>
      </c>
      <c r="L22" s="6">
        <v>0</v>
      </c>
      <c r="M22" s="6">
        <v>0</v>
      </c>
      <c r="N22" s="6">
        <v>0</v>
      </c>
      <c r="O22" s="6">
        <v>0</v>
      </c>
      <c r="P22" s="6">
        <v>1</v>
      </c>
      <c r="Q22" s="4" t="s">
        <v>26</v>
      </c>
      <c r="R22" s="4">
        <v>0</v>
      </c>
      <c r="S22" s="6">
        <v>6</v>
      </c>
      <c r="T22" s="6">
        <v>0</v>
      </c>
      <c r="U22" s="6">
        <v>0</v>
      </c>
      <c r="V22" s="6">
        <f>IF(ISERROR(VLOOKUP($S$22,'TAR FIN'!$A$1:$O$85,15,0)),0,VLOOKUP($S$22,'TAR FIN'!$A$1:$O$85,15,0))</f>
        <v>45.2</v>
      </c>
      <c r="W22" s="6">
        <f>IF(ISERROR(VLOOKUP($T$22,'TAR FIN'!$A$1:$O$85,15,0)),0,VLOOKUP($T$22,'TAR FIN'!$A$1:$O$85,15,0))</f>
        <v>0</v>
      </c>
      <c r="X22" s="6">
        <f>IF(ISERROR(VLOOKUP($U$22,'TAR FIN'!$A$1:$O$85,15,0)),0,VLOOKUP($U$22,'TAR FIN'!$A$1:$O$85,15,0))</f>
        <v>0</v>
      </c>
      <c r="Y22" s="6">
        <f ca="1">('TUSD BE'!$AM$10+'TUSD BF'!$AM$10+'TUSD CVA'!$AM$10)*1</f>
        <v>56.083312884033845</v>
      </c>
      <c r="Z22" s="6"/>
      <c r="AA22" s="6"/>
      <c r="AB22" s="6">
        <f>$K$22*$V$22</f>
        <v>5424</v>
      </c>
      <c r="AC22" s="6">
        <f>$M$22*$W$22</f>
        <v>0</v>
      </c>
      <c r="AD22" s="6">
        <f>$O$22*$X$22</f>
        <v>0</v>
      </c>
      <c r="AE22" s="6">
        <f ca="1">$K$22*$Y$22</f>
        <v>6729.9975460840615</v>
      </c>
      <c r="AF22" s="6">
        <f>$M$22*$Z$22</f>
        <v>0</v>
      </c>
      <c r="AG22" s="6">
        <f>$O$22*$AA$22</f>
        <v>0</v>
      </c>
    </row>
    <row r="23" spans="1:33" ht="11.25" customHeight="1" x14ac:dyDescent="0.25">
      <c r="A23" s="4" t="s">
        <v>21</v>
      </c>
      <c r="B23" s="4" t="s">
        <v>34</v>
      </c>
      <c r="C23" s="4" t="s">
        <v>35</v>
      </c>
      <c r="D23" s="4" t="s">
        <v>33</v>
      </c>
      <c r="E23" s="4" t="s">
        <v>25</v>
      </c>
      <c r="F23" s="4" t="s">
        <v>25</v>
      </c>
      <c r="G23" s="4" t="s">
        <v>25</v>
      </c>
      <c r="H23" s="4" t="s">
        <v>25</v>
      </c>
      <c r="I23" s="5">
        <v>44593</v>
      </c>
      <c r="J23" s="6">
        <v>120</v>
      </c>
      <c r="K23" s="6">
        <v>120</v>
      </c>
      <c r="L23" s="6">
        <v>0</v>
      </c>
      <c r="M23" s="6">
        <v>0</v>
      </c>
      <c r="N23" s="6">
        <v>0</v>
      </c>
      <c r="O23" s="6">
        <v>0</v>
      </c>
      <c r="P23" s="6">
        <v>1</v>
      </c>
      <c r="Q23" s="4" t="s">
        <v>26</v>
      </c>
      <c r="R23" s="4">
        <v>0</v>
      </c>
      <c r="S23" s="6">
        <v>6</v>
      </c>
      <c r="T23" s="6">
        <v>0</v>
      </c>
      <c r="U23" s="6">
        <v>0</v>
      </c>
      <c r="V23" s="6">
        <f>IF(ISERROR(VLOOKUP($S$23,'TAR FIN'!$A$1:$O$85,15,0)),0,VLOOKUP($S$23,'TAR FIN'!$A$1:$O$85,15,0))</f>
        <v>45.2</v>
      </c>
      <c r="W23" s="6">
        <f>IF(ISERROR(VLOOKUP($T$23,'TAR FIN'!$A$1:$O$85,15,0)),0,VLOOKUP($T$23,'TAR FIN'!$A$1:$O$85,15,0))</f>
        <v>0</v>
      </c>
      <c r="X23" s="6">
        <f>IF(ISERROR(VLOOKUP($U$23,'TAR FIN'!$A$1:$O$85,15,0)),0,VLOOKUP($U$23,'TAR FIN'!$A$1:$O$85,15,0))</f>
        <v>0</v>
      </c>
      <c r="Y23" s="6">
        <f ca="1">('TUSD BE'!$AM$10+'TUSD BF'!$AM$10+'TUSD CVA'!$AM$10)*1</f>
        <v>56.083312884033845</v>
      </c>
      <c r="Z23" s="6"/>
      <c r="AA23" s="6"/>
      <c r="AB23" s="6">
        <f>$K$23*$V$23</f>
        <v>5424</v>
      </c>
      <c r="AC23" s="6">
        <f>$M$23*$W$23</f>
        <v>0</v>
      </c>
      <c r="AD23" s="6">
        <f>$O$23*$X$23</f>
        <v>0</v>
      </c>
      <c r="AE23" s="6">
        <f ca="1">$K$23*$Y$23</f>
        <v>6729.9975460840615</v>
      </c>
      <c r="AF23" s="6">
        <f>$M$23*$Z$23</f>
        <v>0</v>
      </c>
      <c r="AG23" s="6">
        <f>$O$23*$AA$23</f>
        <v>0</v>
      </c>
    </row>
    <row r="24" spans="1:33" ht="11.25" customHeight="1" x14ac:dyDescent="0.25">
      <c r="A24" s="4" t="s">
        <v>21</v>
      </c>
      <c r="B24" s="4" t="s">
        <v>34</v>
      </c>
      <c r="C24" s="4" t="s">
        <v>35</v>
      </c>
      <c r="D24" s="4" t="s">
        <v>33</v>
      </c>
      <c r="E24" s="4" t="s">
        <v>25</v>
      </c>
      <c r="F24" s="4" t="s">
        <v>25</v>
      </c>
      <c r="G24" s="4" t="s">
        <v>25</v>
      </c>
      <c r="H24" s="4" t="s">
        <v>25</v>
      </c>
      <c r="I24" s="5">
        <v>44621</v>
      </c>
      <c r="J24" s="6">
        <v>122</v>
      </c>
      <c r="K24" s="6">
        <v>122</v>
      </c>
      <c r="L24" s="6">
        <v>0</v>
      </c>
      <c r="M24" s="6">
        <v>0</v>
      </c>
      <c r="N24" s="6">
        <v>0</v>
      </c>
      <c r="O24" s="6">
        <v>0</v>
      </c>
      <c r="P24" s="6">
        <v>1</v>
      </c>
      <c r="Q24" s="4" t="s">
        <v>26</v>
      </c>
      <c r="R24" s="4">
        <v>0</v>
      </c>
      <c r="S24" s="6">
        <v>6</v>
      </c>
      <c r="T24" s="6">
        <v>0</v>
      </c>
      <c r="U24" s="6">
        <v>0</v>
      </c>
      <c r="V24" s="6">
        <f>IF(ISERROR(VLOOKUP($S$24,'TAR FIN'!$A$1:$O$85,15,0)),0,VLOOKUP($S$24,'TAR FIN'!$A$1:$O$85,15,0))</f>
        <v>45.2</v>
      </c>
      <c r="W24" s="6">
        <f>IF(ISERROR(VLOOKUP($T$24,'TAR FIN'!$A$1:$O$85,15,0)),0,VLOOKUP($T$24,'TAR FIN'!$A$1:$O$85,15,0))</f>
        <v>0</v>
      </c>
      <c r="X24" s="6">
        <f>IF(ISERROR(VLOOKUP($U$24,'TAR FIN'!$A$1:$O$85,15,0)),0,VLOOKUP($U$24,'TAR FIN'!$A$1:$O$85,15,0))</f>
        <v>0</v>
      </c>
      <c r="Y24" s="6">
        <f ca="1">('TUSD BE'!$AM$10+'TUSD BF'!$AM$10+'TUSD CVA'!$AM$10)*1</f>
        <v>56.083312884033845</v>
      </c>
      <c r="Z24" s="6"/>
      <c r="AA24" s="6"/>
      <c r="AB24" s="6">
        <f>$K$24*$V$24</f>
        <v>5514.4000000000005</v>
      </c>
      <c r="AC24" s="6">
        <f>$M$24*$W$24</f>
        <v>0</v>
      </c>
      <c r="AD24" s="6">
        <f>$O$24*$X$24</f>
        <v>0</v>
      </c>
      <c r="AE24" s="6">
        <f ca="1">$K$24*$Y$24</f>
        <v>6842.1641718521287</v>
      </c>
      <c r="AF24" s="6">
        <f>$M$24*$Z$24</f>
        <v>0</v>
      </c>
      <c r="AG24" s="6">
        <f>$O$24*$AA$24</f>
        <v>0</v>
      </c>
    </row>
    <row r="25" spans="1:33" ht="11.25" customHeight="1" x14ac:dyDescent="0.25">
      <c r="A25" s="4" t="s">
        <v>21</v>
      </c>
      <c r="B25" s="4" t="s">
        <v>34</v>
      </c>
      <c r="C25" s="4" t="s">
        <v>35</v>
      </c>
      <c r="D25" s="4" t="s">
        <v>33</v>
      </c>
      <c r="E25" s="4" t="s">
        <v>25</v>
      </c>
      <c r="F25" s="4" t="s">
        <v>25</v>
      </c>
      <c r="G25" s="4" t="s">
        <v>25</v>
      </c>
      <c r="H25" s="4" t="s">
        <v>25</v>
      </c>
      <c r="I25" s="5">
        <v>44652</v>
      </c>
      <c r="J25" s="6">
        <v>120</v>
      </c>
      <c r="K25" s="6">
        <v>120</v>
      </c>
      <c r="L25" s="6">
        <v>0</v>
      </c>
      <c r="M25" s="6">
        <v>0</v>
      </c>
      <c r="N25" s="6">
        <v>0</v>
      </c>
      <c r="O25" s="6">
        <v>0</v>
      </c>
      <c r="P25" s="6">
        <v>1</v>
      </c>
      <c r="Q25" s="4" t="s">
        <v>26</v>
      </c>
      <c r="R25" s="4">
        <v>0</v>
      </c>
      <c r="S25" s="6">
        <v>6</v>
      </c>
      <c r="T25" s="6">
        <v>0</v>
      </c>
      <c r="U25" s="6">
        <v>0</v>
      </c>
      <c r="V25" s="6">
        <f>IF(ISERROR(VLOOKUP($S$25,'TAR FIN'!$A$1:$O$85,15,0)),0,VLOOKUP($S$25,'TAR FIN'!$A$1:$O$85,15,0))</f>
        <v>45.2</v>
      </c>
      <c r="W25" s="6">
        <f>IF(ISERROR(VLOOKUP($T$25,'TAR FIN'!$A$1:$O$85,15,0)),0,VLOOKUP($T$25,'TAR FIN'!$A$1:$O$85,15,0))</f>
        <v>0</v>
      </c>
      <c r="X25" s="6">
        <f>IF(ISERROR(VLOOKUP($U$25,'TAR FIN'!$A$1:$O$85,15,0)),0,VLOOKUP($U$25,'TAR FIN'!$A$1:$O$85,15,0))</f>
        <v>0</v>
      </c>
      <c r="Y25" s="6">
        <f ca="1">('TUSD BE'!$AM$10+'TUSD BF'!$AM$10+'TUSD CVA'!$AM$10)*1</f>
        <v>56.083312884033845</v>
      </c>
      <c r="Z25" s="6"/>
      <c r="AA25" s="6"/>
      <c r="AB25" s="6">
        <f>$K$25*$V$25</f>
        <v>5424</v>
      </c>
      <c r="AC25" s="6">
        <f>$M$25*$W$25</f>
        <v>0</v>
      </c>
      <c r="AD25" s="6">
        <f>$O$25*$X$25</f>
        <v>0</v>
      </c>
      <c r="AE25" s="6">
        <f ca="1">$K$25*$Y$25</f>
        <v>6729.9975460840615</v>
      </c>
      <c r="AF25" s="6">
        <f>$M$25*$Z$25</f>
        <v>0</v>
      </c>
      <c r="AG25" s="6">
        <f>$O$25*$AA$25</f>
        <v>0</v>
      </c>
    </row>
    <row r="26" spans="1:33" ht="11.25" customHeight="1" x14ac:dyDescent="0.25">
      <c r="A26" s="4" t="s">
        <v>21</v>
      </c>
      <c r="B26" s="4" t="s">
        <v>34</v>
      </c>
      <c r="C26" s="4" t="s">
        <v>35</v>
      </c>
      <c r="D26" s="4" t="s">
        <v>33</v>
      </c>
      <c r="E26" s="4" t="s">
        <v>25</v>
      </c>
      <c r="F26" s="4" t="s">
        <v>25</v>
      </c>
      <c r="G26" s="4" t="s">
        <v>25</v>
      </c>
      <c r="H26" s="4" t="s">
        <v>36</v>
      </c>
      <c r="I26" s="5">
        <v>44317</v>
      </c>
      <c r="J26" s="6">
        <v>0</v>
      </c>
      <c r="K26" s="6">
        <v>0</v>
      </c>
      <c r="L26" s="6">
        <v>0.17</v>
      </c>
      <c r="M26" s="6">
        <v>0.17</v>
      </c>
      <c r="N26" s="6">
        <v>0.17</v>
      </c>
      <c r="O26" s="6">
        <v>0.17</v>
      </c>
      <c r="P26" s="6">
        <v>0</v>
      </c>
      <c r="Q26" s="4" t="s">
        <v>26</v>
      </c>
      <c r="R26" s="4">
        <v>0</v>
      </c>
      <c r="S26" s="6">
        <v>0</v>
      </c>
      <c r="T26" s="6">
        <v>7</v>
      </c>
      <c r="U26" s="6">
        <v>48</v>
      </c>
      <c r="V26" s="6">
        <f>IF(ISERROR(VLOOKUP($S$26,'TAR FIN'!$A$1:$O$85,15,0)),0,VLOOKUP($S$26,'TAR FIN'!$A$1:$O$85,15,0))</f>
        <v>0</v>
      </c>
      <c r="W26" s="6">
        <f>IF(ISERROR(VLOOKUP($T$26,'TAR FIN'!$A$1:$O$85,15,0)),0,VLOOKUP($T$26,'TAR FIN'!$A$1:$O$85,15,0))</f>
        <v>2345.52</v>
      </c>
      <c r="X26" s="6">
        <f>IF(ISERROR(VLOOKUP($U$26,'TAR FIN'!$A$1:$O$85,15,0)),0,VLOOKUP($U$26,'TAR FIN'!$A$1:$O$85,15,0))</f>
        <v>251.85</v>
      </c>
      <c r="Y26" s="6"/>
      <c r="Z26" s="6">
        <f ca="1">('TUSD BE'!$AM$11+'TUSD BF'!$AM$11+'TUSD CVA'!$AM$11)*1</f>
        <v>2998.8427692533255</v>
      </c>
      <c r="AA26" s="6">
        <f>('TE BE'!$AA$5+'TE BF'!$AA$5+'TE CVA'!$AA$5)*1</f>
        <v>256.69216484835653</v>
      </c>
      <c r="AB26" s="6">
        <f>$K$26*$V$26</f>
        <v>0</v>
      </c>
      <c r="AC26" s="6">
        <f>$M$26*$W$26</f>
        <v>398.73840000000001</v>
      </c>
      <c r="AD26" s="6">
        <f>$O$26*$X$26</f>
        <v>42.814500000000002</v>
      </c>
      <c r="AE26" s="6">
        <f>$K$26*$Y$26</f>
        <v>0</v>
      </c>
      <c r="AF26" s="6">
        <f ca="1">$M$26*$Z$26</f>
        <v>509.80327077306538</v>
      </c>
      <c r="AG26" s="6">
        <f>$O$26*$AA$26</f>
        <v>43.637668024220609</v>
      </c>
    </row>
    <row r="27" spans="1:33" ht="11.25" customHeight="1" x14ac:dyDescent="0.25">
      <c r="A27" s="4" t="s">
        <v>21</v>
      </c>
      <c r="B27" s="4" t="s">
        <v>34</v>
      </c>
      <c r="C27" s="4" t="s">
        <v>35</v>
      </c>
      <c r="D27" s="4" t="s">
        <v>33</v>
      </c>
      <c r="E27" s="4" t="s">
        <v>25</v>
      </c>
      <c r="F27" s="4" t="s">
        <v>25</v>
      </c>
      <c r="G27" s="4" t="s">
        <v>25</v>
      </c>
      <c r="H27" s="4" t="s">
        <v>36</v>
      </c>
      <c r="I27" s="5">
        <v>44348</v>
      </c>
      <c r="J27" s="6">
        <v>0</v>
      </c>
      <c r="K27" s="6">
        <v>0</v>
      </c>
      <c r="L27" s="6">
        <v>0.17599999999999999</v>
      </c>
      <c r="M27" s="6">
        <v>0.17599999999999999</v>
      </c>
      <c r="N27" s="6">
        <v>0.17599999999999999</v>
      </c>
      <c r="O27" s="6">
        <v>0.17599999999999999</v>
      </c>
      <c r="P27" s="6">
        <v>0</v>
      </c>
      <c r="Q27" s="4" t="s">
        <v>26</v>
      </c>
      <c r="R27" s="4">
        <v>0</v>
      </c>
      <c r="S27" s="6">
        <v>0</v>
      </c>
      <c r="T27" s="6">
        <v>7</v>
      </c>
      <c r="U27" s="6">
        <v>48</v>
      </c>
      <c r="V27" s="6">
        <f>IF(ISERROR(VLOOKUP($S$27,'TAR FIN'!$A$1:$O$85,15,0)),0,VLOOKUP($S$27,'TAR FIN'!$A$1:$O$85,15,0))</f>
        <v>0</v>
      </c>
      <c r="W27" s="6">
        <f>IF(ISERROR(VLOOKUP($T$27,'TAR FIN'!$A$1:$O$85,15,0)),0,VLOOKUP($T$27,'TAR FIN'!$A$1:$O$85,15,0))</f>
        <v>2345.52</v>
      </c>
      <c r="X27" s="6">
        <f>IF(ISERROR(VLOOKUP($U$27,'TAR FIN'!$A$1:$O$85,15,0)),0,VLOOKUP($U$27,'TAR FIN'!$A$1:$O$85,15,0))</f>
        <v>251.85</v>
      </c>
      <c r="Y27" s="6"/>
      <c r="Z27" s="6">
        <f ca="1">('TUSD BE'!$AM$11+'TUSD BF'!$AM$11+'TUSD CVA'!$AM$11)*1</f>
        <v>2998.8427692533255</v>
      </c>
      <c r="AA27" s="6">
        <f>('TE BE'!$AA$5+'TE BF'!$AA$5+'TE CVA'!$AA$5)*1</f>
        <v>256.69216484835653</v>
      </c>
      <c r="AB27" s="6">
        <f>$K$27*$V$27</f>
        <v>0</v>
      </c>
      <c r="AC27" s="6">
        <f>$M$27*$W$27</f>
        <v>412.81151999999997</v>
      </c>
      <c r="AD27" s="6">
        <f>$O$27*$X$27</f>
        <v>44.325599999999994</v>
      </c>
      <c r="AE27" s="6">
        <f>$K$27*$Y$27</f>
        <v>0</v>
      </c>
      <c r="AF27" s="6">
        <f ca="1">$M$27*$Z$27</f>
        <v>527.79632738858527</v>
      </c>
      <c r="AG27" s="6">
        <f>$O$27*$AA$27</f>
        <v>45.177821013310748</v>
      </c>
    </row>
    <row r="28" spans="1:33" ht="11.25" customHeight="1" x14ac:dyDescent="0.25">
      <c r="A28" s="4" t="s">
        <v>21</v>
      </c>
      <c r="B28" s="4" t="s">
        <v>34</v>
      </c>
      <c r="C28" s="4" t="s">
        <v>35</v>
      </c>
      <c r="D28" s="4" t="s">
        <v>33</v>
      </c>
      <c r="E28" s="4" t="s">
        <v>25</v>
      </c>
      <c r="F28" s="4" t="s">
        <v>25</v>
      </c>
      <c r="G28" s="4" t="s">
        <v>25</v>
      </c>
      <c r="H28" s="4" t="s">
        <v>36</v>
      </c>
      <c r="I28" s="5">
        <v>44378</v>
      </c>
      <c r="J28" s="6">
        <v>0</v>
      </c>
      <c r="K28" s="6">
        <v>0</v>
      </c>
      <c r="L28" s="6">
        <v>0.23699999999999999</v>
      </c>
      <c r="M28" s="6">
        <v>0.23699999999999999</v>
      </c>
      <c r="N28" s="6">
        <v>0.23699999999999999</v>
      </c>
      <c r="O28" s="6">
        <v>0.23699999999999999</v>
      </c>
      <c r="P28" s="6">
        <v>0</v>
      </c>
      <c r="Q28" s="4" t="s">
        <v>26</v>
      </c>
      <c r="R28" s="4">
        <v>0</v>
      </c>
      <c r="S28" s="6">
        <v>0</v>
      </c>
      <c r="T28" s="6">
        <v>7</v>
      </c>
      <c r="U28" s="6">
        <v>48</v>
      </c>
      <c r="V28" s="6">
        <f>IF(ISERROR(VLOOKUP($S$28,'TAR FIN'!$A$1:$O$85,15,0)),0,VLOOKUP($S$28,'TAR FIN'!$A$1:$O$85,15,0))</f>
        <v>0</v>
      </c>
      <c r="W28" s="6">
        <f>IF(ISERROR(VLOOKUP($T$28,'TAR FIN'!$A$1:$O$85,15,0)),0,VLOOKUP($T$28,'TAR FIN'!$A$1:$O$85,15,0))</f>
        <v>2345.52</v>
      </c>
      <c r="X28" s="6">
        <f>IF(ISERROR(VLOOKUP($U$28,'TAR FIN'!$A$1:$O$85,15,0)),0,VLOOKUP($U$28,'TAR FIN'!$A$1:$O$85,15,0))</f>
        <v>251.85</v>
      </c>
      <c r="Y28" s="6"/>
      <c r="Z28" s="6">
        <f ca="1">('TUSD BE'!$AM$11+'TUSD BF'!$AM$11+'TUSD CVA'!$AM$11)*1</f>
        <v>2998.8427692533255</v>
      </c>
      <c r="AA28" s="6">
        <f>('TE BE'!$AA$5+'TE BF'!$AA$5+'TE CVA'!$AA$5)*1</f>
        <v>256.69216484835653</v>
      </c>
      <c r="AB28" s="6">
        <f>$K$28*$V$28</f>
        <v>0</v>
      </c>
      <c r="AC28" s="6">
        <f>$M$28*$W$28</f>
        <v>555.88824</v>
      </c>
      <c r="AD28" s="6">
        <f>$O$28*$X$28</f>
        <v>59.688449999999996</v>
      </c>
      <c r="AE28" s="6">
        <f>$K$28*$Y$28</f>
        <v>0</v>
      </c>
      <c r="AF28" s="6">
        <f ca="1">$M$28*$Z$28</f>
        <v>710.72573631303806</v>
      </c>
      <c r="AG28" s="6">
        <f>$O$28*$AA$28</f>
        <v>60.836043069060494</v>
      </c>
    </row>
    <row r="29" spans="1:33" ht="11.25" customHeight="1" x14ac:dyDescent="0.25">
      <c r="A29" s="4" t="s">
        <v>21</v>
      </c>
      <c r="B29" s="4" t="s">
        <v>34</v>
      </c>
      <c r="C29" s="4" t="s">
        <v>35</v>
      </c>
      <c r="D29" s="4" t="s">
        <v>33</v>
      </c>
      <c r="E29" s="4" t="s">
        <v>25</v>
      </c>
      <c r="F29" s="4" t="s">
        <v>25</v>
      </c>
      <c r="G29" s="4" t="s">
        <v>25</v>
      </c>
      <c r="H29" s="4" t="s">
        <v>36</v>
      </c>
      <c r="I29" s="5">
        <v>44409</v>
      </c>
      <c r="J29" s="6">
        <v>0</v>
      </c>
      <c r="K29" s="6">
        <v>0</v>
      </c>
      <c r="L29" s="6">
        <v>0.28000000000000003</v>
      </c>
      <c r="M29" s="6">
        <v>0.28000000000000003</v>
      </c>
      <c r="N29" s="6">
        <v>0.28000000000000003</v>
      </c>
      <c r="O29" s="6">
        <v>0.28000000000000003</v>
      </c>
      <c r="P29" s="6">
        <v>0</v>
      </c>
      <c r="Q29" s="4" t="s">
        <v>26</v>
      </c>
      <c r="R29" s="4">
        <v>0</v>
      </c>
      <c r="S29" s="6">
        <v>0</v>
      </c>
      <c r="T29" s="6">
        <v>7</v>
      </c>
      <c r="U29" s="6">
        <v>48</v>
      </c>
      <c r="V29" s="6">
        <f>IF(ISERROR(VLOOKUP($S$29,'TAR FIN'!$A$1:$O$85,15,0)),0,VLOOKUP($S$29,'TAR FIN'!$A$1:$O$85,15,0))</f>
        <v>0</v>
      </c>
      <c r="W29" s="6">
        <f>IF(ISERROR(VLOOKUP($T$29,'TAR FIN'!$A$1:$O$85,15,0)),0,VLOOKUP($T$29,'TAR FIN'!$A$1:$O$85,15,0))</f>
        <v>2345.52</v>
      </c>
      <c r="X29" s="6">
        <f>IF(ISERROR(VLOOKUP($U$29,'TAR FIN'!$A$1:$O$85,15,0)),0,VLOOKUP($U$29,'TAR FIN'!$A$1:$O$85,15,0))</f>
        <v>251.85</v>
      </c>
      <c r="Y29" s="6"/>
      <c r="Z29" s="6">
        <f ca="1">('TUSD BE'!$AM$11+'TUSD BF'!$AM$11+'TUSD CVA'!$AM$11)*1</f>
        <v>2998.8427692533255</v>
      </c>
      <c r="AA29" s="6">
        <f>('TE BE'!$AA$5+'TE BF'!$AA$5+'TE CVA'!$AA$5)*1</f>
        <v>256.69216484835653</v>
      </c>
      <c r="AB29" s="6">
        <f>$K$29*$V$29</f>
        <v>0</v>
      </c>
      <c r="AC29" s="6">
        <f>$M$29*$W$29</f>
        <v>656.74560000000008</v>
      </c>
      <c r="AD29" s="6">
        <f>$O$29*$X$29</f>
        <v>70.518000000000001</v>
      </c>
      <c r="AE29" s="6">
        <f>$K$29*$Y$29</f>
        <v>0</v>
      </c>
      <c r="AF29" s="6">
        <f ca="1">$M$29*$Z$29</f>
        <v>839.67597539093117</v>
      </c>
      <c r="AG29" s="6">
        <f>$O$29*$AA$29</f>
        <v>71.873806157539832</v>
      </c>
    </row>
    <row r="30" spans="1:33" ht="11.25" customHeight="1" x14ac:dyDescent="0.25">
      <c r="A30" s="4" t="s">
        <v>21</v>
      </c>
      <c r="B30" s="4" t="s">
        <v>34</v>
      </c>
      <c r="C30" s="4" t="s">
        <v>35</v>
      </c>
      <c r="D30" s="4" t="s">
        <v>33</v>
      </c>
      <c r="E30" s="4" t="s">
        <v>25</v>
      </c>
      <c r="F30" s="4" t="s">
        <v>25</v>
      </c>
      <c r="G30" s="4" t="s">
        <v>25</v>
      </c>
      <c r="H30" s="4" t="s">
        <v>36</v>
      </c>
      <c r="I30" s="5">
        <v>44440</v>
      </c>
      <c r="J30" s="6">
        <v>0</v>
      </c>
      <c r="K30" s="6">
        <v>0</v>
      </c>
      <c r="L30" s="6">
        <v>0.21299999999999999</v>
      </c>
      <c r="M30" s="6">
        <v>0.21299999999999999</v>
      </c>
      <c r="N30" s="6">
        <v>0.21299999999999999</v>
      </c>
      <c r="O30" s="6">
        <v>0.21299999999999999</v>
      </c>
      <c r="P30" s="6">
        <v>0</v>
      </c>
      <c r="Q30" s="4" t="s">
        <v>26</v>
      </c>
      <c r="R30" s="4">
        <v>0</v>
      </c>
      <c r="S30" s="6">
        <v>0</v>
      </c>
      <c r="T30" s="6">
        <v>7</v>
      </c>
      <c r="U30" s="6">
        <v>48</v>
      </c>
      <c r="V30" s="6">
        <f>IF(ISERROR(VLOOKUP($S$30,'TAR FIN'!$A$1:$O$85,15,0)),0,VLOOKUP($S$30,'TAR FIN'!$A$1:$O$85,15,0))</f>
        <v>0</v>
      </c>
      <c r="W30" s="6">
        <f>IF(ISERROR(VLOOKUP($T$30,'TAR FIN'!$A$1:$O$85,15,0)),0,VLOOKUP($T$30,'TAR FIN'!$A$1:$O$85,15,0))</f>
        <v>2345.52</v>
      </c>
      <c r="X30" s="6">
        <f>IF(ISERROR(VLOOKUP($U$30,'TAR FIN'!$A$1:$O$85,15,0)),0,VLOOKUP($U$30,'TAR FIN'!$A$1:$O$85,15,0))</f>
        <v>251.85</v>
      </c>
      <c r="Y30" s="6"/>
      <c r="Z30" s="6">
        <f ca="1">('TUSD BE'!$AM$11+'TUSD BF'!$AM$11+'TUSD CVA'!$AM$11)*1</f>
        <v>2998.8427692533255</v>
      </c>
      <c r="AA30" s="6">
        <f>('TE BE'!$AA$5+'TE BF'!$AA$5+'TE CVA'!$AA$5)*1</f>
        <v>256.69216484835653</v>
      </c>
      <c r="AB30" s="6">
        <f>$K$30*$V$30</f>
        <v>0</v>
      </c>
      <c r="AC30" s="6">
        <f>$M$30*$W$30</f>
        <v>499.59575999999998</v>
      </c>
      <c r="AD30" s="6">
        <f>$O$30*$X$30</f>
        <v>53.64405</v>
      </c>
      <c r="AE30" s="6">
        <f>$K$30*$Y$30</f>
        <v>0</v>
      </c>
      <c r="AF30" s="6">
        <f ca="1">$M$30*$Z$30</f>
        <v>638.75350985095827</v>
      </c>
      <c r="AG30" s="6">
        <f>$O$30*$AA$30</f>
        <v>54.67543111269994</v>
      </c>
    </row>
    <row r="31" spans="1:33" ht="11.25" customHeight="1" x14ac:dyDescent="0.25">
      <c r="A31" s="4" t="s">
        <v>21</v>
      </c>
      <c r="B31" s="4" t="s">
        <v>34</v>
      </c>
      <c r="C31" s="4" t="s">
        <v>35</v>
      </c>
      <c r="D31" s="4" t="s">
        <v>33</v>
      </c>
      <c r="E31" s="4" t="s">
        <v>25</v>
      </c>
      <c r="F31" s="4" t="s">
        <v>25</v>
      </c>
      <c r="G31" s="4" t="s">
        <v>25</v>
      </c>
      <c r="H31" s="4" t="s">
        <v>36</v>
      </c>
      <c r="I31" s="5">
        <v>44470</v>
      </c>
      <c r="J31" s="6">
        <v>0</v>
      </c>
      <c r="K31" s="6">
        <v>0</v>
      </c>
      <c r="L31" s="6">
        <v>0.14199999999999999</v>
      </c>
      <c r="M31" s="6">
        <v>0.14199999999999999</v>
      </c>
      <c r="N31" s="6">
        <v>0.14199999999999999</v>
      </c>
      <c r="O31" s="6">
        <v>0.14199999999999999</v>
      </c>
      <c r="P31" s="6">
        <v>0</v>
      </c>
      <c r="Q31" s="4" t="s">
        <v>26</v>
      </c>
      <c r="R31" s="4">
        <v>0</v>
      </c>
      <c r="S31" s="6">
        <v>0</v>
      </c>
      <c r="T31" s="6">
        <v>7</v>
      </c>
      <c r="U31" s="6">
        <v>48</v>
      </c>
      <c r="V31" s="6">
        <f>IF(ISERROR(VLOOKUP($S$31,'TAR FIN'!$A$1:$O$85,15,0)),0,VLOOKUP($S$31,'TAR FIN'!$A$1:$O$85,15,0))</f>
        <v>0</v>
      </c>
      <c r="W31" s="6">
        <f>IF(ISERROR(VLOOKUP($T$31,'TAR FIN'!$A$1:$O$85,15,0)),0,VLOOKUP($T$31,'TAR FIN'!$A$1:$O$85,15,0))</f>
        <v>2345.52</v>
      </c>
      <c r="X31" s="6">
        <f>IF(ISERROR(VLOOKUP($U$31,'TAR FIN'!$A$1:$O$85,15,0)),0,VLOOKUP($U$31,'TAR FIN'!$A$1:$O$85,15,0))</f>
        <v>251.85</v>
      </c>
      <c r="Y31" s="6"/>
      <c r="Z31" s="6">
        <f ca="1">('TUSD BE'!$AM$11+'TUSD BF'!$AM$11+'TUSD CVA'!$AM$11)*1</f>
        <v>2998.8427692533255</v>
      </c>
      <c r="AA31" s="6">
        <f>('TE BE'!$AA$5+'TE BF'!$AA$5+'TE CVA'!$AA$5)*1</f>
        <v>256.69216484835653</v>
      </c>
      <c r="AB31" s="6">
        <f>$K$31*$V$31</f>
        <v>0</v>
      </c>
      <c r="AC31" s="6">
        <f>$M$31*$W$31</f>
        <v>333.06383999999997</v>
      </c>
      <c r="AD31" s="6">
        <f>$O$31*$X$31</f>
        <v>35.762699999999995</v>
      </c>
      <c r="AE31" s="6">
        <f>$K$31*$Y$31</f>
        <v>0</v>
      </c>
      <c r="AF31" s="6">
        <f ca="1">$M$31*$Z$31</f>
        <v>425.83567323397216</v>
      </c>
      <c r="AG31" s="6">
        <f>$O$31*$AA$31</f>
        <v>36.450287408466622</v>
      </c>
    </row>
    <row r="32" spans="1:33" ht="11.25" customHeight="1" x14ac:dyDescent="0.25">
      <c r="A32" s="4" t="s">
        <v>21</v>
      </c>
      <c r="B32" s="4" t="s">
        <v>34</v>
      </c>
      <c r="C32" s="4" t="s">
        <v>35</v>
      </c>
      <c r="D32" s="4" t="s">
        <v>33</v>
      </c>
      <c r="E32" s="4" t="s">
        <v>25</v>
      </c>
      <c r="F32" s="4" t="s">
        <v>25</v>
      </c>
      <c r="G32" s="4" t="s">
        <v>25</v>
      </c>
      <c r="H32" s="4" t="s">
        <v>36</v>
      </c>
      <c r="I32" s="5">
        <v>44501</v>
      </c>
      <c r="J32" s="6">
        <v>0</v>
      </c>
      <c r="K32" s="6">
        <v>0</v>
      </c>
      <c r="L32" s="6">
        <v>0.18</v>
      </c>
      <c r="M32" s="6">
        <v>0.18</v>
      </c>
      <c r="N32" s="6">
        <v>0.18</v>
      </c>
      <c r="O32" s="6">
        <v>0.18</v>
      </c>
      <c r="P32" s="6">
        <v>0</v>
      </c>
      <c r="Q32" s="4" t="s">
        <v>26</v>
      </c>
      <c r="R32" s="4">
        <v>0</v>
      </c>
      <c r="S32" s="6">
        <v>0</v>
      </c>
      <c r="T32" s="6">
        <v>7</v>
      </c>
      <c r="U32" s="6">
        <v>48</v>
      </c>
      <c r="V32" s="6">
        <f>IF(ISERROR(VLOOKUP($S$32,'TAR FIN'!$A$1:$O$85,15,0)),0,VLOOKUP($S$32,'TAR FIN'!$A$1:$O$85,15,0))</f>
        <v>0</v>
      </c>
      <c r="W32" s="6">
        <f>IF(ISERROR(VLOOKUP($T$32,'TAR FIN'!$A$1:$O$85,15,0)),0,VLOOKUP($T$32,'TAR FIN'!$A$1:$O$85,15,0))</f>
        <v>2345.52</v>
      </c>
      <c r="X32" s="6">
        <f>IF(ISERROR(VLOOKUP($U$32,'TAR FIN'!$A$1:$O$85,15,0)),0,VLOOKUP($U$32,'TAR FIN'!$A$1:$O$85,15,0))</f>
        <v>251.85</v>
      </c>
      <c r="Y32" s="6"/>
      <c r="Z32" s="6">
        <f ca="1">('TUSD BE'!$AM$11+'TUSD BF'!$AM$11+'TUSD CVA'!$AM$11)*1</f>
        <v>2998.8427692533255</v>
      </c>
      <c r="AA32" s="6">
        <f>('TE BE'!$AA$5+'TE BF'!$AA$5+'TE CVA'!$AA$5)*1</f>
        <v>256.69216484835653</v>
      </c>
      <c r="AB32" s="6">
        <f>$K$32*$V$32</f>
        <v>0</v>
      </c>
      <c r="AC32" s="6">
        <f>$M$32*$W$32</f>
        <v>422.1936</v>
      </c>
      <c r="AD32" s="6">
        <f>$O$32*$X$32</f>
        <v>45.332999999999998</v>
      </c>
      <c r="AE32" s="6">
        <f>$K$32*$Y$32</f>
        <v>0</v>
      </c>
      <c r="AF32" s="6">
        <f ca="1">$M$32*$Z$32</f>
        <v>539.79169846559853</v>
      </c>
      <c r="AG32" s="6">
        <f>$O$32*$AA$32</f>
        <v>46.204589672704174</v>
      </c>
    </row>
    <row r="33" spans="1:33" ht="11.25" customHeight="1" x14ac:dyDescent="0.25">
      <c r="A33" s="4" t="s">
        <v>21</v>
      </c>
      <c r="B33" s="4" t="s">
        <v>34</v>
      </c>
      <c r="C33" s="4" t="s">
        <v>35</v>
      </c>
      <c r="D33" s="4" t="s">
        <v>33</v>
      </c>
      <c r="E33" s="4" t="s">
        <v>25</v>
      </c>
      <c r="F33" s="4" t="s">
        <v>25</v>
      </c>
      <c r="G33" s="4" t="s">
        <v>25</v>
      </c>
      <c r="H33" s="4" t="s">
        <v>36</v>
      </c>
      <c r="I33" s="5">
        <v>44531</v>
      </c>
      <c r="J33" s="6">
        <v>0</v>
      </c>
      <c r="K33" s="6">
        <v>0</v>
      </c>
      <c r="L33" s="6">
        <v>0.222</v>
      </c>
      <c r="M33" s="6">
        <v>0.222</v>
      </c>
      <c r="N33" s="6">
        <v>0.222</v>
      </c>
      <c r="O33" s="6">
        <v>0.222</v>
      </c>
      <c r="P33" s="6">
        <v>0</v>
      </c>
      <c r="Q33" s="4" t="s">
        <v>26</v>
      </c>
      <c r="R33" s="4">
        <v>0</v>
      </c>
      <c r="S33" s="6">
        <v>0</v>
      </c>
      <c r="T33" s="6">
        <v>7</v>
      </c>
      <c r="U33" s="6">
        <v>48</v>
      </c>
      <c r="V33" s="6">
        <f>IF(ISERROR(VLOOKUP($S$33,'TAR FIN'!$A$1:$O$85,15,0)),0,VLOOKUP($S$33,'TAR FIN'!$A$1:$O$85,15,0))</f>
        <v>0</v>
      </c>
      <c r="W33" s="6">
        <f>IF(ISERROR(VLOOKUP($T$33,'TAR FIN'!$A$1:$O$85,15,0)),0,VLOOKUP($T$33,'TAR FIN'!$A$1:$O$85,15,0))</f>
        <v>2345.52</v>
      </c>
      <c r="X33" s="6">
        <f>IF(ISERROR(VLOOKUP($U$33,'TAR FIN'!$A$1:$O$85,15,0)),0,VLOOKUP($U$33,'TAR FIN'!$A$1:$O$85,15,0))</f>
        <v>251.85</v>
      </c>
      <c r="Y33" s="6"/>
      <c r="Z33" s="6">
        <f ca="1">('TUSD BE'!$AM$11+'TUSD BF'!$AM$11+'TUSD CVA'!$AM$11)*1</f>
        <v>2998.8427692533255</v>
      </c>
      <c r="AA33" s="6">
        <f>('TE BE'!$AA$5+'TE BF'!$AA$5+'TE CVA'!$AA$5)*1</f>
        <v>256.69216484835653</v>
      </c>
      <c r="AB33" s="6">
        <f>$K$33*$V$33</f>
        <v>0</v>
      </c>
      <c r="AC33" s="6">
        <f>$M$33*$W$33</f>
        <v>520.70543999999995</v>
      </c>
      <c r="AD33" s="6">
        <f>$O$33*$X$33</f>
        <v>55.910699999999999</v>
      </c>
      <c r="AE33" s="6">
        <f>$K$33*$Y$33</f>
        <v>0</v>
      </c>
      <c r="AF33" s="6">
        <f ca="1">$M$33*$Z$33</f>
        <v>665.74309477423822</v>
      </c>
      <c r="AG33" s="6">
        <f>$O$33*$AA$33</f>
        <v>56.985660596335151</v>
      </c>
    </row>
    <row r="34" spans="1:33" ht="11.25" customHeight="1" x14ac:dyDescent="0.25">
      <c r="A34" s="4" t="s">
        <v>21</v>
      </c>
      <c r="B34" s="4" t="s">
        <v>34</v>
      </c>
      <c r="C34" s="4" t="s">
        <v>35</v>
      </c>
      <c r="D34" s="4" t="s">
        <v>33</v>
      </c>
      <c r="E34" s="4" t="s">
        <v>25</v>
      </c>
      <c r="F34" s="4" t="s">
        <v>25</v>
      </c>
      <c r="G34" s="4" t="s">
        <v>25</v>
      </c>
      <c r="H34" s="4" t="s">
        <v>36</v>
      </c>
      <c r="I34" s="5">
        <v>44562</v>
      </c>
      <c r="J34" s="6">
        <v>0</v>
      </c>
      <c r="K34" s="6">
        <v>0</v>
      </c>
      <c r="L34" s="6">
        <v>0.16</v>
      </c>
      <c r="M34" s="6">
        <v>0.16</v>
      </c>
      <c r="N34" s="6">
        <v>0.16</v>
      </c>
      <c r="O34" s="6">
        <v>0.16</v>
      </c>
      <c r="P34" s="6">
        <v>0</v>
      </c>
      <c r="Q34" s="4" t="s">
        <v>26</v>
      </c>
      <c r="R34" s="4">
        <v>0</v>
      </c>
      <c r="S34" s="6">
        <v>0</v>
      </c>
      <c r="T34" s="6">
        <v>7</v>
      </c>
      <c r="U34" s="6">
        <v>48</v>
      </c>
      <c r="V34" s="6">
        <f>IF(ISERROR(VLOOKUP($S$34,'TAR FIN'!$A$1:$O$85,15,0)),0,VLOOKUP($S$34,'TAR FIN'!$A$1:$O$85,15,0))</f>
        <v>0</v>
      </c>
      <c r="W34" s="6">
        <f>IF(ISERROR(VLOOKUP($T$34,'TAR FIN'!$A$1:$O$85,15,0)),0,VLOOKUP($T$34,'TAR FIN'!$A$1:$O$85,15,0))</f>
        <v>2345.52</v>
      </c>
      <c r="X34" s="6">
        <f>IF(ISERROR(VLOOKUP($U$34,'TAR FIN'!$A$1:$O$85,15,0)),0,VLOOKUP($U$34,'TAR FIN'!$A$1:$O$85,15,0))</f>
        <v>251.85</v>
      </c>
      <c r="Y34" s="6"/>
      <c r="Z34" s="6">
        <f ca="1">('TUSD BE'!$AM$11+'TUSD BF'!$AM$11+'TUSD CVA'!$AM$11)*1</f>
        <v>2998.8427692533255</v>
      </c>
      <c r="AA34" s="6">
        <f>('TE BE'!$AA$5+'TE BF'!$AA$5+'TE CVA'!$AA$5)*1</f>
        <v>256.69216484835653</v>
      </c>
      <c r="AB34" s="6">
        <f>$K$34*$V$34</f>
        <v>0</v>
      </c>
      <c r="AC34" s="6">
        <f>$M$34*$W$34</f>
        <v>375.28320000000002</v>
      </c>
      <c r="AD34" s="6">
        <f>$O$34*$X$34</f>
        <v>40.295999999999999</v>
      </c>
      <c r="AE34" s="6">
        <f>$K$34*$Y$34</f>
        <v>0</v>
      </c>
      <c r="AF34" s="6">
        <f ca="1">$M$34*$Z$34</f>
        <v>479.81484308053211</v>
      </c>
      <c r="AG34" s="6">
        <f>$O$34*$AA$34</f>
        <v>41.070746375737045</v>
      </c>
    </row>
    <row r="35" spans="1:33" ht="11.25" customHeight="1" x14ac:dyDescent="0.25">
      <c r="A35" s="4" t="s">
        <v>21</v>
      </c>
      <c r="B35" s="4" t="s">
        <v>34</v>
      </c>
      <c r="C35" s="4" t="s">
        <v>35</v>
      </c>
      <c r="D35" s="4" t="s">
        <v>33</v>
      </c>
      <c r="E35" s="4" t="s">
        <v>25</v>
      </c>
      <c r="F35" s="4" t="s">
        <v>25</v>
      </c>
      <c r="G35" s="4" t="s">
        <v>25</v>
      </c>
      <c r="H35" s="4" t="s">
        <v>36</v>
      </c>
      <c r="I35" s="5">
        <v>44593</v>
      </c>
      <c r="J35" s="6">
        <v>0</v>
      </c>
      <c r="K35" s="6">
        <v>0</v>
      </c>
      <c r="L35" s="6">
        <v>0.14399999999999999</v>
      </c>
      <c r="M35" s="6">
        <v>0.14399999999999999</v>
      </c>
      <c r="N35" s="6">
        <v>0.14399999999999999</v>
      </c>
      <c r="O35" s="6">
        <v>0.14399999999999999</v>
      </c>
      <c r="P35" s="6">
        <v>0</v>
      </c>
      <c r="Q35" s="4" t="s">
        <v>26</v>
      </c>
      <c r="R35" s="4">
        <v>0</v>
      </c>
      <c r="S35" s="6">
        <v>0</v>
      </c>
      <c r="T35" s="6">
        <v>7</v>
      </c>
      <c r="U35" s="6">
        <v>48</v>
      </c>
      <c r="V35" s="6">
        <f>IF(ISERROR(VLOOKUP($S$35,'TAR FIN'!$A$1:$O$85,15,0)),0,VLOOKUP($S$35,'TAR FIN'!$A$1:$O$85,15,0))</f>
        <v>0</v>
      </c>
      <c r="W35" s="6">
        <f>IF(ISERROR(VLOOKUP($T$35,'TAR FIN'!$A$1:$O$85,15,0)),0,VLOOKUP($T$35,'TAR FIN'!$A$1:$O$85,15,0))</f>
        <v>2345.52</v>
      </c>
      <c r="X35" s="6">
        <f>IF(ISERROR(VLOOKUP($U$35,'TAR FIN'!$A$1:$O$85,15,0)),0,VLOOKUP($U$35,'TAR FIN'!$A$1:$O$85,15,0))</f>
        <v>251.85</v>
      </c>
      <c r="Y35" s="6"/>
      <c r="Z35" s="6">
        <f ca="1">('TUSD BE'!$AM$11+'TUSD BF'!$AM$11+'TUSD CVA'!$AM$11)*1</f>
        <v>2998.8427692533255</v>
      </c>
      <c r="AA35" s="6">
        <f>('TE BE'!$AA$5+'TE BF'!$AA$5+'TE CVA'!$AA$5)*1</f>
        <v>256.69216484835653</v>
      </c>
      <c r="AB35" s="6">
        <f>$K$35*$V$35</f>
        <v>0</v>
      </c>
      <c r="AC35" s="6">
        <f>$M$35*$W$35</f>
        <v>337.75487999999996</v>
      </c>
      <c r="AD35" s="6">
        <f>$O$35*$X$35</f>
        <v>36.266399999999997</v>
      </c>
      <c r="AE35" s="6">
        <f>$K$35*$Y$35</f>
        <v>0</v>
      </c>
      <c r="AF35" s="6">
        <f ca="1">$M$35*$Z$35</f>
        <v>431.83335877247885</v>
      </c>
      <c r="AG35" s="6">
        <f>$O$35*$AA$35</f>
        <v>36.963671738163335</v>
      </c>
    </row>
    <row r="36" spans="1:33" ht="11.25" customHeight="1" x14ac:dyDescent="0.25">
      <c r="A36" s="4" t="s">
        <v>21</v>
      </c>
      <c r="B36" s="4" t="s">
        <v>34</v>
      </c>
      <c r="C36" s="4" t="s">
        <v>35</v>
      </c>
      <c r="D36" s="4" t="s">
        <v>33</v>
      </c>
      <c r="E36" s="4" t="s">
        <v>25</v>
      </c>
      <c r="F36" s="4" t="s">
        <v>25</v>
      </c>
      <c r="G36" s="4" t="s">
        <v>25</v>
      </c>
      <c r="H36" s="4" t="s">
        <v>36</v>
      </c>
      <c r="I36" s="5">
        <v>44621</v>
      </c>
      <c r="J36" s="6">
        <v>0</v>
      </c>
      <c r="K36" s="6">
        <v>0</v>
      </c>
      <c r="L36" s="6">
        <v>0.21</v>
      </c>
      <c r="M36" s="6">
        <v>0.21</v>
      </c>
      <c r="N36" s="6">
        <v>0.21</v>
      </c>
      <c r="O36" s="6">
        <v>0.21</v>
      </c>
      <c r="P36" s="6">
        <v>0</v>
      </c>
      <c r="Q36" s="4" t="s">
        <v>26</v>
      </c>
      <c r="R36" s="4">
        <v>0</v>
      </c>
      <c r="S36" s="6">
        <v>0</v>
      </c>
      <c r="T36" s="6">
        <v>7</v>
      </c>
      <c r="U36" s="6">
        <v>48</v>
      </c>
      <c r="V36" s="6">
        <f>IF(ISERROR(VLOOKUP($S$36,'TAR FIN'!$A$1:$O$85,15,0)),0,VLOOKUP($S$36,'TAR FIN'!$A$1:$O$85,15,0))</f>
        <v>0</v>
      </c>
      <c r="W36" s="6">
        <f>IF(ISERROR(VLOOKUP($T$36,'TAR FIN'!$A$1:$O$85,15,0)),0,VLOOKUP($T$36,'TAR FIN'!$A$1:$O$85,15,0))</f>
        <v>2345.52</v>
      </c>
      <c r="X36" s="6">
        <f>IF(ISERROR(VLOOKUP($U$36,'TAR FIN'!$A$1:$O$85,15,0)),0,VLOOKUP($U$36,'TAR FIN'!$A$1:$O$85,15,0))</f>
        <v>251.85</v>
      </c>
      <c r="Y36" s="6"/>
      <c r="Z36" s="6">
        <f ca="1">('TUSD BE'!$AM$11+'TUSD BF'!$AM$11+'TUSD CVA'!$AM$11)*1</f>
        <v>2998.8427692533255</v>
      </c>
      <c r="AA36" s="6">
        <f>('TE BE'!$AA$5+'TE BF'!$AA$5+'TE CVA'!$AA$5)*1</f>
        <v>256.69216484835653</v>
      </c>
      <c r="AB36" s="6">
        <f>$K$36*$V$36</f>
        <v>0</v>
      </c>
      <c r="AC36" s="6">
        <f>$M$36*$W$36</f>
        <v>492.55919999999998</v>
      </c>
      <c r="AD36" s="6">
        <f>$O$36*$X$36</f>
        <v>52.888499999999993</v>
      </c>
      <c r="AE36" s="6">
        <f>$K$36*$Y$36</f>
        <v>0</v>
      </c>
      <c r="AF36" s="6">
        <f ca="1">$M$36*$Z$36</f>
        <v>629.75698154319832</v>
      </c>
      <c r="AG36" s="6">
        <f>$O$36*$AA$36</f>
        <v>53.905354618154867</v>
      </c>
    </row>
    <row r="37" spans="1:33" ht="11.25" customHeight="1" x14ac:dyDescent="0.25">
      <c r="A37" s="4" t="s">
        <v>21</v>
      </c>
      <c r="B37" s="4" t="s">
        <v>34</v>
      </c>
      <c r="C37" s="4" t="s">
        <v>35</v>
      </c>
      <c r="D37" s="4" t="s">
        <v>33</v>
      </c>
      <c r="E37" s="4" t="s">
        <v>25</v>
      </c>
      <c r="F37" s="4" t="s">
        <v>25</v>
      </c>
      <c r="G37" s="4" t="s">
        <v>25</v>
      </c>
      <c r="H37" s="4" t="s">
        <v>36</v>
      </c>
      <c r="I37" s="5">
        <v>44652</v>
      </c>
      <c r="J37" s="6">
        <v>0</v>
      </c>
      <c r="K37" s="6">
        <v>0</v>
      </c>
      <c r="L37" s="6">
        <v>0.158</v>
      </c>
      <c r="M37" s="6">
        <v>0.158</v>
      </c>
      <c r="N37" s="6">
        <v>0.158</v>
      </c>
      <c r="O37" s="6">
        <v>0.158</v>
      </c>
      <c r="P37" s="6">
        <v>0</v>
      </c>
      <c r="Q37" s="4" t="s">
        <v>26</v>
      </c>
      <c r="R37" s="4">
        <v>0</v>
      </c>
      <c r="S37" s="6">
        <v>0</v>
      </c>
      <c r="T37" s="6">
        <v>7</v>
      </c>
      <c r="U37" s="6">
        <v>48</v>
      </c>
      <c r="V37" s="6">
        <f>IF(ISERROR(VLOOKUP($S$37,'TAR FIN'!$A$1:$O$85,15,0)),0,VLOOKUP($S$37,'TAR FIN'!$A$1:$O$85,15,0))</f>
        <v>0</v>
      </c>
      <c r="W37" s="6">
        <f>IF(ISERROR(VLOOKUP($T$37,'TAR FIN'!$A$1:$O$85,15,0)),0,VLOOKUP($T$37,'TAR FIN'!$A$1:$O$85,15,0))</f>
        <v>2345.52</v>
      </c>
      <c r="X37" s="6">
        <f>IF(ISERROR(VLOOKUP($U$37,'TAR FIN'!$A$1:$O$85,15,0)),0,VLOOKUP($U$37,'TAR FIN'!$A$1:$O$85,15,0))</f>
        <v>251.85</v>
      </c>
      <c r="Y37" s="6"/>
      <c r="Z37" s="6">
        <f ca="1">('TUSD BE'!$AM$11+'TUSD BF'!$AM$11+'TUSD CVA'!$AM$11)*1</f>
        <v>2998.8427692533255</v>
      </c>
      <c r="AA37" s="6">
        <f>('TE BE'!$AA$5+'TE BF'!$AA$5+'TE CVA'!$AA$5)*1</f>
        <v>256.69216484835653</v>
      </c>
      <c r="AB37" s="6">
        <f>$K$37*$V$37</f>
        <v>0</v>
      </c>
      <c r="AC37" s="6">
        <f>$M$37*$W$37</f>
        <v>370.59215999999998</v>
      </c>
      <c r="AD37" s="6">
        <f>$O$37*$X$37</f>
        <v>39.792299999999997</v>
      </c>
      <c r="AE37" s="6">
        <f>$K$37*$Y$37</f>
        <v>0</v>
      </c>
      <c r="AF37" s="6">
        <f ca="1">$M$37*$Z$37</f>
        <v>473.81715754202543</v>
      </c>
      <c r="AG37" s="6">
        <f>$O$37*$AA$37</f>
        <v>40.557362046040332</v>
      </c>
    </row>
    <row r="38" spans="1:33" ht="11.25" customHeight="1" x14ac:dyDescent="0.25">
      <c r="A38" s="4" t="s">
        <v>21</v>
      </c>
      <c r="B38" s="4" t="s">
        <v>22</v>
      </c>
      <c r="C38" s="4" t="s">
        <v>39</v>
      </c>
      <c r="D38" s="4" t="s">
        <v>24</v>
      </c>
      <c r="E38" s="4" t="s">
        <v>24</v>
      </c>
      <c r="F38" s="4" t="s">
        <v>25</v>
      </c>
      <c r="G38" s="4" t="s">
        <v>25</v>
      </c>
      <c r="H38" s="4" t="s">
        <v>37</v>
      </c>
      <c r="I38" s="5">
        <v>44531</v>
      </c>
      <c r="J38" s="6">
        <v>0</v>
      </c>
      <c r="K38" s="6">
        <v>0</v>
      </c>
      <c r="L38" s="6">
        <v>0.25600000000000001</v>
      </c>
      <c r="M38" s="6">
        <v>0.25600000000000001</v>
      </c>
      <c r="N38" s="6">
        <v>0.25600000000000001</v>
      </c>
      <c r="O38" s="6">
        <v>0.25600000000000001</v>
      </c>
      <c r="P38" s="6">
        <v>0</v>
      </c>
      <c r="Q38" s="4" t="s">
        <v>26</v>
      </c>
      <c r="R38" s="4">
        <v>0</v>
      </c>
      <c r="S38" s="6">
        <v>0</v>
      </c>
      <c r="T38" s="6">
        <v>15</v>
      </c>
      <c r="U38" s="6">
        <v>52</v>
      </c>
      <c r="V38" s="6">
        <f>IF(ISERROR(VLOOKUP($S$38,'TAR FIN'!$A$1:$O$85,15,0)),0,VLOOKUP($S$38,'TAR FIN'!$A$1:$O$85,15,0))</f>
        <v>0</v>
      </c>
      <c r="W38" s="6">
        <f>IF(ISERROR(VLOOKUP($T$38,'TAR FIN'!$A$1:$O$85,15,0)),0,VLOOKUP($T$38,'TAR FIN'!$A$1:$O$85,15,0))</f>
        <v>334.07</v>
      </c>
      <c r="X38" s="6">
        <f>IF(ISERROR(VLOOKUP($U$38,'TAR FIN'!$A$1:$O$85,15,0)),0,VLOOKUP($U$38,'TAR FIN'!$A$1:$O$85,15,0))</f>
        <v>251.85</v>
      </c>
      <c r="Y38" s="6"/>
      <c r="Z38" s="6">
        <f ca="1">('TUSD BE'!$AM$19+'TUSD BF'!$AM$19+'TUSD CVA'!$AM$19)*1</f>
        <v>432.84409122719717</v>
      </c>
      <c r="AA38" s="6">
        <f>('TE BE'!$AA$10+'TE BF'!$AA$10+'TE CVA'!$AA$10)*1</f>
        <v>256.69216484835653</v>
      </c>
      <c r="AB38" s="6">
        <f>$K$38*$V$38</f>
        <v>0</v>
      </c>
      <c r="AC38" s="6">
        <f>$M$38*$W$38</f>
        <v>85.521919999999994</v>
      </c>
      <c r="AD38" s="6">
        <f>$O$38*$X$38</f>
        <v>64.473600000000005</v>
      </c>
      <c r="AE38" s="6">
        <f>$K$38*$Y$38</f>
        <v>0</v>
      </c>
      <c r="AF38" s="6">
        <f ca="1">$M$38*$Z$38</f>
        <v>110.80808735416248</v>
      </c>
      <c r="AG38" s="6">
        <f>$O$38*$AA$38</f>
        <v>65.713194201179277</v>
      </c>
    </row>
    <row r="39" spans="1:33" ht="11.25" customHeight="1" x14ac:dyDescent="0.25">
      <c r="A39" s="4" t="s">
        <v>21</v>
      </c>
      <c r="B39" s="4" t="s">
        <v>22</v>
      </c>
      <c r="C39" s="4" t="s">
        <v>39</v>
      </c>
      <c r="D39" s="4" t="s">
        <v>24</v>
      </c>
      <c r="E39" s="4" t="s">
        <v>24</v>
      </c>
      <c r="F39" s="4" t="s">
        <v>25</v>
      </c>
      <c r="G39" s="4" t="s">
        <v>25</v>
      </c>
      <c r="H39" s="4" t="s">
        <v>37</v>
      </c>
      <c r="I39" s="5">
        <v>44562</v>
      </c>
      <c r="J39" s="6">
        <v>0</v>
      </c>
      <c r="K39" s="6">
        <v>0</v>
      </c>
      <c r="L39" s="6">
        <v>0.186</v>
      </c>
      <c r="M39" s="6">
        <v>0.186</v>
      </c>
      <c r="N39" s="6">
        <v>0.186</v>
      </c>
      <c r="O39" s="6">
        <v>0.186</v>
      </c>
      <c r="P39" s="6">
        <v>0</v>
      </c>
      <c r="Q39" s="4" t="s">
        <v>26</v>
      </c>
      <c r="R39" s="4">
        <v>0</v>
      </c>
      <c r="S39" s="6">
        <v>0</v>
      </c>
      <c r="T39" s="6">
        <v>15</v>
      </c>
      <c r="U39" s="6">
        <v>52</v>
      </c>
      <c r="V39" s="6">
        <f>IF(ISERROR(VLOOKUP($S$39,'TAR FIN'!$A$1:$O$85,15,0)),0,VLOOKUP($S$39,'TAR FIN'!$A$1:$O$85,15,0))</f>
        <v>0</v>
      </c>
      <c r="W39" s="6">
        <f>IF(ISERROR(VLOOKUP($T$39,'TAR FIN'!$A$1:$O$85,15,0)),0,VLOOKUP($T$39,'TAR FIN'!$A$1:$O$85,15,0))</f>
        <v>334.07</v>
      </c>
      <c r="X39" s="6">
        <f>IF(ISERROR(VLOOKUP($U$39,'TAR FIN'!$A$1:$O$85,15,0)),0,VLOOKUP($U$39,'TAR FIN'!$A$1:$O$85,15,0))</f>
        <v>251.85</v>
      </c>
      <c r="Y39" s="6"/>
      <c r="Z39" s="6">
        <f ca="1">('TUSD BE'!$AM$19+'TUSD BF'!$AM$19+'TUSD CVA'!$AM$19)*1</f>
        <v>432.84409122719717</v>
      </c>
      <c r="AA39" s="6">
        <f>('TE BE'!$AA$10+'TE BF'!$AA$10+'TE CVA'!$AA$10)*1</f>
        <v>256.69216484835653</v>
      </c>
      <c r="AB39" s="6">
        <f>$K$39*$V$39</f>
        <v>0</v>
      </c>
      <c r="AC39" s="6">
        <f>$M$39*$W$39</f>
        <v>62.13702</v>
      </c>
      <c r="AD39" s="6">
        <f>$O$39*$X$39</f>
        <v>46.844099999999997</v>
      </c>
      <c r="AE39" s="6">
        <f>$K$39*$Y$39</f>
        <v>0</v>
      </c>
      <c r="AF39" s="6">
        <f ca="1">$M$39*$Z$39</f>
        <v>80.509000968258675</v>
      </c>
      <c r="AG39" s="6">
        <f>$O$39*$AA$39</f>
        <v>47.744742661794312</v>
      </c>
    </row>
    <row r="40" spans="1:33" ht="11.25" customHeight="1" x14ac:dyDescent="0.25">
      <c r="A40" s="4" t="s">
        <v>21</v>
      </c>
      <c r="B40" s="4" t="s">
        <v>22</v>
      </c>
      <c r="C40" s="4" t="s">
        <v>39</v>
      </c>
      <c r="D40" s="4" t="s">
        <v>24</v>
      </c>
      <c r="E40" s="4" t="s">
        <v>24</v>
      </c>
      <c r="F40" s="4" t="s">
        <v>25</v>
      </c>
      <c r="G40" s="4" t="s">
        <v>25</v>
      </c>
      <c r="H40" s="4" t="s">
        <v>37</v>
      </c>
      <c r="I40" s="5">
        <v>44593</v>
      </c>
      <c r="J40" s="6">
        <v>0</v>
      </c>
      <c r="K40" s="6">
        <v>0</v>
      </c>
      <c r="L40" s="6">
        <v>0.20100000000000001</v>
      </c>
      <c r="M40" s="6">
        <v>0.20100000000000001</v>
      </c>
      <c r="N40" s="6">
        <v>0.20100000000000001</v>
      </c>
      <c r="O40" s="6">
        <v>0.20100000000000001</v>
      </c>
      <c r="P40" s="6">
        <v>0</v>
      </c>
      <c r="Q40" s="4" t="s">
        <v>26</v>
      </c>
      <c r="R40" s="4">
        <v>0</v>
      </c>
      <c r="S40" s="6">
        <v>0</v>
      </c>
      <c r="T40" s="6">
        <v>15</v>
      </c>
      <c r="U40" s="6">
        <v>52</v>
      </c>
      <c r="V40" s="6">
        <f>IF(ISERROR(VLOOKUP($S$40,'TAR FIN'!$A$1:$O$85,15,0)),0,VLOOKUP($S$40,'TAR FIN'!$A$1:$O$85,15,0))</f>
        <v>0</v>
      </c>
      <c r="W40" s="6">
        <f>IF(ISERROR(VLOOKUP($T$40,'TAR FIN'!$A$1:$O$85,15,0)),0,VLOOKUP($T$40,'TAR FIN'!$A$1:$O$85,15,0))</f>
        <v>334.07</v>
      </c>
      <c r="X40" s="6">
        <f>IF(ISERROR(VLOOKUP($U$40,'TAR FIN'!$A$1:$O$85,15,0)),0,VLOOKUP($U$40,'TAR FIN'!$A$1:$O$85,15,0))</f>
        <v>251.85</v>
      </c>
      <c r="Y40" s="6"/>
      <c r="Z40" s="6">
        <f ca="1">('TUSD BE'!$AM$19+'TUSD BF'!$AM$19+'TUSD CVA'!$AM$19)*1</f>
        <v>432.84409122719717</v>
      </c>
      <c r="AA40" s="6">
        <f>('TE BE'!$AA$10+'TE BF'!$AA$10+'TE CVA'!$AA$10)*1</f>
        <v>256.69216484835653</v>
      </c>
      <c r="AB40" s="6">
        <f>$K$40*$V$40</f>
        <v>0</v>
      </c>
      <c r="AC40" s="6">
        <f>$M$40*$W$40</f>
        <v>67.148070000000004</v>
      </c>
      <c r="AD40" s="6">
        <f>$O$40*$X$40</f>
        <v>50.621850000000002</v>
      </c>
      <c r="AE40" s="6">
        <f>$K$40*$Y$40</f>
        <v>0</v>
      </c>
      <c r="AF40" s="6">
        <f ca="1">$M$40*$Z$40</f>
        <v>87.001662336666641</v>
      </c>
      <c r="AG40" s="6">
        <f>$O$40*$AA$40</f>
        <v>51.595125134519662</v>
      </c>
    </row>
    <row r="41" spans="1:33" ht="11.25" customHeight="1" x14ac:dyDescent="0.25">
      <c r="A41" s="4" t="s">
        <v>21</v>
      </c>
      <c r="B41" s="4" t="s">
        <v>22</v>
      </c>
      <c r="C41" s="4" t="s">
        <v>39</v>
      </c>
      <c r="D41" s="4" t="s">
        <v>24</v>
      </c>
      <c r="E41" s="4" t="s">
        <v>24</v>
      </c>
      <c r="F41" s="4" t="s">
        <v>25</v>
      </c>
      <c r="G41" s="4" t="s">
        <v>25</v>
      </c>
      <c r="H41" s="4" t="s">
        <v>37</v>
      </c>
      <c r="I41" s="5">
        <v>44621</v>
      </c>
      <c r="J41" s="6">
        <v>0</v>
      </c>
      <c r="K41" s="6">
        <v>0</v>
      </c>
      <c r="L41" s="6">
        <v>0.191</v>
      </c>
      <c r="M41" s="6">
        <v>0.191</v>
      </c>
      <c r="N41" s="6">
        <v>0.191</v>
      </c>
      <c r="O41" s="6">
        <v>0.191</v>
      </c>
      <c r="P41" s="6">
        <v>0</v>
      </c>
      <c r="Q41" s="4" t="s">
        <v>26</v>
      </c>
      <c r="R41" s="4">
        <v>0</v>
      </c>
      <c r="S41" s="6">
        <v>0</v>
      </c>
      <c r="T41" s="6">
        <v>15</v>
      </c>
      <c r="U41" s="6">
        <v>52</v>
      </c>
      <c r="V41" s="6">
        <f>IF(ISERROR(VLOOKUP($S$41,'TAR FIN'!$A$1:$O$85,15,0)),0,VLOOKUP($S$41,'TAR FIN'!$A$1:$O$85,15,0))</f>
        <v>0</v>
      </c>
      <c r="W41" s="6">
        <f>IF(ISERROR(VLOOKUP($T$41,'TAR FIN'!$A$1:$O$85,15,0)),0,VLOOKUP($T$41,'TAR FIN'!$A$1:$O$85,15,0))</f>
        <v>334.07</v>
      </c>
      <c r="X41" s="6">
        <f>IF(ISERROR(VLOOKUP($U$41,'TAR FIN'!$A$1:$O$85,15,0)),0,VLOOKUP($U$41,'TAR FIN'!$A$1:$O$85,15,0))</f>
        <v>251.85</v>
      </c>
      <c r="Y41" s="6"/>
      <c r="Z41" s="6">
        <f ca="1">('TUSD BE'!$AM$19+'TUSD BF'!$AM$19+'TUSD CVA'!$AM$19)*1</f>
        <v>432.84409122719717</v>
      </c>
      <c r="AA41" s="6">
        <f>('TE BE'!$AA$10+'TE BF'!$AA$10+'TE CVA'!$AA$10)*1</f>
        <v>256.69216484835653</v>
      </c>
      <c r="AB41" s="6">
        <f>$K$41*$V$41</f>
        <v>0</v>
      </c>
      <c r="AC41" s="6">
        <f>$M$41*$W$41</f>
        <v>63.807369999999999</v>
      </c>
      <c r="AD41" s="6">
        <f>$O$41*$X$41</f>
        <v>48.103349999999999</v>
      </c>
      <c r="AE41" s="6">
        <f>$K$41*$Y$41</f>
        <v>0</v>
      </c>
      <c r="AF41" s="6">
        <f ca="1">$M$41*$Z$41</f>
        <v>82.673221424394654</v>
      </c>
      <c r="AG41" s="6">
        <f>$O$41*$AA$41</f>
        <v>49.028203486036098</v>
      </c>
    </row>
    <row r="42" spans="1:33" ht="11.25" customHeight="1" x14ac:dyDescent="0.25">
      <c r="A42" s="4" t="s">
        <v>21</v>
      </c>
      <c r="B42" s="4" t="s">
        <v>22</v>
      </c>
      <c r="C42" s="4" t="s">
        <v>39</v>
      </c>
      <c r="D42" s="4" t="s">
        <v>24</v>
      </c>
      <c r="E42" s="4" t="s">
        <v>24</v>
      </c>
      <c r="F42" s="4" t="s">
        <v>25</v>
      </c>
      <c r="G42" s="4" t="s">
        <v>25</v>
      </c>
      <c r="H42" s="4" t="s">
        <v>37</v>
      </c>
      <c r="I42" s="5">
        <v>44652</v>
      </c>
      <c r="J42" s="6">
        <v>0</v>
      </c>
      <c r="K42" s="6">
        <v>0</v>
      </c>
      <c r="L42" s="6">
        <v>0.13200000000000001</v>
      </c>
      <c r="M42" s="6">
        <v>0.13200000000000001</v>
      </c>
      <c r="N42" s="6">
        <v>0.13200000000000001</v>
      </c>
      <c r="O42" s="6">
        <v>0.13200000000000001</v>
      </c>
      <c r="P42" s="6">
        <v>0</v>
      </c>
      <c r="Q42" s="4" t="s">
        <v>26</v>
      </c>
      <c r="R42" s="4">
        <v>0</v>
      </c>
      <c r="S42" s="6">
        <v>0</v>
      </c>
      <c r="T42" s="6">
        <v>15</v>
      </c>
      <c r="U42" s="6">
        <v>52</v>
      </c>
      <c r="V42" s="6">
        <f>IF(ISERROR(VLOOKUP($S$42,'TAR FIN'!$A$1:$O$85,15,0)),0,VLOOKUP($S$42,'TAR FIN'!$A$1:$O$85,15,0))</f>
        <v>0</v>
      </c>
      <c r="W42" s="6">
        <f>IF(ISERROR(VLOOKUP($T$42,'TAR FIN'!$A$1:$O$85,15,0)),0,VLOOKUP($T$42,'TAR FIN'!$A$1:$O$85,15,0))</f>
        <v>334.07</v>
      </c>
      <c r="X42" s="6">
        <f>IF(ISERROR(VLOOKUP($U$42,'TAR FIN'!$A$1:$O$85,15,0)),0,VLOOKUP($U$42,'TAR FIN'!$A$1:$O$85,15,0))</f>
        <v>251.85</v>
      </c>
      <c r="Y42" s="6"/>
      <c r="Z42" s="6">
        <f ca="1">('TUSD BE'!$AM$19+'TUSD BF'!$AM$19+'TUSD CVA'!$AM$19)*1</f>
        <v>432.84409122719717</v>
      </c>
      <c r="AA42" s="6">
        <f>('TE BE'!$AA$10+'TE BF'!$AA$10+'TE CVA'!$AA$10)*1</f>
        <v>256.69216484835653</v>
      </c>
      <c r="AB42" s="6">
        <f>$K$42*$V$42</f>
        <v>0</v>
      </c>
      <c r="AC42" s="6">
        <f>$M$42*$W$42</f>
        <v>44.097239999999999</v>
      </c>
      <c r="AD42" s="6">
        <f>$O$42*$X$42</f>
        <v>33.244199999999999</v>
      </c>
      <c r="AE42" s="6">
        <f>$K$42*$Y$42</f>
        <v>0</v>
      </c>
      <c r="AF42" s="6">
        <f ca="1">$M$42*$Z$42</f>
        <v>57.135420041990031</v>
      </c>
      <c r="AG42" s="6">
        <f>$O$42*$AA$42</f>
        <v>33.883365759983064</v>
      </c>
    </row>
    <row r="43" spans="1:33" ht="11.25" customHeight="1" x14ac:dyDescent="0.25">
      <c r="A43" s="4" t="s">
        <v>21</v>
      </c>
      <c r="B43" s="4" t="s">
        <v>22</v>
      </c>
      <c r="C43" s="4" t="s">
        <v>39</v>
      </c>
      <c r="D43" s="4" t="s">
        <v>24</v>
      </c>
      <c r="E43" s="4" t="s">
        <v>24</v>
      </c>
      <c r="F43" s="4" t="s">
        <v>25</v>
      </c>
      <c r="G43" s="4" t="s">
        <v>25</v>
      </c>
      <c r="H43" s="4" t="s">
        <v>40</v>
      </c>
      <c r="I43" s="5">
        <v>44531</v>
      </c>
      <c r="J43" s="6">
        <v>0</v>
      </c>
      <c r="K43" s="6">
        <v>0</v>
      </c>
      <c r="L43" s="6">
        <v>1E-3</v>
      </c>
      <c r="M43" s="6">
        <v>1E-3</v>
      </c>
      <c r="N43" s="6">
        <v>1E-3</v>
      </c>
      <c r="O43" s="6">
        <v>1E-3</v>
      </c>
      <c r="P43" s="6">
        <v>0</v>
      </c>
      <c r="Q43" s="4" t="s">
        <v>26</v>
      </c>
      <c r="R43" s="4">
        <v>0</v>
      </c>
      <c r="S43" s="6">
        <v>0</v>
      </c>
      <c r="T43" s="6">
        <v>14</v>
      </c>
      <c r="U43" s="6">
        <v>51</v>
      </c>
      <c r="V43" s="6">
        <f>IF(ISERROR(VLOOKUP($S$43,'TAR FIN'!$A$1:$O$85,15,0)),0,VLOOKUP($S$43,'TAR FIN'!$A$1:$O$85,15,0))</f>
        <v>0</v>
      </c>
      <c r="W43" s="6">
        <f>IF(ISERROR(VLOOKUP($T$43,'TAR FIN'!$A$1:$O$85,15,0)),0,VLOOKUP($T$43,'TAR FIN'!$A$1:$O$85,15,0))</f>
        <v>860.12</v>
      </c>
      <c r="X43" s="6">
        <f>IF(ISERROR(VLOOKUP($U$43,'TAR FIN'!$A$1:$O$85,15,0)),0,VLOOKUP($U$43,'TAR FIN'!$A$1:$O$85,15,0))</f>
        <v>251.85</v>
      </c>
      <c r="Y43" s="6"/>
      <c r="Z43" s="6">
        <f ca="1">('TUSD BE'!$AM$18+'TUSD BF'!$AM$18+'TUSD CVA'!$AM$18)*1</f>
        <v>1108.1569203310137</v>
      </c>
      <c r="AA43" s="6">
        <f>('TE BE'!$AA$9+'TE BF'!$AA$9+'TE CVA'!$AA$9)*1</f>
        <v>256.69216484835653</v>
      </c>
      <c r="AB43" s="6">
        <f>$K$43*$V$43</f>
        <v>0</v>
      </c>
      <c r="AC43" s="6">
        <f>$M$43*$W$43</f>
        <v>0.86012</v>
      </c>
      <c r="AD43" s="6">
        <f>$O$43*$X$43</f>
        <v>0.25185000000000002</v>
      </c>
      <c r="AE43" s="6">
        <f>$K$43*$Y$43</f>
        <v>0</v>
      </c>
      <c r="AF43" s="6">
        <f ca="1">$M$43*$Z$43</f>
        <v>1.1081569203310138</v>
      </c>
      <c r="AG43" s="6">
        <f>$O$43*$AA$43</f>
        <v>0.25669216484835655</v>
      </c>
    </row>
    <row r="44" spans="1:33" ht="11.25" customHeight="1" x14ac:dyDescent="0.25">
      <c r="A44" s="4" t="s">
        <v>21</v>
      </c>
      <c r="B44" s="4" t="s">
        <v>22</v>
      </c>
      <c r="C44" s="4" t="s">
        <v>39</v>
      </c>
      <c r="D44" s="4" t="s">
        <v>24</v>
      </c>
      <c r="E44" s="4" t="s">
        <v>24</v>
      </c>
      <c r="F44" s="4" t="s">
        <v>25</v>
      </c>
      <c r="G44" s="4" t="s">
        <v>25</v>
      </c>
      <c r="H44" s="4" t="s">
        <v>40</v>
      </c>
      <c r="I44" s="5">
        <v>44593</v>
      </c>
      <c r="J44" s="6">
        <v>0</v>
      </c>
      <c r="K44" s="6">
        <v>0</v>
      </c>
      <c r="L44" s="6">
        <v>2E-3</v>
      </c>
      <c r="M44" s="6">
        <v>2E-3</v>
      </c>
      <c r="N44" s="6">
        <v>2E-3</v>
      </c>
      <c r="O44" s="6">
        <v>2E-3</v>
      </c>
      <c r="P44" s="6">
        <v>0</v>
      </c>
      <c r="Q44" s="4" t="s">
        <v>26</v>
      </c>
      <c r="R44" s="4">
        <v>0</v>
      </c>
      <c r="S44" s="6">
        <v>0</v>
      </c>
      <c r="T44" s="6">
        <v>14</v>
      </c>
      <c r="U44" s="6">
        <v>51</v>
      </c>
      <c r="V44" s="6">
        <f>IF(ISERROR(VLOOKUP($S$44,'TAR FIN'!$A$1:$O$85,15,0)),0,VLOOKUP($S$44,'TAR FIN'!$A$1:$O$85,15,0))</f>
        <v>0</v>
      </c>
      <c r="W44" s="6">
        <f>IF(ISERROR(VLOOKUP($T$44,'TAR FIN'!$A$1:$O$85,15,0)),0,VLOOKUP($T$44,'TAR FIN'!$A$1:$O$85,15,0))</f>
        <v>860.12</v>
      </c>
      <c r="X44" s="6">
        <f>IF(ISERROR(VLOOKUP($U$44,'TAR FIN'!$A$1:$O$85,15,0)),0,VLOOKUP($U$44,'TAR FIN'!$A$1:$O$85,15,0))</f>
        <v>251.85</v>
      </c>
      <c r="Y44" s="6"/>
      <c r="Z44" s="6">
        <f ca="1">('TUSD BE'!$AM$18+'TUSD BF'!$AM$18+'TUSD CVA'!$AM$18)*1</f>
        <v>1108.1569203310137</v>
      </c>
      <c r="AA44" s="6">
        <f>('TE BE'!$AA$9+'TE BF'!$AA$9+'TE CVA'!$AA$9)*1</f>
        <v>256.69216484835653</v>
      </c>
      <c r="AB44" s="6">
        <f>$K$44*$V$44</f>
        <v>0</v>
      </c>
      <c r="AC44" s="6">
        <f>$M$44*$W$44</f>
        <v>1.72024</v>
      </c>
      <c r="AD44" s="6">
        <f>$O$44*$X$44</f>
        <v>0.50370000000000004</v>
      </c>
      <c r="AE44" s="6">
        <f>$K$44*$Y$44</f>
        <v>0</v>
      </c>
      <c r="AF44" s="6">
        <f ca="1">$M$44*$Z$44</f>
        <v>2.2163138406620275</v>
      </c>
      <c r="AG44" s="6">
        <f>$O$44*$AA$44</f>
        <v>0.5133843296967131</v>
      </c>
    </row>
    <row r="45" spans="1:33" ht="11.25" customHeight="1" x14ac:dyDescent="0.25">
      <c r="A45" s="4" t="s">
        <v>21</v>
      </c>
      <c r="B45" s="4" t="s">
        <v>22</v>
      </c>
      <c r="C45" s="4" t="s">
        <v>39</v>
      </c>
      <c r="D45" s="4" t="s">
        <v>24</v>
      </c>
      <c r="E45" s="4" t="s">
        <v>24</v>
      </c>
      <c r="F45" s="4" t="s">
        <v>25</v>
      </c>
      <c r="G45" s="4" t="s">
        <v>25</v>
      </c>
      <c r="H45" s="4" t="s">
        <v>40</v>
      </c>
      <c r="I45" s="5">
        <v>44621</v>
      </c>
      <c r="J45" s="6">
        <v>0</v>
      </c>
      <c r="K45" s="6">
        <v>0</v>
      </c>
      <c r="L45" s="6">
        <v>2E-3</v>
      </c>
      <c r="M45" s="6">
        <v>2E-3</v>
      </c>
      <c r="N45" s="6">
        <v>2E-3</v>
      </c>
      <c r="O45" s="6">
        <v>2E-3</v>
      </c>
      <c r="P45" s="6">
        <v>0</v>
      </c>
      <c r="Q45" s="4" t="s">
        <v>26</v>
      </c>
      <c r="R45" s="4">
        <v>0</v>
      </c>
      <c r="S45" s="6">
        <v>0</v>
      </c>
      <c r="T45" s="6">
        <v>14</v>
      </c>
      <c r="U45" s="6">
        <v>51</v>
      </c>
      <c r="V45" s="6">
        <f>IF(ISERROR(VLOOKUP($S$45,'TAR FIN'!$A$1:$O$85,15,0)),0,VLOOKUP($S$45,'TAR FIN'!$A$1:$O$85,15,0))</f>
        <v>0</v>
      </c>
      <c r="W45" s="6">
        <f>IF(ISERROR(VLOOKUP($T$45,'TAR FIN'!$A$1:$O$85,15,0)),0,VLOOKUP($T$45,'TAR FIN'!$A$1:$O$85,15,0))</f>
        <v>860.12</v>
      </c>
      <c r="X45" s="6">
        <f>IF(ISERROR(VLOOKUP($U$45,'TAR FIN'!$A$1:$O$85,15,0)),0,VLOOKUP($U$45,'TAR FIN'!$A$1:$O$85,15,0))</f>
        <v>251.85</v>
      </c>
      <c r="Y45" s="6"/>
      <c r="Z45" s="6">
        <f ca="1">('TUSD BE'!$AM$18+'TUSD BF'!$AM$18+'TUSD CVA'!$AM$18)*1</f>
        <v>1108.1569203310137</v>
      </c>
      <c r="AA45" s="6">
        <f>('TE BE'!$AA$9+'TE BF'!$AA$9+'TE CVA'!$AA$9)*1</f>
        <v>256.69216484835653</v>
      </c>
      <c r="AB45" s="6">
        <f>$K$45*$V$45</f>
        <v>0</v>
      </c>
      <c r="AC45" s="6">
        <f>$M$45*$W$45</f>
        <v>1.72024</v>
      </c>
      <c r="AD45" s="6">
        <f>$O$45*$X$45</f>
        <v>0.50370000000000004</v>
      </c>
      <c r="AE45" s="6">
        <f>$K$45*$Y$45</f>
        <v>0</v>
      </c>
      <c r="AF45" s="6">
        <f ca="1">$M$45*$Z$45</f>
        <v>2.2163138406620275</v>
      </c>
      <c r="AG45" s="6">
        <f>$O$45*$AA$45</f>
        <v>0.5133843296967131</v>
      </c>
    </row>
    <row r="46" spans="1:33" ht="11.25" customHeight="1" x14ac:dyDescent="0.25">
      <c r="A46" s="4" t="s">
        <v>21</v>
      </c>
      <c r="B46" s="4" t="s">
        <v>22</v>
      </c>
      <c r="C46" s="4" t="s">
        <v>23</v>
      </c>
      <c r="D46" s="4" t="s">
        <v>24</v>
      </c>
      <c r="E46" s="4" t="s">
        <v>24</v>
      </c>
      <c r="F46" s="4" t="s">
        <v>25</v>
      </c>
      <c r="G46" s="4" t="s">
        <v>25</v>
      </c>
      <c r="H46" s="4" t="s">
        <v>25</v>
      </c>
      <c r="I46" s="5">
        <v>44317</v>
      </c>
      <c r="J46" s="6">
        <v>0</v>
      </c>
      <c r="K46" s="6">
        <v>0</v>
      </c>
      <c r="L46" s="6">
        <v>211.17099999999999</v>
      </c>
      <c r="M46" s="6">
        <v>211.17099999999999</v>
      </c>
      <c r="N46" s="6">
        <v>211.17099999999999</v>
      </c>
      <c r="O46" s="6">
        <v>211.17099999999999</v>
      </c>
      <c r="P46" s="6">
        <v>1979</v>
      </c>
      <c r="Q46" s="4" t="s">
        <v>26</v>
      </c>
      <c r="R46" s="4">
        <v>0</v>
      </c>
      <c r="S46" s="6">
        <v>0</v>
      </c>
      <c r="T46" s="6">
        <v>16</v>
      </c>
      <c r="U46" s="6">
        <v>53</v>
      </c>
      <c r="V46" s="6">
        <f>IF(ISERROR(VLOOKUP($S$46,'TAR FIN'!$A$1:$O$85,15,0)),0,VLOOKUP($S$46,'TAR FIN'!$A$1:$O$85,15,0))</f>
        <v>0</v>
      </c>
      <c r="W46" s="6">
        <f>IF(ISERROR(VLOOKUP($T$46,'TAR FIN'!$A$1:$O$85,15,0)),0,VLOOKUP($T$46,'TAR FIN'!$A$1:$O$85,15,0))</f>
        <v>509.43</v>
      </c>
      <c r="X46" s="6">
        <f>IF(ISERROR(VLOOKUP($U$46,'TAR FIN'!$A$1:$O$85,15,0)),0,VLOOKUP($U$46,'TAR FIN'!$A$1:$O$85,15,0))</f>
        <v>251.85</v>
      </c>
      <c r="Y46" s="6"/>
      <c r="Z46" s="6">
        <f ca="1">('TUSD BE'!$AM$20+'TUSD BF'!$AM$20+'TUSD CVA'!$AM$20)*1</f>
        <v>657.94939927032419</v>
      </c>
      <c r="AA46" s="6">
        <f>('TE BE'!$AA$11+'TE BF'!$AA$11+'TE CVA'!$AA$11)*1</f>
        <v>256.69216484835653</v>
      </c>
      <c r="AB46" s="6">
        <f>$K$46*$V$46</f>
        <v>0</v>
      </c>
      <c r="AC46" s="6">
        <f>$M$46*$W$46</f>
        <v>107576.84252999999</v>
      </c>
      <c r="AD46" s="6">
        <f>$O$46*$X$46</f>
        <v>53183.41635</v>
      </c>
      <c r="AE46" s="6">
        <f>$K$46*$Y$46</f>
        <v>0</v>
      </c>
      <c r="AF46" s="6">
        <f ca="1">$M$46*$Z$46</f>
        <v>138939.83259331362</v>
      </c>
      <c r="AG46" s="6">
        <f>$O$46*$AA$46</f>
        <v>54205.941143192293</v>
      </c>
    </row>
    <row r="47" spans="1:33" ht="11.25" customHeight="1" x14ac:dyDescent="0.25">
      <c r="A47" s="4" t="s">
        <v>27</v>
      </c>
      <c r="B47" s="4" t="s">
        <v>22</v>
      </c>
      <c r="C47" s="4" t="s">
        <v>23</v>
      </c>
      <c r="D47" s="4" t="s">
        <v>24</v>
      </c>
      <c r="E47" s="4" t="s">
        <v>24</v>
      </c>
      <c r="F47" s="4" t="s">
        <v>25</v>
      </c>
      <c r="G47" s="4" t="s">
        <v>25</v>
      </c>
      <c r="H47" s="4" t="s">
        <v>25</v>
      </c>
      <c r="I47" s="5">
        <v>44317</v>
      </c>
      <c r="J47" s="6">
        <v>0</v>
      </c>
      <c r="K47" s="6">
        <v>0</v>
      </c>
      <c r="L47" s="6">
        <v>1.385</v>
      </c>
      <c r="M47" s="6">
        <v>1.385</v>
      </c>
      <c r="N47" s="6">
        <v>1.385</v>
      </c>
      <c r="O47" s="6">
        <v>1.385</v>
      </c>
      <c r="P47" s="6">
        <v>6</v>
      </c>
      <c r="Q47" s="4" t="s">
        <v>26</v>
      </c>
      <c r="R47" s="4">
        <v>0</v>
      </c>
      <c r="S47" s="6">
        <v>0</v>
      </c>
      <c r="T47" s="6">
        <v>16</v>
      </c>
      <c r="U47" s="6">
        <v>53</v>
      </c>
      <c r="V47" s="6">
        <f>IF(ISERROR(VLOOKUP($S$47,'TAR FIN'!$A$1:$O$85,15,0)),0,VLOOKUP($S$47,'TAR FIN'!$A$1:$O$85,15,0))</f>
        <v>0</v>
      </c>
      <c r="W47" s="6">
        <f>IF(ISERROR(VLOOKUP($T$47,'TAR FIN'!$A$1:$O$85,15,0)),0,VLOOKUP($T$47,'TAR FIN'!$A$1:$O$85,15,0))</f>
        <v>509.43</v>
      </c>
      <c r="X47" s="6">
        <f>IF(ISERROR(VLOOKUP($U$47,'TAR FIN'!$A$1:$O$85,15,0)),0,VLOOKUP($U$47,'TAR FIN'!$A$1:$O$85,15,0))</f>
        <v>251.85</v>
      </c>
      <c r="Y47" s="6"/>
      <c r="Z47" s="6">
        <f ca="1">('TUSD BE'!$AM$20+'TUSD BF'!$AM$20+'TUSD CVA'!$AM$20)*1</f>
        <v>657.94939927032419</v>
      </c>
      <c r="AA47" s="6">
        <f>('TE BE'!$AA$11+'TE BF'!$AA$11+'TE CVA'!$AA$11)*1</f>
        <v>256.69216484835653</v>
      </c>
      <c r="AB47" s="6">
        <f>$K$47*$V$47</f>
        <v>0</v>
      </c>
      <c r="AC47" s="6">
        <f>$M$47*$W$47</f>
        <v>705.56055000000003</v>
      </c>
      <c r="AD47" s="6">
        <f>$O$47*$X$47</f>
        <v>348.81225000000001</v>
      </c>
      <c r="AE47" s="6">
        <f>$K$47*$Y$47</f>
        <v>0</v>
      </c>
      <c r="AF47" s="6">
        <f ca="1">$M$47*$Z$47</f>
        <v>911.25991798939901</v>
      </c>
      <c r="AG47" s="6">
        <f>$O$47*$AA$47</f>
        <v>355.5186483149738</v>
      </c>
    </row>
    <row r="48" spans="1:33" ht="11.25" customHeight="1" x14ac:dyDescent="0.25">
      <c r="A48" s="4" t="s">
        <v>21</v>
      </c>
      <c r="B48" s="4" t="s">
        <v>22</v>
      </c>
      <c r="C48" s="4" t="s">
        <v>23</v>
      </c>
      <c r="D48" s="4" t="s">
        <v>24</v>
      </c>
      <c r="E48" s="4" t="s">
        <v>24</v>
      </c>
      <c r="F48" s="4" t="s">
        <v>25</v>
      </c>
      <c r="G48" s="4" t="s">
        <v>25</v>
      </c>
      <c r="H48" s="4" t="s">
        <v>25</v>
      </c>
      <c r="I48" s="5">
        <v>44348</v>
      </c>
      <c r="J48" s="6">
        <v>0</v>
      </c>
      <c r="K48" s="6">
        <v>0</v>
      </c>
      <c r="L48" s="6">
        <v>199.49600000000001</v>
      </c>
      <c r="M48" s="6">
        <v>199.49600000000001</v>
      </c>
      <c r="N48" s="6">
        <v>199.49600000000001</v>
      </c>
      <c r="O48" s="6">
        <v>199.49600000000001</v>
      </c>
      <c r="P48" s="6">
        <v>1979</v>
      </c>
      <c r="Q48" s="4" t="s">
        <v>26</v>
      </c>
      <c r="R48" s="4">
        <v>0</v>
      </c>
      <c r="S48" s="6">
        <v>0</v>
      </c>
      <c r="T48" s="6">
        <v>16</v>
      </c>
      <c r="U48" s="6">
        <v>53</v>
      </c>
      <c r="V48" s="6">
        <f>IF(ISERROR(VLOOKUP($S$48,'TAR FIN'!$A$1:$O$85,15,0)),0,VLOOKUP($S$48,'TAR FIN'!$A$1:$O$85,15,0))</f>
        <v>0</v>
      </c>
      <c r="W48" s="6">
        <f>IF(ISERROR(VLOOKUP($T$48,'TAR FIN'!$A$1:$O$85,15,0)),0,VLOOKUP($T$48,'TAR FIN'!$A$1:$O$85,15,0))</f>
        <v>509.43</v>
      </c>
      <c r="X48" s="6">
        <f>IF(ISERROR(VLOOKUP($U$48,'TAR FIN'!$A$1:$O$85,15,0)),0,VLOOKUP($U$48,'TAR FIN'!$A$1:$O$85,15,0))</f>
        <v>251.85</v>
      </c>
      <c r="Y48" s="6"/>
      <c r="Z48" s="6">
        <f ca="1">('TUSD BE'!$AM$20+'TUSD BF'!$AM$20+'TUSD CVA'!$AM$20)*1</f>
        <v>657.94939927032419</v>
      </c>
      <c r="AA48" s="6">
        <f>('TE BE'!$AA$11+'TE BF'!$AA$11+'TE CVA'!$AA$11)*1</f>
        <v>256.69216484835653</v>
      </c>
      <c r="AB48" s="6">
        <f>$K$48*$V$48</f>
        <v>0</v>
      </c>
      <c r="AC48" s="6">
        <f>$M$48*$W$48</f>
        <v>101629.24728000001</v>
      </c>
      <c r="AD48" s="6">
        <f>$O$48*$X$48</f>
        <v>50243.067600000002</v>
      </c>
      <c r="AE48" s="6">
        <f>$K$48*$Y$48</f>
        <v>0</v>
      </c>
      <c r="AF48" s="6">
        <f ca="1">$M$48*$Z$48</f>
        <v>131258.27335683259</v>
      </c>
      <c r="AG48" s="6">
        <f>$O$48*$AA$48</f>
        <v>51209.060118587739</v>
      </c>
    </row>
    <row r="49" spans="1:33" ht="11.25" customHeight="1" x14ac:dyDescent="0.25">
      <c r="A49" s="4" t="s">
        <v>27</v>
      </c>
      <c r="B49" s="4" t="s">
        <v>22</v>
      </c>
      <c r="C49" s="4" t="s">
        <v>23</v>
      </c>
      <c r="D49" s="4" t="s">
        <v>24</v>
      </c>
      <c r="E49" s="4" t="s">
        <v>24</v>
      </c>
      <c r="F49" s="4" t="s">
        <v>25</v>
      </c>
      <c r="G49" s="4" t="s">
        <v>25</v>
      </c>
      <c r="H49" s="4" t="s">
        <v>25</v>
      </c>
      <c r="I49" s="5">
        <v>44348</v>
      </c>
      <c r="J49" s="6">
        <v>0</v>
      </c>
      <c r="K49" s="6">
        <v>0</v>
      </c>
      <c r="L49" s="6">
        <v>1.486</v>
      </c>
      <c r="M49" s="6">
        <v>1.486</v>
      </c>
      <c r="N49" s="6">
        <v>1.486</v>
      </c>
      <c r="O49" s="6">
        <v>1.486</v>
      </c>
      <c r="P49" s="6">
        <v>8</v>
      </c>
      <c r="Q49" s="4" t="s">
        <v>26</v>
      </c>
      <c r="R49" s="4">
        <v>0</v>
      </c>
      <c r="S49" s="6">
        <v>0</v>
      </c>
      <c r="T49" s="6">
        <v>16</v>
      </c>
      <c r="U49" s="6">
        <v>53</v>
      </c>
      <c r="V49" s="6">
        <f>IF(ISERROR(VLOOKUP($S$49,'TAR FIN'!$A$1:$O$85,15,0)),0,VLOOKUP($S$49,'TAR FIN'!$A$1:$O$85,15,0))</f>
        <v>0</v>
      </c>
      <c r="W49" s="6">
        <f>IF(ISERROR(VLOOKUP($T$49,'TAR FIN'!$A$1:$O$85,15,0)),0,VLOOKUP($T$49,'TAR FIN'!$A$1:$O$85,15,0))</f>
        <v>509.43</v>
      </c>
      <c r="X49" s="6">
        <f>IF(ISERROR(VLOOKUP($U$49,'TAR FIN'!$A$1:$O$85,15,0)),0,VLOOKUP($U$49,'TAR FIN'!$A$1:$O$85,15,0))</f>
        <v>251.85</v>
      </c>
      <c r="Y49" s="6"/>
      <c r="Z49" s="6">
        <f ca="1">('TUSD BE'!$AM$20+'TUSD BF'!$AM$20+'TUSD CVA'!$AM$20)*1</f>
        <v>657.94939927032419</v>
      </c>
      <c r="AA49" s="6">
        <f>('TE BE'!$AA$11+'TE BF'!$AA$11+'TE CVA'!$AA$11)*1</f>
        <v>256.69216484835653</v>
      </c>
      <c r="AB49" s="6">
        <f>$K$49*$V$49</f>
        <v>0</v>
      </c>
      <c r="AC49" s="6">
        <f>$M$49*$W$49</f>
        <v>757.01297999999997</v>
      </c>
      <c r="AD49" s="6">
        <f>$O$49*$X$49</f>
        <v>374.2491</v>
      </c>
      <c r="AE49" s="6">
        <f>$K$49*$Y$49</f>
        <v>0</v>
      </c>
      <c r="AF49" s="6">
        <f ca="1">$M$49*$Z$49</f>
        <v>977.71280731570175</v>
      </c>
      <c r="AG49" s="6">
        <f>$O$49*$AA$49</f>
        <v>381.44455696465781</v>
      </c>
    </row>
    <row r="50" spans="1:33" ht="11.25" customHeight="1" x14ac:dyDescent="0.25">
      <c r="A50" s="4" t="s">
        <v>21</v>
      </c>
      <c r="B50" s="4" t="s">
        <v>22</v>
      </c>
      <c r="C50" s="4" t="s">
        <v>23</v>
      </c>
      <c r="D50" s="4" t="s">
        <v>24</v>
      </c>
      <c r="E50" s="4" t="s">
        <v>24</v>
      </c>
      <c r="F50" s="4" t="s">
        <v>25</v>
      </c>
      <c r="G50" s="4" t="s">
        <v>25</v>
      </c>
      <c r="H50" s="4" t="s">
        <v>25</v>
      </c>
      <c r="I50" s="5">
        <v>44378</v>
      </c>
      <c r="J50" s="6">
        <v>0</v>
      </c>
      <c r="K50" s="6">
        <v>0</v>
      </c>
      <c r="L50" s="6">
        <v>192.77</v>
      </c>
      <c r="M50" s="6">
        <v>192.77</v>
      </c>
      <c r="N50" s="6">
        <v>192.77</v>
      </c>
      <c r="O50" s="6">
        <v>192.77</v>
      </c>
      <c r="P50" s="6">
        <v>2004</v>
      </c>
      <c r="Q50" s="4" t="s">
        <v>26</v>
      </c>
      <c r="R50" s="4">
        <v>0</v>
      </c>
      <c r="S50" s="6">
        <v>0</v>
      </c>
      <c r="T50" s="6">
        <v>16</v>
      </c>
      <c r="U50" s="6">
        <v>53</v>
      </c>
      <c r="V50" s="6">
        <f>IF(ISERROR(VLOOKUP($S$50,'TAR FIN'!$A$1:$O$85,15,0)),0,VLOOKUP($S$50,'TAR FIN'!$A$1:$O$85,15,0))</f>
        <v>0</v>
      </c>
      <c r="W50" s="6">
        <f>IF(ISERROR(VLOOKUP($T$50,'TAR FIN'!$A$1:$O$85,15,0)),0,VLOOKUP($T$50,'TAR FIN'!$A$1:$O$85,15,0))</f>
        <v>509.43</v>
      </c>
      <c r="X50" s="6">
        <f>IF(ISERROR(VLOOKUP($U$50,'TAR FIN'!$A$1:$O$85,15,0)),0,VLOOKUP($U$50,'TAR FIN'!$A$1:$O$85,15,0))</f>
        <v>251.85</v>
      </c>
      <c r="Y50" s="6"/>
      <c r="Z50" s="6">
        <f ca="1">('TUSD BE'!$AM$20+'TUSD BF'!$AM$20+'TUSD CVA'!$AM$20)*1</f>
        <v>657.94939927032419</v>
      </c>
      <c r="AA50" s="6">
        <f>('TE BE'!$AA$11+'TE BF'!$AA$11+'TE CVA'!$AA$11)*1</f>
        <v>256.69216484835653</v>
      </c>
      <c r="AB50" s="6">
        <f>$K$50*$V$50</f>
        <v>0</v>
      </c>
      <c r="AC50" s="6">
        <f>$M$50*$W$50</f>
        <v>98202.821100000001</v>
      </c>
      <c r="AD50" s="6">
        <f>$O$50*$X$50</f>
        <v>48549.124499999998</v>
      </c>
      <c r="AE50" s="6">
        <f>$K$50*$Y$50</f>
        <v>0</v>
      </c>
      <c r="AF50" s="6">
        <f ca="1">$M$50*$Z$50</f>
        <v>126832.90569734041</v>
      </c>
      <c r="AG50" s="6">
        <f>$O$50*$AA$50</f>
        <v>49482.548617817687</v>
      </c>
    </row>
    <row r="51" spans="1:33" ht="11.25" customHeight="1" x14ac:dyDescent="0.25">
      <c r="A51" s="4" t="s">
        <v>27</v>
      </c>
      <c r="B51" s="4" t="s">
        <v>22</v>
      </c>
      <c r="C51" s="4" t="s">
        <v>23</v>
      </c>
      <c r="D51" s="4" t="s">
        <v>24</v>
      </c>
      <c r="E51" s="4" t="s">
        <v>24</v>
      </c>
      <c r="F51" s="4" t="s">
        <v>25</v>
      </c>
      <c r="G51" s="4" t="s">
        <v>25</v>
      </c>
      <c r="H51" s="4" t="s">
        <v>25</v>
      </c>
      <c r="I51" s="5">
        <v>44378</v>
      </c>
      <c r="J51" s="6">
        <v>0</v>
      </c>
      <c r="K51" s="6">
        <v>0</v>
      </c>
      <c r="L51" s="6">
        <v>1.478</v>
      </c>
      <c r="M51" s="6">
        <v>1.478</v>
      </c>
      <c r="N51" s="6">
        <v>1.478</v>
      </c>
      <c r="O51" s="6">
        <v>1.478</v>
      </c>
      <c r="P51" s="6">
        <v>8</v>
      </c>
      <c r="Q51" s="4" t="s">
        <v>26</v>
      </c>
      <c r="R51" s="4">
        <v>0</v>
      </c>
      <c r="S51" s="6">
        <v>0</v>
      </c>
      <c r="T51" s="6">
        <v>16</v>
      </c>
      <c r="U51" s="6">
        <v>53</v>
      </c>
      <c r="V51" s="6">
        <f>IF(ISERROR(VLOOKUP($S$51,'TAR FIN'!$A$1:$O$85,15,0)),0,VLOOKUP($S$51,'TAR FIN'!$A$1:$O$85,15,0))</f>
        <v>0</v>
      </c>
      <c r="W51" s="6">
        <f>IF(ISERROR(VLOOKUP($T$51,'TAR FIN'!$A$1:$O$85,15,0)),0,VLOOKUP($T$51,'TAR FIN'!$A$1:$O$85,15,0))</f>
        <v>509.43</v>
      </c>
      <c r="X51" s="6">
        <f>IF(ISERROR(VLOOKUP($U$51,'TAR FIN'!$A$1:$O$85,15,0)),0,VLOOKUP($U$51,'TAR FIN'!$A$1:$O$85,15,0))</f>
        <v>251.85</v>
      </c>
      <c r="Y51" s="6"/>
      <c r="Z51" s="6">
        <f ca="1">('TUSD BE'!$AM$20+'TUSD BF'!$AM$20+'TUSD CVA'!$AM$20)*1</f>
        <v>657.94939927032419</v>
      </c>
      <c r="AA51" s="6">
        <f>('TE BE'!$AA$11+'TE BF'!$AA$11+'TE CVA'!$AA$11)*1</f>
        <v>256.69216484835653</v>
      </c>
      <c r="AB51" s="6">
        <f>$K$51*$V$51</f>
        <v>0</v>
      </c>
      <c r="AC51" s="6">
        <f>$M$51*$W$51</f>
        <v>752.93754000000001</v>
      </c>
      <c r="AD51" s="6">
        <f>$O$51*$X$51</f>
        <v>372.23429999999996</v>
      </c>
      <c r="AE51" s="6">
        <f>$K$51*$Y$51</f>
        <v>0</v>
      </c>
      <c r="AF51" s="6">
        <f ca="1">$M$51*$Z$51</f>
        <v>972.44921212153918</v>
      </c>
      <c r="AG51" s="6">
        <f>$O$51*$AA$51</f>
        <v>379.39101964587093</v>
      </c>
    </row>
    <row r="52" spans="1:33" ht="11.25" customHeight="1" x14ac:dyDescent="0.25">
      <c r="A52" s="4" t="s">
        <v>21</v>
      </c>
      <c r="B52" s="4" t="s">
        <v>22</v>
      </c>
      <c r="C52" s="4" t="s">
        <v>23</v>
      </c>
      <c r="D52" s="4" t="s">
        <v>24</v>
      </c>
      <c r="E52" s="4" t="s">
        <v>24</v>
      </c>
      <c r="F52" s="4" t="s">
        <v>25</v>
      </c>
      <c r="G52" s="4" t="s">
        <v>25</v>
      </c>
      <c r="H52" s="4" t="s">
        <v>25</v>
      </c>
      <c r="I52" s="5">
        <v>44409</v>
      </c>
      <c r="J52" s="6">
        <v>0</v>
      </c>
      <c r="K52" s="6">
        <v>0</v>
      </c>
      <c r="L52" s="6">
        <v>196.482</v>
      </c>
      <c r="M52" s="6">
        <v>196.482</v>
      </c>
      <c r="N52" s="6">
        <v>196.482</v>
      </c>
      <c r="O52" s="6">
        <v>196.482</v>
      </c>
      <c r="P52" s="6">
        <v>2005</v>
      </c>
      <c r="Q52" s="4" t="s">
        <v>26</v>
      </c>
      <c r="R52" s="4">
        <v>0</v>
      </c>
      <c r="S52" s="6">
        <v>0</v>
      </c>
      <c r="T52" s="6">
        <v>16</v>
      </c>
      <c r="U52" s="6">
        <v>53</v>
      </c>
      <c r="V52" s="6">
        <f>IF(ISERROR(VLOOKUP($S$52,'TAR FIN'!$A$1:$O$85,15,0)),0,VLOOKUP($S$52,'TAR FIN'!$A$1:$O$85,15,0))</f>
        <v>0</v>
      </c>
      <c r="W52" s="6">
        <f>IF(ISERROR(VLOOKUP($T$52,'TAR FIN'!$A$1:$O$85,15,0)),0,VLOOKUP($T$52,'TAR FIN'!$A$1:$O$85,15,0))</f>
        <v>509.43</v>
      </c>
      <c r="X52" s="6">
        <f>IF(ISERROR(VLOOKUP($U$52,'TAR FIN'!$A$1:$O$85,15,0)),0,VLOOKUP($U$52,'TAR FIN'!$A$1:$O$85,15,0))</f>
        <v>251.85</v>
      </c>
      <c r="Y52" s="6"/>
      <c r="Z52" s="6">
        <f ca="1">('TUSD BE'!$AM$20+'TUSD BF'!$AM$20+'TUSD CVA'!$AM$20)*1</f>
        <v>657.94939927032419</v>
      </c>
      <c r="AA52" s="6">
        <f>('TE BE'!$AA$11+'TE BF'!$AA$11+'TE CVA'!$AA$11)*1</f>
        <v>256.69216484835653</v>
      </c>
      <c r="AB52" s="6">
        <f>$K$52*$V$52</f>
        <v>0</v>
      </c>
      <c r="AC52" s="6">
        <f>$M$52*$W$52</f>
        <v>100093.82526</v>
      </c>
      <c r="AD52" s="6">
        <f>$O$52*$X$52</f>
        <v>49483.991699999999</v>
      </c>
      <c r="AE52" s="6">
        <f>$K$52*$Y$52</f>
        <v>0</v>
      </c>
      <c r="AF52" s="6">
        <f ca="1">$M$52*$Z$52</f>
        <v>129275.21386743184</v>
      </c>
      <c r="AG52" s="6">
        <f>$O$52*$AA$52</f>
        <v>50435.38993373479</v>
      </c>
    </row>
    <row r="53" spans="1:33" ht="11.25" customHeight="1" x14ac:dyDescent="0.25">
      <c r="A53" s="4" t="s">
        <v>27</v>
      </c>
      <c r="B53" s="4" t="s">
        <v>22</v>
      </c>
      <c r="C53" s="4" t="s">
        <v>23</v>
      </c>
      <c r="D53" s="4" t="s">
        <v>24</v>
      </c>
      <c r="E53" s="4" t="s">
        <v>24</v>
      </c>
      <c r="F53" s="4" t="s">
        <v>25</v>
      </c>
      <c r="G53" s="4" t="s">
        <v>25</v>
      </c>
      <c r="H53" s="4" t="s">
        <v>25</v>
      </c>
      <c r="I53" s="5">
        <v>44409</v>
      </c>
      <c r="J53" s="6">
        <v>0</v>
      </c>
      <c r="K53" s="6">
        <v>0</v>
      </c>
      <c r="L53" s="6">
        <v>1.47</v>
      </c>
      <c r="M53" s="6">
        <v>1.47</v>
      </c>
      <c r="N53" s="6">
        <v>1.47</v>
      </c>
      <c r="O53" s="6">
        <v>1.47</v>
      </c>
      <c r="P53" s="6">
        <v>9</v>
      </c>
      <c r="Q53" s="4" t="s">
        <v>26</v>
      </c>
      <c r="R53" s="4">
        <v>0</v>
      </c>
      <c r="S53" s="6">
        <v>0</v>
      </c>
      <c r="T53" s="6">
        <v>16</v>
      </c>
      <c r="U53" s="6">
        <v>53</v>
      </c>
      <c r="V53" s="6">
        <f>IF(ISERROR(VLOOKUP($S$53,'TAR FIN'!$A$1:$O$85,15,0)),0,VLOOKUP($S$53,'TAR FIN'!$A$1:$O$85,15,0))</f>
        <v>0</v>
      </c>
      <c r="W53" s="6">
        <f>IF(ISERROR(VLOOKUP($T$53,'TAR FIN'!$A$1:$O$85,15,0)),0,VLOOKUP($T$53,'TAR FIN'!$A$1:$O$85,15,0))</f>
        <v>509.43</v>
      </c>
      <c r="X53" s="6">
        <f>IF(ISERROR(VLOOKUP($U$53,'TAR FIN'!$A$1:$O$85,15,0)),0,VLOOKUP($U$53,'TAR FIN'!$A$1:$O$85,15,0))</f>
        <v>251.85</v>
      </c>
      <c r="Y53" s="6"/>
      <c r="Z53" s="6">
        <f ca="1">('TUSD BE'!$AM$20+'TUSD BF'!$AM$20+'TUSD CVA'!$AM$20)*1</f>
        <v>657.94939927032419</v>
      </c>
      <c r="AA53" s="6">
        <f>('TE BE'!$AA$11+'TE BF'!$AA$11+'TE CVA'!$AA$11)*1</f>
        <v>256.69216484835653</v>
      </c>
      <c r="AB53" s="6">
        <f>$K$53*$V$53</f>
        <v>0</v>
      </c>
      <c r="AC53" s="6">
        <f>$M$53*$W$53</f>
        <v>748.86209999999994</v>
      </c>
      <c r="AD53" s="6">
        <f>$O$53*$X$53</f>
        <v>370.21949999999998</v>
      </c>
      <c r="AE53" s="6">
        <f>$K$53*$Y$53</f>
        <v>0</v>
      </c>
      <c r="AF53" s="6">
        <f ca="1">$M$53*$Z$53</f>
        <v>967.1856169273766</v>
      </c>
      <c r="AG53" s="6">
        <f>$O$53*$AA$53</f>
        <v>377.3374823270841</v>
      </c>
    </row>
    <row r="54" spans="1:33" ht="11.25" customHeight="1" x14ac:dyDescent="0.25">
      <c r="A54" s="4" t="s">
        <v>21</v>
      </c>
      <c r="B54" s="4" t="s">
        <v>22</v>
      </c>
      <c r="C54" s="4" t="s">
        <v>23</v>
      </c>
      <c r="D54" s="4" t="s">
        <v>24</v>
      </c>
      <c r="E54" s="4" t="s">
        <v>24</v>
      </c>
      <c r="F54" s="4" t="s">
        <v>25</v>
      </c>
      <c r="G54" s="4" t="s">
        <v>25</v>
      </c>
      <c r="H54" s="4" t="s">
        <v>25</v>
      </c>
      <c r="I54" s="5">
        <v>44440</v>
      </c>
      <c r="J54" s="6">
        <v>0</v>
      </c>
      <c r="K54" s="6">
        <v>0</v>
      </c>
      <c r="L54" s="6">
        <v>199.905</v>
      </c>
      <c r="M54" s="6">
        <v>199.905</v>
      </c>
      <c r="N54" s="6">
        <v>199.905</v>
      </c>
      <c r="O54" s="6">
        <v>199.905</v>
      </c>
      <c r="P54" s="6">
        <v>2018</v>
      </c>
      <c r="Q54" s="4" t="s">
        <v>26</v>
      </c>
      <c r="R54" s="4">
        <v>0</v>
      </c>
      <c r="S54" s="6">
        <v>0</v>
      </c>
      <c r="T54" s="6">
        <v>16</v>
      </c>
      <c r="U54" s="6">
        <v>53</v>
      </c>
      <c r="V54" s="6">
        <f>IF(ISERROR(VLOOKUP($S$54,'TAR FIN'!$A$1:$O$85,15,0)),0,VLOOKUP($S$54,'TAR FIN'!$A$1:$O$85,15,0))</f>
        <v>0</v>
      </c>
      <c r="W54" s="6">
        <f>IF(ISERROR(VLOOKUP($T$54,'TAR FIN'!$A$1:$O$85,15,0)),0,VLOOKUP($T$54,'TAR FIN'!$A$1:$O$85,15,0))</f>
        <v>509.43</v>
      </c>
      <c r="X54" s="6">
        <f>IF(ISERROR(VLOOKUP($U$54,'TAR FIN'!$A$1:$O$85,15,0)),0,VLOOKUP($U$54,'TAR FIN'!$A$1:$O$85,15,0))</f>
        <v>251.85</v>
      </c>
      <c r="Y54" s="6"/>
      <c r="Z54" s="6">
        <f ca="1">('TUSD BE'!$AM$20+'TUSD BF'!$AM$20+'TUSD CVA'!$AM$20)*1</f>
        <v>657.94939927032419</v>
      </c>
      <c r="AA54" s="6">
        <f>('TE BE'!$AA$11+'TE BF'!$AA$11+'TE CVA'!$AA$11)*1</f>
        <v>256.69216484835653</v>
      </c>
      <c r="AB54" s="6">
        <f>$K$54*$V$54</f>
        <v>0</v>
      </c>
      <c r="AC54" s="6">
        <f>$M$54*$W$54</f>
        <v>101837.60415</v>
      </c>
      <c r="AD54" s="6">
        <f>$O$54*$X$54</f>
        <v>50346.074249999998</v>
      </c>
      <c r="AE54" s="6">
        <f>$K$54*$Y$54</f>
        <v>0</v>
      </c>
      <c r="AF54" s="6">
        <f ca="1">$M$54*$Z$54</f>
        <v>131527.37466113415</v>
      </c>
      <c r="AG54" s="6">
        <f>$O$54*$AA$54</f>
        <v>51314.047214010709</v>
      </c>
    </row>
    <row r="55" spans="1:33" ht="11.25" customHeight="1" x14ac:dyDescent="0.25">
      <c r="A55" s="4" t="s">
        <v>27</v>
      </c>
      <c r="B55" s="4" t="s">
        <v>22</v>
      </c>
      <c r="C55" s="4" t="s">
        <v>23</v>
      </c>
      <c r="D55" s="4" t="s">
        <v>24</v>
      </c>
      <c r="E55" s="4" t="s">
        <v>24</v>
      </c>
      <c r="F55" s="4" t="s">
        <v>25</v>
      </c>
      <c r="G55" s="4" t="s">
        <v>25</v>
      </c>
      <c r="H55" s="4" t="s">
        <v>25</v>
      </c>
      <c r="I55" s="5">
        <v>44440</v>
      </c>
      <c r="J55" s="6">
        <v>0</v>
      </c>
      <c r="K55" s="6">
        <v>0</v>
      </c>
      <c r="L55" s="6">
        <v>2.1659999999999999</v>
      </c>
      <c r="M55" s="6">
        <v>2.1659999999999999</v>
      </c>
      <c r="N55" s="6">
        <v>2.1659999999999999</v>
      </c>
      <c r="O55" s="6">
        <v>2.1659999999999999</v>
      </c>
      <c r="P55" s="6">
        <v>11</v>
      </c>
      <c r="Q55" s="4" t="s">
        <v>26</v>
      </c>
      <c r="R55" s="4">
        <v>0</v>
      </c>
      <c r="S55" s="6">
        <v>0</v>
      </c>
      <c r="T55" s="6">
        <v>16</v>
      </c>
      <c r="U55" s="6">
        <v>53</v>
      </c>
      <c r="V55" s="6">
        <f>IF(ISERROR(VLOOKUP($S$55,'TAR FIN'!$A$1:$O$85,15,0)),0,VLOOKUP($S$55,'TAR FIN'!$A$1:$O$85,15,0))</f>
        <v>0</v>
      </c>
      <c r="W55" s="6">
        <f>IF(ISERROR(VLOOKUP($T$55,'TAR FIN'!$A$1:$O$85,15,0)),0,VLOOKUP($T$55,'TAR FIN'!$A$1:$O$85,15,0))</f>
        <v>509.43</v>
      </c>
      <c r="X55" s="6">
        <f>IF(ISERROR(VLOOKUP($U$55,'TAR FIN'!$A$1:$O$85,15,0)),0,VLOOKUP($U$55,'TAR FIN'!$A$1:$O$85,15,0))</f>
        <v>251.85</v>
      </c>
      <c r="Y55" s="6"/>
      <c r="Z55" s="6">
        <f ca="1">('TUSD BE'!$AM$20+'TUSD BF'!$AM$20+'TUSD CVA'!$AM$20)*1</f>
        <v>657.94939927032419</v>
      </c>
      <c r="AA55" s="6">
        <f>('TE BE'!$AA$11+'TE BF'!$AA$11+'TE CVA'!$AA$11)*1</f>
        <v>256.69216484835653</v>
      </c>
      <c r="AB55" s="6">
        <f>$K$55*$V$55</f>
        <v>0</v>
      </c>
      <c r="AC55" s="6">
        <f>$M$55*$W$55</f>
        <v>1103.4253799999999</v>
      </c>
      <c r="AD55" s="6">
        <f>$O$55*$X$55</f>
        <v>545.50709999999992</v>
      </c>
      <c r="AE55" s="6">
        <f>$K$55*$Y$55</f>
        <v>0</v>
      </c>
      <c r="AF55" s="6">
        <f ca="1">$M$55*$Z$55</f>
        <v>1425.1183988195221</v>
      </c>
      <c r="AG55" s="6">
        <f>$O$55*$AA$55</f>
        <v>555.99522906154027</v>
      </c>
    </row>
    <row r="56" spans="1:33" ht="11.25" customHeight="1" x14ac:dyDescent="0.25">
      <c r="A56" s="4" t="s">
        <v>21</v>
      </c>
      <c r="B56" s="4" t="s">
        <v>22</v>
      </c>
      <c r="C56" s="4" t="s">
        <v>23</v>
      </c>
      <c r="D56" s="4" t="s">
        <v>24</v>
      </c>
      <c r="E56" s="4" t="s">
        <v>24</v>
      </c>
      <c r="F56" s="4" t="s">
        <v>25</v>
      </c>
      <c r="G56" s="4" t="s">
        <v>25</v>
      </c>
      <c r="H56" s="4" t="s">
        <v>25</v>
      </c>
      <c r="I56" s="5">
        <v>44470</v>
      </c>
      <c r="J56" s="6">
        <v>0</v>
      </c>
      <c r="K56" s="6">
        <v>0</v>
      </c>
      <c r="L56" s="6">
        <v>198.85400000000001</v>
      </c>
      <c r="M56" s="6">
        <v>198.85400000000001</v>
      </c>
      <c r="N56" s="6">
        <v>198.85400000000001</v>
      </c>
      <c r="O56" s="6">
        <v>198.85400000000001</v>
      </c>
      <c r="P56" s="6">
        <v>2001</v>
      </c>
      <c r="Q56" s="4" t="s">
        <v>26</v>
      </c>
      <c r="R56" s="4">
        <v>0</v>
      </c>
      <c r="S56" s="6">
        <v>0</v>
      </c>
      <c r="T56" s="6">
        <v>16</v>
      </c>
      <c r="U56" s="6">
        <v>53</v>
      </c>
      <c r="V56" s="6">
        <f>IF(ISERROR(VLOOKUP($S$56,'TAR FIN'!$A$1:$O$85,15,0)),0,VLOOKUP($S$56,'TAR FIN'!$A$1:$O$85,15,0))</f>
        <v>0</v>
      </c>
      <c r="W56" s="6">
        <f>IF(ISERROR(VLOOKUP($T$56,'TAR FIN'!$A$1:$O$85,15,0)),0,VLOOKUP($T$56,'TAR FIN'!$A$1:$O$85,15,0))</f>
        <v>509.43</v>
      </c>
      <c r="X56" s="6">
        <f>IF(ISERROR(VLOOKUP($U$56,'TAR FIN'!$A$1:$O$85,15,0)),0,VLOOKUP($U$56,'TAR FIN'!$A$1:$O$85,15,0))</f>
        <v>251.85</v>
      </c>
      <c r="Y56" s="6"/>
      <c r="Z56" s="6">
        <f ca="1">('TUSD BE'!$AM$20+'TUSD BF'!$AM$20+'TUSD CVA'!$AM$20)*1</f>
        <v>657.94939927032419</v>
      </c>
      <c r="AA56" s="6">
        <f>('TE BE'!$AA$11+'TE BF'!$AA$11+'TE CVA'!$AA$11)*1</f>
        <v>256.69216484835653</v>
      </c>
      <c r="AB56" s="6">
        <f>$K$56*$V$56</f>
        <v>0</v>
      </c>
      <c r="AC56" s="6">
        <f>$M$56*$W$56</f>
        <v>101302.19322</v>
      </c>
      <c r="AD56" s="6">
        <f>$O$56*$X$56</f>
        <v>50081.3799</v>
      </c>
      <c r="AE56" s="6">
        <f>$K$56*$Y$56</f>
        <v>0</v>
      </c>
      <c r="AF56" s="6">
        <f ca="1">$M$56*$Z$56</f>
        <v>130835.86984250105</v>
      </c>
      <c r="AG56" s="6">
        <f>$O$56*$AA$56</f>
        <v>51044.263748755089</v>
      </c>
    </row>
    <row r="57" spans="1:33" ht="11.25" customHeight="1" x14ac:dyDescent="0.25">
      <c r="A57" s="4" t="s">
        <v>27</v>
      </c>
      <c r="B57" s="4" t="s">
        <v>22</v>
      </c>
      <c r="C57" s="4" t="s">
        <v>23</v>
      </c>
      <c r="D57" s="4" t="s">
        <v>24</v>
      </c>
      <c r="E57" s="4" t="s">
        <v>24</v>
      </c>
      <c r="F57" s="4" t="s">
        <v>25</v>
      </c>
      <c r="G57" s="4" t="s">
        <v>25</v>
      </c>
      <c r="H57" s="4" t="s">
        <v>25</v>
      </c>
      <c r="I57" s="5">
        <v>44470</v>
      </c>
      <c r="J57" s="6">
        <v>0</v>
      </c>
      <c r="K57" s="6">
        <v>0</v>
      </c>
      <c r="L57" s="6">
        <v>2.4660000000000002</v>
      </c>
      <c r="M57" s="6">
        <v>2.4660000000000002</v>
      </c>
      <c r="N57" s="6">
        <v>2.4660000000000002</v>
      </c>
      <c r="O57" s="6">
        <v>2.4660000000000002</v>
      </c>
      <c r="P57" s="6">
        <v>11</v>
      </c>
      <c r="Q57" s="4" t="s">
        <v>26</v>
      </c>
      <c r="R57" s="4">
        <v>0</v>
      </c>
      <c r="S57" s="6">
        <v>0</v>
      </c>
      <c r="T57" s="6">
        <v>16</v>
      </c>
      <c r="U57" s="6">
        <v>53</v>
      </c>
      <c r="V57" s="6">
        <f>IF(ISERROR(VLOOKUP($S$57,'TAR FIN'!$A$1:$O$85,15,0)),0,VLOOKUP($S$57,'TAR FIN'!$A$1:$O$85,15,0))</f>
        <v>0</v>
      </c>
      <c r="W57" s="6">
        <f>IF(ISERROR(VLOOKUP($T$57,'TAR FIN'!$A$1:$O$85,15,0)),0,VLOOKUP($T$57,'TAR FIN'!$A$1:$O$85,15,0))</f>
        <v>509.43</v>
      </c>
      <c r="X57" s="6">
        <f>IF(ISERROR(VLOOKUP($U$57,'TAR FIN'!$A$1:$O$85,15,0)),0,VLOOKUP($U$57,'TAR FIN'!$A$1:$O$85,15,0))</f>
        <v>251.85</v>
      </c>
      <c r="Y57" s="6"/>
      <c r="Z57" s="6">
        <f ca="1">('TUSD BE'!$AM$20+'TUSD BF'!$AM$20+'TUSD CVA'!$AM$20)*1</f>
        <v>657.94939927032419</v>
      </c>
      <c r="AA57" s="6">
        <f>('TE BE'!$AA$11+'TE BF'!$AA$11+'TE CVA'!$AA$11)*1</f>
        <v>256.69216484835653</v>
      </c>
      <c r="AB57" s="6">
        <f>$K$57*$V$57</f>
        <v>0</v>
      </c>
      <c r="AC57" s="6">
        <f>$M$57*$W$57</f>
        <v>1256.2543800000001</v>
      </c>
      <c r="AD57" s="6">
        <f>$O$57*$X$57</f>
        <v>621.06209999999999</v>
      </c>
      <c r="AE57" s="6">
        <f>$K$57*$Y$57</f>
        <v>0</v>
      </c>
      <c r="AF57" s="6">
        <f ca="1">$M$57*$Z$57</f>
        <v>1622.5032186006197</v>
      </c>
      <c r="AG57" s="6">
        <f>$O$57*$AA$57</f>
        <v>633.00287851604719</v>
      </c>
    </row>
    <row r="58" spans="1:33" ht="11.25" customHeight="1" x14ac:dyDescent="0.25">
      <c r="A58" s="4" t="s">
        <v>21</v>
      </c>
      <c r="B58" s="4" t="s">
        <v>22</v>
      </c>
      <c r="C58" s="4" t="s">
        <v>23</v>
      </c>
      <c r="D58" s="4" t="s">
        <v>24</v>
      </c>
      <c r="E58" s="4" t="s">
        <v>24</v>
      </c>
      <c r="F58" s="4" t="s">
        <v>25</v>
      </c>
      <c r="G58" s="4" t="s">
        <v>25</v>
      </c>
      <c r="H58" s="4" t="s">
        <v>25</v>
      </c>
      <c r="I58" s="5">
        <v>44501</v>
      </c>
      <c r="J58" s="6">
        <v>0</v>
      </c>
      <c r="K58" s="6">
        <v>0</v>
      </c>
      <c r="L58" s="6">
        <v>233.029</v>
      </c>
      <c r="M58" s="6">
        <v>233.029</v>
      </c>
      <c r="N58" s="6">
        <v>233.029</v>
      </c>
      <c r="O58" s="6">
        <v>233.029</v>
      </c>
      <c r="P58" s="6">
        <v>1994</v>
      </c>
      <c r="Q58" s="4" t="s">
        <v>26</v>
      </c>
      <c r="R58" s="4">
        <v>0</v>
      </c>
      <c r="S58" s="6">
        <v>0</v>
      </c>
      <c r="T58" s="6">
        <v>16</v>
      </c>
      <c r="U58" s="6">
        <v>53</v>
      </c>
      <c r="V58" s="6">
        <f>IF(ISERROR(VLOOKUP($S$58,'TAR FIN'!$A$1:$O$85,15,0)),0,VLOOKUP($S$58,'TAR FIN'!$A$1:$O$85,15,0))</f>
        <v>0</v>
      </c>
      <c r="W58" s="6">
        <f>IF(ISERROR(VLOOKUP($T$58,'TAR FIN'!$A$1:$O$85,15,0)),0,VLOOKUP($T$58,'TAR FIN'!$A$1:$O$85,15,0))</f>
        <v>509.43</v>
      </c>
      <c r="X58" s="6">
        <f>IF(ISERROR(VLOOKUP($U$58,'TAR FIN'!$A$1:$O$85,15,0)),0,VLOOKUP($U$58,'TAR FIN'!$A$1:$O$85,15,0))</f>
        <v>251.85</v>
      </c>
      <c r="Y58" s="6"/>
      <c r="Z58" s="6">
        <f ca="1">('TUSD BE'!$AM$20+'TUSD BF'!$AM$20+'TUSD CVA'!$AM$20)*1</f>
        <v>657.94939927032419</v>
      </c>
      <c r="AA58" s="6">
        <f>('TE BE'!$AA$11+'TE BF'!$AA$11+'TE CVA'!$AA$11)*1</f>
        <v>256.69216484835653</v>
      </c>
      <c r="AB58" s="6">
        <f>$K$58*$V$58</f>
        <v>0</v>
      </c>
      <c r="AC58" s="6">
        <f>$M$58*$W$58</f>
        <v>118711.96347</v>
      </c>
      <c r="AD58" s="6">
        <f>$O$58*$X$58</f>
        <v>58688.353649999997</v>
      </c>
      <c r="AE58" s="6">
        <f>$K$58*$Y$58</f>
        <v>0</v>
      </c>
      <c r="AF58" s="6">
        <f ca="1">$M$58*$Z$58</f>
        <v>153321.29056256436</v>
      </c>
      <c r="AG58" s="6">
        <f>$O$58*$AA$58</f>
        <v>59816.718482447672</v>
      </c>
    </row>
    <row r="59" spans="1:33" ht="11.25" customHeight="1" x14ac:dyDescent="0.25">
      <c r="A59" s="4" t="s">
        <v>27</v>
      </c>
      <c r="B59" s="4" t="s">
        <v>22</v>
      </c>
      <c r="C59" s="4" t="s">
        <v>23</v>
      </c>
      <c r="D59" s="4" t="s">
        <v>24</v>
      </c>
      <c r="E59" s="4" t="s">
        <v>24</v>
      </c>
      <c r="F59" s="4" t="s">
        <v>25</v>
      </c>
      <c r="G59" s="4" t="s">
        <v>25</v>
      </c>
      <c r="H59" s="4" t="s">
        <v>25</v>
      </c>
      <c r="I59" s="5">
        <v>44501</v>
      </c>
      <c r="J59" s="6">
        <v>0</v>
      </c>
      <c r="K59" s="6">
        <v>0</v>
      </c>
      <c r="L59" s="6">
        <v>2.7759999999999998</v>
      </c>
      <c r="M59" s="6">
        <v>2.7759999999999998</v>
      </c>
      <c r="N59" s="6">
        <v>2.7759999999999998</v>
      </c>
      <c r="O59" s="6">
        <v>2.7759999999999998</v>
      </c>
      <c r="P59" s="6">
        <v>11</v>
      </c>
      <c r="Q59" s="4" t="s">
        <v>26</v>
      </c>
      <c r="R59" s="4">
        <v>0</v>
      </c>
      <c r="S59" s="6">
        <v>0</v>
      </c>
      <c r="T59" s="6">
        <v>16</v>
      </c>
      <c r="U59" s="6">
        <v>53</v>
      </c>
      <c r="V59" s="6">
        <f>IF(ISERROR(VLOOKUP($S$59,'TAR FIN'!$A$1:$O$85,15,0)),0,VLOOKUP($S$59,'TAR FIN'!$A$1:$O$85,15,0))</f>
        <v>0</v>
      </c>
      <c r="W59" s="6">
        <f>IF(ISERROR(VLOOKUP($T$59,'TAR FIN'!$A$1:$O$85,15,0)),0,VLOOKUP($T$59,'TAR FIN'!$A$1:$O$85,15,0))</f>
        <v>509.43</v>
      </c>
      <c r="X59" s="6">
        <f>IF(ISERROR(VLOOKUP($U$59,'TAR FIN'!$A$1:$O$85,15,0)),0,VLOOKUP($U$59,'TAR FIN'!$A$1:$O$85,15,0))</f>
        <v>251.85</v>
      </c>
      <c r="Y59" s="6"/>
      <c r="Z59" s="6">
        <f ca="1">('TUSD BE'!$AM$20+'TUSD BF'!$AM$20+'TUSD CVA'!$AM$20)*1</f>
        <v>657.94939927032419</v>
      </c>
      <c r="AA59" s="6">
        <f>('TE BE'!$AA$11+'TE BF'!$AA$11+'TE CVA'!$AA$11)*1</f>
        <v>256.69216484835653</v>
      </c>
      <c r="AB59" s="6">
        <f>$K$59*$V$59</f>
        <v>0</v>
      </c>
      <c r="AC59" s="6">
        <f>$M$59*$W$59</f>
        <v>1414.17768</v>
      </c>
      <c r="AD59" s="6">
        <f>$O$59*$X$59</f>
        <v>699.13559999999995</v>
      </c>
      <c r="AE59" s="6">
        <f>$K$59*$Y$59</f>
        <v>0</v>
      </c>
      <c r="AF59" s="6">
        <f ca="1">$M$59*$Z$59</f>
        <v>1826.4675323744198</v>
      </c>
      <c r="AG59" s="6">
        <f>$O$59*$AA$59</f>
        <v>712.57744961903768</v>
      </c>
    </row>
    <row r="60" spans="1:33" ht="11.25" customHeight="1" x14ac:dyDescent="0.25">
      <c r="A60" s="4" t="s">
        <v>21</v>
      </c>
      <c r="B60" s="4" t="s">
        <v>22</v>
      </c>
      <c r="C60" s="4" t="s">
        <v>23</v>
      </c>
      <c r="D60" s="4" t="s">
        <v>24</v>
      </c>
      <c r="E60" s="4" t="s">
        <v>24</v>
      </c>
      <c r="F60" s="4" t="s">
        <v>25</v>
      </c>
      <c r="G60" s="4" t="s">
        <v>25</v>
      </c>
      <c r="H60" s="4" t="s">
        <v>25</v>
      </c>
      <c r="I60" s="5">
        <v>44531</v>
      </c>
      <c r="J60" s="6">
        <v>0</v>
      </c>
      <c r="K60" s="6">
        <v>0</v>
      </c>
      <c r="L60" s="6">
        <v>219.06200000000001</v>
      </c>
      <c r="M60" s="6">
        <v>219.06200000000001</v>
      </c>
      <c r="N60" s="6">
        <v>219.06200000000001</v>
      </c>
      <c r="O60" s="6">
        <v>219.06200000000001</v>
      </c>
      <c r="P60" s="6">
        <v>1995</v>
      </c>
      <c r="Q60" s="4" t="s">
        <v>26</v>
      </c>
      <c r="R60" s="4">
        <v>0</v>
      </c>
      <c r="S60" s="6">
        <v>0</v>
      </c>
      <c r="T60" s="6">
        <v>16</v>
      </c>
      <c r="U60" s="6">
        <v>53</v>
      </c>
      <c r="V60" s="6">
        <f>IF(ISERROR(VLOOKUP($S$60,'TAR FIN'!$A$1:$O$85,15,0)),0,VLOOKUP($S$60,'TAR FIN'!$A$1:$O$85,15,0))</f>
        <v>0</v>
      </c>
      <c r="W60" s="6">
        <f>IF(ISERROR(VLOOKUP($T$60,'TAR FIN'!$A$1:$O$85,15,0)),0,VLOOKUP($T$60,'TAR FIN'!$A$1:$O$85,15,0))</f>
        <v>509.43</v>
      </c>
      <c r="X60" s="6">
        <f>IF(ISERROR(VLOOKUP($U$60,'TAR FIN'!$A$1:$O$85,15,0)),0,VLOOKUP($U$60,'TAR FIN'!$A$1:$O$85,15,0))</f>
        <v>251.85</v>
      </c>
      <c r="Y60" s="6"/>
      <c r="Z60" s="6">
        <f ca="1">('TUSD BE'!$AM$20+'TUSD BF'!$AM$20+'TUSD CVA'!$AM$20)*1</f>
        <v>657.94939927032419</v>
      </c>
      <c r="AA60" s="6">
        <f>('TE BE'!$AA$11+'TE BF'!$AA$11+'TE CVA'!$AA$11)*1</f>
        <v>256.69216484835653</v>
      </c>
      <c r="AB60" s="6">
        <f>$K$60*$V$60</f>
        <v>0</v>
      </c>
      <c r="AC60" s="6">
        <f>$M$60*$W$60</f>
        <v>111596.75466000001</v>
      </c>
      <c r="AD60" s="6">
        <f>$O$60*$X$60</f>
        <v>55170.7647</v>
      </c>
      <c r="AE60" s="6">
        <f>$K$60*$Y$60</f>
        <v>0</v>
      </c>
      <c r="AF60" s="6">
        <f ca="1">$M$60*$Z$60</f>
        <v>144131.71130295578</v>
      </c>
      <c r="AG60" s="6">
        <f>$O$60*$AA$60</f>
        <v>56231.499016010683</v>
      </c>
    </row>
    <row r="61" spans="1:33" ht="11.25" customHeight="1" x14ac:dyDescent="0.25">
      <c r="A61" s="4" t="s">
        <v>27</v>
      </c>
      <c r="B61" s="4" t="s">
        <v>22</v>
      </c>
      <c r="C61" s="4" t="s">
        <v>23</v>
      </c>
      <c r="D61" s="4" t="s">
        <v>24</v>
      </c>
      <c r="E61" s="4" t="s">
        <v>24</v>
      </c>
      <c r="F61" s="4" t="s">
        <v>25</v>
      </c>
      <c r="G61" s="4" t="s">
        <v>25</v>
      </c>
      <c r="H61" s="4" t="s">
        <v>25</v>
      </c>
      <c r="I61" s="5">
        <v>44531</v>
      </c>
      <c r="J61" s="6">
        <v>0</v>
      </c>
      <c r="K61" s="6">
        <v>0</v>
      </c>
      <c r="L61" s="6">
        <v>3.6640000000000001</v>
      </c>
      <c r="M61" s="6">
        <v>3.6640000000000001</v>
      </c>
      <c r="N61" s="6">
        <v>3.6640000000000001</v>
      </c>
      <c r="O61" s="6">
        <v>3.6640000000000001</v>
      </c>
      <c r="P61" s="6">
        <v>14</v>
      </c>
      <c r="Q61" s="4" t="s">
        <v>26</v>
      </c>
      <c r="R61" s="4">
        <v>0</v>
      </c>
      <c r="S61" s="6">
        <v>0</v>
      </c>
      <c r="T61" s="6">
        <v>16</v>
      </c>
      <c r="U61" s="6">
        <v>53</v>
      </c>
      <c r="V61" s="6">
        <f>IF(ISERROR(VLOOKUP($S$61,'TAR FIN'!$A$1:$O$85,15,0)),0,VLOOKUP($S$61,'TAR FIN'!$A$1:$O$85,15,0))</f>
        <v>0</v>
      </c>
      <c r="W61" s="6">
        <f>IF(ISERROR(VLOOKUP($T$61,'TAR FIN'!$A$1:$O$85,15,0)),0,VLOOKUP($T$61,'TAR FIN'!$A$1:$O$85,15,0))</f>
        <v>509.43</v>
      </c>
      <c r="X61" s="6">
        <f>IF(ISERROR(VLOOKUP($U$61,'TAR FIN'!$A$1:$O$85,15,0)),0,VLOOKUP($U$61,'TAR FIN'!$A$1:$O$85,15,0))</f>
        <v>251.85</v>
      </c>
      <c r="Y61" s="6"/>
      <c r="Z61" s="6">
        <f ca="1">('TUSD BE'!$AM$20+'TUSD BF'!$AM$20+'TUSD CVA'!$AM$20)*1</f>
        <v>657.94939927032419</v>
      </c>
      <c r="AA61" s="6">
        <f>('TE BE'!$AA$11+'TE BF'!$AA$11+'TE CVA'!$AA$11)*1</f>
        <v>256.69216484835653</v>
      </c>
      <c r="AB61" s="6">
        <f>$K$61*$V$61</f>
        <v>0</v>
      </c>
      <c r="AC61" s="6">
        <f>$M$61*$W$61</f>
        <v>1866.5515200000002</v>
      </c>
      <c r="AD61" s="6">
        <f>$O$61*$X$61</f>
        <v>922.77840000000003</v>
      </c>
      <c r="AE61" s="6">
        <f>$K$61*$Y$61</f>
        <v>0</v>
      </c>
      <c r="AF61" s="6">
        <f ca="1">$M$61*$Z$61</f>
        <v>2410.7265989264679</v>
      </c>
      <c r="AG61" s="6">
        <f>$O$61*$AA$61</f>
        <v>940.5200920043784</v>
      </c>
    </row>
    <row r="62" spans="1:33" ht="11.25" customHeight="1" x14ac:dyDescent="0.25">
      <c r="A62" s="4" t="s">
        <v>21</v>
      </c>
      <c r="B62" s="4" t="s">
        <v>22</v>
      </c>
      <c r="C62" s="4" t="s">
        <v>23</v>
      </c>
      <c r="D62" s="4" t="s">
        <v>24</v>
      </c>
      <c r="E62" s="4" t="s">
        <v>24</v>
      </c>
      <c r="F62" s="4" t="s">
        <v>25</v>
      </c>
      <c r="G62" s="4" t="s">
        <v>25</v>
      </c>
      <c r="H62" s="4" t="s">
        <v>25</v>
      </c>
      <c r="I62" s="5">
        <v>44562</v>
      </c>
      <c r="J62" s="6">
        <v>0</v>
      </c>
      <c r="K62" s="6">
        <v>0</v>
      </c>
      <c r="L62" s="6">
        <v>217.96</v>
      </c>
      <c r="M62" s="6">
        <v>217.96</v>
      </c>
      <c r="N62" s="6">
        <v>217.96</v>
      </c>
      <c r="O62" s="6">
        <v>217.96</v>
      </c>
      <c r="P62" s="6">
        <v>1996</v>
      </c>
      <c r="Q62" s="4" t="s">
        <v>26</v>
      </c>
      <c r="R62" s="4">
        <v>0</v>
      </c>
      <c r="S62" s="6">
        <v>0</v>
      </c>
      <c r="T62" s="6">
        <v>16</v>
      </c>
      <c r="U62" s="6">
        <v>53</v>
      </c>
      <c r="V62" s="6">
        <f>IF(ISERROR(VLOOKUP($S$62,'TAR FIN'!$A$1:$O$85,15,0)),0,VLOOKUP($S$62,'TAR FIN'!$A$1:$O$85,15,0))</f>
        <v>0</v>
      </c>
      <c r="W62" s="6">
        <f>IF(ISERROR(VLOOKUP($T$62,'TAR FIN'!$A$1:$O$85,15,0)),0,VLOOKUP($T$62,'TAR FIN'!$A$1:$O$85,15,0))</f>
        <v>509.43</v>
      </c>
      <c r="X62" s="6">
        <f>IF(ISERROR(VLOOKUP($U$62,'TAR FIN'!$A$1:$O$85,15,0)),0,VLOOKUP($U$62,'TAR FIN'!$A$1:$O$85,15,0))</f>
        <v>251.85</v>
      </c>
      <c r="Y62" s="6"/>
      <c r="Z62" s="6">
        <f ca="1">('TUSD BE'!$AM$20+'TUSD BF'!$AM$20+'TUSD CVA'!$AM$20)*1</f>
        <v>657.94939927032419</v>
      </c>
      <c r="AA62" s="6">
        <f>('TE BE'!$AA$11+'TE BF'!$AA$11+'TE CVA'!$AA$11)*1</f>
        <v>256.69216484835653</v>
      </c>
      <c r="AB62" s="6">
        <f>$K$62*$V$62</f>
        <v>0</v>
      </c>
      <c r="AC62" s="6">
        <f>$M$62*$W$62</f>
        <v>111035.3628</v>
      </c>
      <c r="AD62" s="6">
        <f>$O$62*$X$62</f>
        <v>54893.226000000002</v>
      </c>
      <c r="AE62" s="6">
        <f>$K$62*$Y$62</f>
        <v>0</v>
      </c>
      <c r="AF62" s="6">
        <f ca="1">$M$62*$Z$62</f>
        <v>143406.65106495988</v>
      </c>
      <c r="AG62" s="6">
        <f>$O$62*$AA$62</f>
        <v>55948.624250347792</v>
      </c>
    </row>
    <row r="63" spans="1:33" ht="11.25" customHeight="1" x14ac:dyDescent="0.25">
      <c r="A63" s="4" t="s">
        <v>27</v>
      </c>
      <c r="B63" s="4" t="s">
        <v>22</v>
      </c>
      <c r="C63" s="4" t="s">
        <v>23</v>
      </c>
      <c r="D63" s="4" t="s">
        <v>24</v>
      </c>
      <c r="E63" s="4" t="s">
        <v>24</v>
      </c>
      <c r="F63" s="4" t="s">
        <v>25</v>
      </c>
      <c r="G63" s="4" t="s">
        <v>25</v>
      </c>
      <c r="H63" s="4" t="s">
        <v>25</v>
      </c>
      <c r="I63" s="5">
        <v>44562</v>
      </c>
      <c r="J63" s="6">
        <v>0</v>
      </c>
      <c r="K63" s="6">
        <v>0</v>
      </c>
      <c r="L63" s="6">
        <v>3.6760000000000002</v>
      </c>
      <c r="M63" s="6">
        <v>3.6760000000000002</v>
      </c>
      <c r="N63" s="6">
        <v>3.6760000000000002</v>
      </c>
      <c r="O63" s="6">
        <v>3.6760000000000002</v>
      </c>
      <c r="P63" s="6">
        <v>16</v>
      </c>
      <c r="Q63" s="4" t="s">
        <v>26</v>
      </c>
      <c r="R63" s="4">
        <v>0</v>
      </c>
      <c r="S63" s="6">
        <v>0</v>
      </c>
      <c r="T63" s="6">
        <v>16</v>
      </c>
      <c r="U63" s="6">
        <v>53</v>
      </c>
      <c r="V63" s="6">
        <f>IF(ISERROR(VLOOKUP($S$63,'TAR FIN'!$A$1:$O$85,15,0)),0,VLOOKUP($S$63,'TAR FIN'!$A$1:$O$85,15,0))</f>
        <v>0</v>
      </c>
      <c r="W63" s="6">
        <f>IF(ISERROR(VLOOKUP($T$63,'TAR FIN'!$A$1:$O$85,15,0)),0,VLOOKUP($T$63,'TAR FIN'!$A$1:$O$85,15,0))</f>
        <v>509.43</v>
      </c>
      <c r="X63" s="6">
        <f>IF(ISERROR(VLOOKUP($U$63,'TAR FIN'!$A$1:$O$85,15,0)),0,VLOOKUP($U$63,'TAR FIN'!$A$1:$O$85,15,0))</f>
        <v>251.85</v>
      </c>
      <c r="Y63" s="6"/>
      <c r="Z63" s="6">
        <f ca="1">('TUSD BE'!$AM$20+'TUSD BF'!$AM$20+'TUSD CVA'!$AM$20)*1</f>
        <v>657.94939927032419</v>
      </c>
      <c r="AA63" s="6">
        <f>('TE BE'!$AA$11+'TE BF'!$AA$11+'TE CVA'!$AA$11)*1</f>
        <v>256.69216484835653</v>
      </c>
      <c r="AB63" s="6">
        <f>$K$63*$V$63</f>
        <v>0</v>
      </c>
      <c r="AC63" s="6">
        <f>$M$63*$W$63</f>
        <v>1872.6646800000001</v>
      </c>
      <c r="AD63" s="6">
        <f>$O$63*$X$63</f>
        <v>925.80060000000003</v>
      </c>
      <c r="AE63" s="6">
        <f>$K$63*$Y$63</f>
        <v>0</v>
      </c>
      <c r="AF63" s="6">
        <f ca="1">$M$63*$Z$63</f>
        <v>2418.6219917177118</v>
      </c>
      <c r="AG63" s="6">
        <f>$O$63*$AA$63</f>
        <v>943.60039798255866</v>
      </c>
    </row>
    <row r="64" spans="1:33" ht="11.25" customHeight="1" x14ac:dyDescent="0.25">
      <c r="A64" s="4" t="s">
        <v>21</v>
      </c>
      <c r="B64" s="4" t="s">
        <v>22</v>
      </c>
      <c r="C64" s="4" t="s">
        <v>23</v>
      </c>
      <c r="D64" s="4" t="s">
        <v>24</v>
      </c>
      <c r="E64" s="4" t="s">
        <v>24</v>
      </c>
      <c r="F64" s="4" t="s">
        <v>25</v>
      </c>
      <c r="G64" s="4" t="s">
        <v>25</v>
      </c>
      <c r="H64" s="4" t="s">
        <v>25</v>
      </c>
      <c r="I64" s="5">
        <v>44593</v>
      </c>
      <c r="J64" s="6">
        <v>0</v>
      </c>
      <c r="K64" s="6">
        <v>0</v>
      </c>
      <c r="L64" s="6">
        <v>202.458</v>
      </c>
      <c r="M64" s="6">
        <v>202.458</v>
      </c>
      <c r="N64" s="6">
        <v>202.458</v>
      </c>
      <c r="O64" s="6">
        <v>202.458</v>
      </c>
      <c r="P64" s="6">
        <v>1842</v>
      </c>
      <c r="Q64" s="4" t="s">
        <v>26</v>
      </c>
      <c r="R64" s="4">
        <v>0</v>
      </c>
      <c r="S64" s="6">
        <v>0</v>
      </c>
      <c r="T64" s="6">
        <v>16</v>
      </c>
      <c r="U64" s="6">
        <v>53</v>
      </c>
      <c r="V64" s="6">
        <f>IF(ISERROR(VLOOKUP($S$64,'TAR FIN'!$A$1:$O$85,15,0)),0,VLOOKUP($S$64,'TAR FIN'!$A$1:$O$85,15,0))</f>
        <v>0</v>
      </c>
      <c r="W64" s="6">
        <f>IF(ISERROR(VLOOKUP($T$64,'TAR FIN'!$A$1:$O$85,15,0)),0,VLOOKUP($T$64,'TAR FIN'!$A$1:$O$85,15,0))</f>
        <v>509.43</v>
      </c>
      <c r="X64" s="6">
        <f>IF(ISERROR(VLOOKUP($U$64,'TAR FIN'!$A$1:$O$85,15,0)),0,VLOOKUP($U$64,'TAR FIN'!$A$1:$O$85,15,0))</f>
        <v>251.85</v>
      </c>
      <c r="Y64" s="6"/>
      <c r="Z64" s="6">
        <f ca="1">('TUSD BE'!$AM$20+'TUSD BF'!$AM$20+'TUSD CVA'!$AM$20)*1</f>
        <v>657.94939927032419</v>
      </c>
      <c r="AA64" s="6">
        <f>('TE BE'!$AA$11+'TE BF'!$AA$11+'TE CVA'!$AA$11)*1</f>
        <v>256.69216484835653</v>
      </c>
      <c r="AB64" s="6">
        <f>$K$64*$V$64</f>
        <v>0</v>
      </c>
      <c r="AC64" s="6">
        <f>$M$64*$W$64</f>
        <v>103138.17894</v>
      </c>
      <c r="AD64" s="6">
        <f>$O$64*$X$64</f>
        <v>50989.047299999998</v>
      </c>
      <c r="AE64" s="6">
        <f>$K$64*$Y$64</f>
        <v>0</v>
      </c>
      <c r="AF64" s="6">
        <f ca="1">$M$64*$Z$64</f>
        <v>133207.11947747131</v>
      </c>
      <c r="AG64" s="6">
        <f>$O$64*$AA$64</f>
        <v>51969.382310868568</v>
      </c>
    </row>
    <row r="65" spans="1:33" ht="11.25" customHeight="1" x14ac:dyDescent="0.25">
      <c r="A65" s="4" t="s">
        <v>27</v>
      </c>
      <c r="B65" s="4" t="s">
        <v>22</v>
      </c>
      <c r="C65" s="4" t="s">
        <v>23</v>
      </c>
      <c r="D65" s="4" t="s">
        <v>24</v>
      </c>
      <c r="E65" s="4" t="s">
        <v>24</v>
      </c>
      <c r="F65" s="4" t="s">
        <v>25</v>
      </c>
      <c r="G65" s="4" t="s">
        <v>25</v>
      </c>
      <c r="H65" s="4" t="s">
        <v>25</v>
      </c>
      <c r="I65" s="5">
        <v>44593</v>
      </c>
      <c r="J65" s="6">
        <v>0</v>
      </c>
      <c r="K65" s="6">
        <v>0</v>
      </c>
      <c r="L65" s="6">
        <v>3.5569999999999999</v>
      </c>
      <c r="M65" s="6">
        <v>3.5569999999999999</v>
      </c>
      <c r="N65" s="6">
        <v>3.5569999999999999</v>
      </c>
      <c r="O65" s="6">
        <v>3.5569999999999999</v>
      </c>
      <c r="P65" s="6">
        <v>16</v>
      </c>
      <c r="Q65" s="4" t="s">
        <v>26</v>
      </c>
      <c r="R65" s="4">
        <v>0</v>
      </c>
      <c r="S65" s="6">
        <v>0</v>
      </c>
      <c r="T65" s="6">
        <v>16</v>
      </c>
      <c r="U65" s="6">
        <v>53</v>
      </c>
      <c r="V65" s="6">
        <f>IF(ISERROR(VLOOKUP($S$65,'TAR FIN'!$A$1:$O$85,15,0)),0,VLOOKUP($S$65,'TAR FIN'!$A$1:$O$85,15,0))</f>
        <v>0</v>
      </c>
      <c r="W65" s="6">
        <f>IF(ISERROR(VLOOKUP($T$65,'TAR FIN'!$A$1:$O$85,15,0)),0,VLOOKUP($T$65,'TAR FIN'!$A$1:$O$85,15,0))</f>
        <v>509.43</v>
      </c>
      <c r="X65" s="6">
        <f>IF(ISERROR(VLOOKUP($U$65,'TAR FIN'!$A$1:$O$85,15,0)),0,VLOOKUP($U$65,'TAR FIN'!$A$1:$O$85,15,0))</f>
        <v>251.85</v>
      </c>
      <c r="Y65" s="6"/>
      <c r="Z65" s="6">
        <f ca="1">('TUSD BE'!$AM$20+'TUSD BF'!$AM$20+'TUSD CVA'!$AM$20)*1</f>
        <v>657.94939927032419</v>
      </c>
      <c r="AA65" s="6">
        <f>('TE BE'!$AA$11+'TE BF'!$AA$11+'TE CVA'!$AA$11)*1</f>
        <v>256.69216484835653</v>
      </c>
      <c r="AB65" s="6">
        <f>$K$65*$V$65</f>
        <v>0</v>
      </c>
      <c r="AC65" s="6">
        <f>$M$65*$W$65</f>
        <v>1812.04251</v>
      </c>
      <c r="AD65" s="6">
        <f>$O$65*$X$65</f>
        <v>895.83044999999993</v>
      </c>
      <c r="AE65" s="6">
        <f>$K$65*$Y$65</f>
        <v>0</v>
      </c>
      <c r="AF65" s="6">
        <f ca="1">$M$65*$Z$65</f>
        <v>2340.326013204543</v>
      </c>
      <c r="AG65" s="6">
        <f>$O$65*$AA$65</f>
        <v>913.05403036560415</v>
      </c>
    </row>
    <row r="66" spans="1:33" ht="11.25" customHeight="1" x14ac:dyDescent="0.25">
      <c r="A66" s="4" t="s">
        <v>21</v>
      </c>
      <c r="B66" s="4" t="s">
        <v>22</v>
      </c>
      <c r="C66" s="4" t="s">
        <v>23</v>
      </c>
      <c r="D66" s="4" t="s">
        <v>24</v>
      </c>
      <c r="E66" s="4" t="s">
        <v>24</v>
      </c>
      <c r="F66" s="4" t="s">
        <v>25</v>
      </c>
      <c r="G66" s="4" t="s">
        <v>25</v>
      </c>
      <c r="H66" s="4" t="s">
        <v>25</v>
      </c>
      <c r="I66" s="5">
        <v>44621</v>
      </c>
      <c r="J66" s="6">
        <v>0</v>
      </c>
      <c r="K66" s="6">
        <v>0</v>
      </c>
      <c r="L66" s="6">
        <v>213.54900000000001</v>
      </c>
      <c r="M66" s="6">
        <v>213.54900000000001</v>
      </c>
      <c r="N66" s="6">
        <v>213.54900000000001</v>
      </c>
      <c r="O66" s="6">
        <v>213.54900000000001</v>
      </c>
      <c r="P66" s="6">
        <v>1834</v>
      </c>
      <c r="Q66" s="4" t="s">
        <v>26</v>
      </c>
      <c r="R66" s="4">
        <v>0</v>
      </c>
      <c r="S66" s="6">
        <v>0</v>
      </c>
      <c r="T66" s="6">
        <v>16</v>
      </c>
      <c r="U66" s="6">
        <v>53</v>
      </c>
      <c r="V66" s="6">
        <f>IF(ISERROR(VLOOKUP($S$66,'TAR FIN'!$A$1:$O$85,15,0)),0,VLOOKUP($S$66,'TAR FIN'!$A$1:$O$85,15,0))</f>
        <v>0</v>
      </c>
      <c r="W66" s="6">
        <f>IF(ISERROR(VLOOKUP($T$66,'TAR FIN'!$A$1:$O$85,15,0)),0,VLOOKUP($T$66,'TAR FIN'!$A$1:$O$85,15,0))</f>
        <v>509.43</v>
      </c>
      <c r="X66" s="6">
        <f>IF(ISERROR(VLOOKUP($U$66,'TAR FIN'!$A$1:$O$85,15,0)),0,VLOOKUP($U$66,'TAR FIN'!$A$1:$O$85,15,0))</f>
        <v>251.85</v>
      </c>
      <c r="Y66" s="6"/>
      <c r="Z66" s="6">
        <f ca="1">('TUSD BE'!$AM$20+'TUSD BF'!$AM$20+'TUSD CVA'!$AM$20)*1</f>
        <v>657.94939927032419</v>
      </c>
      <c r="AA66" s="6">
        <f>('TE BE'!$AA$11+'TE BF'!$AA$11+'TE CVA'!$AA$11)*1</f>
        <v>256.69216484835653</v>
      </c>
      <c r="AB66" s="6">
        <f>$K$66*$V$66</f>
        <v>0</v>
      </c>
      <c r="AC66" s="6">
        <f>$M$66*$W$66</f>
        <v>108788.26707</v>
      </c>
      <c r="AD66" s="6">
        <f>$O$66*$X$66</f>
        <v>53782.315649999997</v>
      </c>
      <c r="AE66" s="6">
        <f>$K$66*$Y$66</f>
        <v>0</v>
      </c>
      <c r="AF66" s="6">
        <f ca="1">$M$66*$Z$66</f>
        <v>140504.43626477846</v>
      </c>
      <c r="AG66" s="6">
        <f>$O$66*$AA$66</f>
        <v>54816.355111201687</v>
      </c>
    </row>
    <row r="67" spans="1:33" ht="11.25" customHeight="1" x14ac:dyDescent="0.25">
      <c r="A67" s="4" t="s">
        <v>27</v>
      </c>
      <c r="B67" s="4" t="s">
        <v>22</v>
      </c>
      <c r="C67" s="4" t="s">
        <v>23</v>
      </c>
      <c r="D67" s="4" t="s">
        <v>24</v>
      </c>
      <c r="E67" s="4" t="s">
        <v>24</v>
      </c>
      <c r="F67" s="4" t="s">
        <v>25</v>
      </c>
      <c r="G67" s="4" t="s">
        <v>25</v>
      </c>
      <c r="H67" s="4" t="s">
        <v>25</v>
      </c>
      <c r="I67" s="5">
        <v>44621</v>
      </c>
      <c r="J67" s="6">
        <v>0</v>
      </c>
      <c r="K67" s="6">
        <v>0</v>
      </c>
      <c r="L67" s="6">
        <v>3.77</v>
      </c>
      <c r="M67" s="6">
        <v>3.77</v>
      </c>
      <c r="N67" s="6">
        <v>3.77</v>
      </c>
      <c r="O67" s="6">
        <v>3.77</v>
      </c>
      <c r="P67" s="6">
        <v>16</v>
      </c>
      <c r="Q67" s="4" t="s">
        <v>26</v>
      </c>
      <c r="R67" s="4">
        <v>0</v>
      </c>
      <c r="S67" s="6">
        <v>0</v>
      </c>
      <c r="T67" s="6">
        <v>16</v>
      </c>
      <c r="U67" s="6">
        <v>53</v>
      </c>
      <c r="V67" s="6">
        <f>IF(ISERROR(VLOOKUP($S$67,'TAR FIN'!$A$1:$O$85,15,0)),0,VLOOKUP($S$67,'TAR FIN'!$A$1:$O$85,15,0))</f>
        <v>0</v>
      </c>
      <c r="W67" s="6">
        <f>IF(ISERROR(VLOOKUP($T$67,'TAR FIN'!$A$1:$O$85,15,0)),0,VLOOKUP($T$67,'TAR FIN'!$A$1:$O$85,15,0))</f>
        <v>509.43</v>
      </c>
      <c r="X67" s="6">
        <f>IF(ISERROR(VLOOKUP($U$67,'TAR FIN'!$A$1:$O$85,15,0)),0,VLOOKUP($U$67,'TAR FIN'!$A$1:$O$85,15,0))</f>
        <v>251.85</v>
      </c>
      <c r="Y67" s="6"/>
      <c r="Z67" s="6">
        <f ca="1">('TUSD BE'!$AM$20+'TUSD BF'!$AM$20+'TUSD CVA'!$AM$20)*1</f>
        <v>657.94939927032419</v>
      </c>
      <c r="AA67" s="6">
        <f>('TE BE'!$AA$11+'TE BF'!$AA$11+'TE CVA'!$AA$11)*1</f>
        <v>256.69216484835653</v>
      </c>
      <c r="AB67" s="6">
        <f>$K$67*$V$67</f>
        <v>0</v>
      </c>
      <c r="AC67" s="6">
        <f>$M$67*$W$67</f>
        <v>1920.5511000000001</v>
      </c>
      <c r="AD67" s="6">
        <f>$O$67*$X$67</f>
        <v>949.47450000000003</v>
      </c>
      <c r="AE67" s="6">
        <f>$K$67*$Y$67</f>
        <v>0</v>
      </c>
      <c r="AF67" s="6">
        <f ca="1">$M$67*$Z$67</f>
        <v>2480.469235249122</v>
      </c>
      <c r="AG67" s="6">
        <f>$O$67*$AA$67</f>
        <v>967.72946147830407</v>
      </c>
    </row>
    <row r="68" spans="1:33" ht="11.25" customHeight="1" x14ac:dyDescent="0.25">
      <c r="A68" s="4" t="s">
        <v>21</v>
      </c>
      <c r="B68" s="4" t="s">
        <v>22</v>
      </c>
      <c r="C68" s="4" t="s">
        <v>23</v>
      </c>
      <c r="D68" s="4" t="s">
        <v>24</v>
      </c>
      <c r="E68" s="4" t="s">
        <v>24</v>
      </c>
      <c r="F68" s="4" t="s">
        <v>25</v>
      </c>
      <c r="G68" s="4" t="s">
        <v>25</v>
      </c>
      <c r="H68" s="4" t="s">
        <v>25</v>
      </c>
      <c r="I68" s="5">
        <v>44652</v>
      </c>
      <c r="J68" s="6">
        <v>0</v>
      </c>
      <c r="K68" s="6">
        <v>0</v>
      </c>
      <c r="L68" s="6">
        <v>204.11</v>
      </c>
      <c r="M68" s="6">
        <v>204.11</v>
      </c>
      <c r="N68" s="6">
        <v>204.11</v>
      </c>
      <c r="O68" s="6">
        <v>204.11</v>
      </c>
      <c r="P68" s="6">
        <v>1822</v>
      </c>
      <c r="Q68" s="4" t="s">
        <v>26</v>
      </c>
      <c r="R68" s="4">
        <v>0</v>
      </c>
      <c r="S68" s="6">
        <v>0</v>
      </c>
      <c r="T68" s="6">
        <v>16</v>
      </c>
      <c r="U68" s="6">
        <v>53</v>
      </c>
      <c r="V68" s="6">
        <f>IF(ISERROR(VLOOKUP($S$68,'TAR FIN'!$A$1:$O$85,15,0)),0,VLOOKUP($S$68,'TAR FIN'!$A$1:$O$85,15,0))</f>
        <v>0</v>
      </c>
      <c r="W68" s="6">
        <f>IF(ISERROR(VLOOKUP($T$68,'TAR FIN'!$A$1:$O$85,15,0)),0,VLOOKUP($T$68,'TAR FIN'!$A$1:$O$85,15,0))</f>
        <v>509.43</v>
      </c>
      <c r="X68" s="6">
        <f>IF(ISERROR(VLOOKUP($U$68,'TAR FIN'!$A$1:$O$85,15,0)),0,VLOOKUP($U$68,'TAR FIN'!$A$1:$O$85,15,0))</f>
        <v>251.85</v>
      </c>
      <c r="Y68" s="6"/>
      <c r="Z68" s="6">
        <f ca="1">('TUSD BE'!$AM$20+'TUSD BF'!$AM$20+'TUSD CVA'!$AM$20)*1</f>
        <v>657.94939927032419</v>
      </c>
      <c r="AA68" s="6">
        <f>('TE BE'!$AA$11+'TE BF'!$AA$11+'TE CVA'!$AA$11)*1</f>
        <v>256.69216484835653</v>
      </c>
      <c r="AB68" s="6">
        <f>$K$68*$V$68</f>
        <v>0</v>
      </c>
      <c r="AC68" s="6">
        <f>$M$68*$W$68</f>
        <v>103979.75730000001</v>
      </c>
      <c r="AD68" s="6">
        <f>$O$68*$X$68</f>
        <v>51405.103500000005</v>
      </c>
      <c r="AE68" s="6">
        <f>$K$68*$Y$68</f>
        <v>0</v>
      </c>
      <c r="AF68" s="6">
        <f ca="1">$M$68*$Z$68</f>
        <v>134294.05188506588</v>
      </c>
      <c r="AG68" s="6">
        <f>$O$68*$AA$68</f>
        <v>52393.437767198055</v>
      </c>
    </row>
    <row r="69" spans="1:33" ht="11.25" customHeight="1" x14ac:dyDescent="0.25">
      <c r="A69" s="4" t="s">
        <v>27</v>
      </c>
      <c r="B69" s="4" t="s">
        <v>22</v>
      </c>
      <c r="C69" s="4" t="s">
        <v>23</v>
      </c>
      <c r="D69" s="4" t="s">
        <v>24</v>
      </c>
      <c r="E69" s="4" t="s">
        <v>24</v>
      </c>
      <c r="F69" s="4" t="s">
        <v>25</v>
      </c>
      <c r="G69" s="4" t="s">
        <v>25</v>
      </c>
      <c r="H69" s="4" t="s">
        <v>25</v>
      </c>
      <c r="I69" s="5">
        <v>44652</v>
      </c>
      <c r="J69" s="6">
        <v>0</v>
      </c>
      <c r="K69" s="6">
        <v>0</v>
      </c>
      <c r="L69" s="6">
        <v>3.931</v>
      </c>
      <c r="M69" s="6">
        <v>3.931</v>
      </c>
      <c r="N69" s="6">
        <v>3.931</v>
      </c>
      <c r="O69" s="6">
        <v>3.931</v>
      </c>
      <c r="P69" s="6">
        <v>17</v>
      </c>
      <c r="Q69" s="4" t="s">
        <v>26</v>
      </c>
      <c r="R69" s="4">
        <v>0</v>
      </c>
      <c r="S69" s="6">
        <v>0</v>
      </c>
      <c r="T69" s="6">
        <v>16</v>
      </c>
      <c r="U69" s="6">
        <v>53</v>
      </c>
      <c r="V69" s="6">
        <f>IF(ISERROR(VLOOKUP($S$69,'TAR FIN'!$A$1:$O$85,15,0)),0,VLOOKUP($S$69,'TAR FIN'!$A$1:$O$85,15,0))</f>
        <v>0</v>
      </c>
      <c r="W69" s="6">
        <f>IF(ISERROR(VLOOKUP($T$69,'TAR FIN'!$A$1:$O$85,15,0)),0,VLOOKUP($T$69,'TAR FIN'!$A$1:$O$85,15,0))</f>
        <v>509.43</v>
      </c>
      <c r="X69" s="6">
        <f>IF(ISERROR(VLOOKUP($U$69,'TAR FIN'!$A$1:$O$85,15,0)),0,VLOOKUP($U$69,'TAR FIN'!$A$1:$O$85,15,0))</f>
        <v>251.85</v>
      </c>
      <c r="Y69" s="6"/>
      <c r="Z69" s="6">
        <f ca="1">('TUSD BE'!$AM$20+'TUSD BF'!$AM$20+'TUSD CVA'!$AM$20)*1</f>
        <v>657.94939927032419</v>
      </c>
      <c r="AA69" s="6">
        <f>('TE BE'!$AA$11+'TE BF'!$AA$11+'TE CVA'!$AA$11)*1</f>
        <v>256.69216484835653</v>
      </c>
      <c r="AB69" s="6">
        <f>$K$69*$V$69</f>
        <v>0</v>
      </c>
      <c r="AC69" s="6">
        <f>$M$69*$W$69</f>
        <v>2002.56933</v>
      </c>
      <c r="AD69" s="6">
        <f>$O$69*$X$69</f>
        <v>990.02234999999996</v>
      </c>
      <c r="AE69" s="6">
        <f>$K$69*$Y$69</f>
        <v>0</v>
      </c>
      <c r="AF69" s="6">
        <f ca="1">$M$69*$Z$69</f>
        <v>2586.3990885316443</v>
      </c>
      <c r="AG69" s="6">
        <f>$O$69*$AA$69</f>
        <v>1009.0569000188896</v>
      </c>
    </row>
    <row r="70" spans="1:33" ht="11.25" customHeight="1" x14ac:dyDescent="0.25">
      <c r="A70" s="4" t="s">
        <v>21</v>
      </c>
      <c r="B70" s="4" t="s">
        <v>22</v>
      </c>
      <c r="C70" s="4" t="s">
        <v>23</v>
      </c>
      <c r="D70" s="4" t="s">
        <v>24</v>
      </c>
      <c r="E70" s="4" t="s">
        <v>28</v>
      </c>
      <c r="F70" s="4" t="s">
        <v>25</v>
      </c>
      <c r="G70" s="4" t="s">
        <v>25</v>
      </c>
      <c r="H70" s="4" t="s">
        <v>25</v>
      </c>
      <c r="I70" s="5">
        <v>44317</v>
      </c>
      <c r="J70" s="6">
        <v>0</v>
      </c>
      <c r="K70" s="6">
        <v>0</v>
      </c>
      <c r="L70" s="6">
        <v>59.46</v>
      </c>
      <c r="M70" s="6">
        <v>59.46</v>
      </c>
      <c r="N70" s="6">
        <v>59.46</v>
      </c>
      <c r="O70" s="6">
        <v>59.46</v>
      </c>
      <c r="P70" s="6">
        <v>128</v>
      </c>
      <c r="Q70" s="4" t="s">
        <v>26</v>
      </c>
      <c r="R70" s="4">
        <v>0</v>
      </c>
      <c r="S70" s="6">
        <v>0</v>
      </c>
      <c r="T70" s="6">
        <v>17</v>
      </c>
      <c r="U70" s="6">
        <v>54</v>
      </c>
      <c r="V70" s="6">
        <f>IF(ISERROR(VLOOKUP($S$70,'TAR FIN'!$A$1:$O$85,15,0)),0,VLOOKUP($S$70,'TAR FIN'!$A$1:$O$85,15,0))</f>
        <v>0</v>
      </c>
      <c r="W70" s="6">
        <f>IF(ISERROR(VLOOKUP($T$70,'TAR FIN'!$A$1:$O$85,15,0)),0,VLOOKUP($T$70,'TAR FIN'!$A$1:$O$85,15,0))</f>
        <v>166.1</v>
      </c>
      <c r="X70" s="6">
        <f>IF(ISERROR(VLOOKUP($U$70,'TAR FIN'!$A$1:$O$85,15,0)),0,VLOOKUP($U$70,'TAR FIN'!$A$1:$O$85,15,0))</f>
        <v>88.15</v>
      </c>
      <c r="Y70" s="6"/>
      <c r="Z70" s="6">
        <f ca="1">('TUSD BE'!$AM$21+'TUSD BF'!$AM$21+'TUSD CVA'!$AM$21-('TUSD BE'!$P$21+'TUSD BF'!$P$21+'TUSD CVA'!$P$21)-('TUSD BE'!$Q$21+'TUSD BF'!$Q$21+'TUSD CVA'!$Q$21)-('TUSD BE'!$R$21+'TUSD BF'!$R$21+'TUSD CVA'!$R$21))*(1-CUSTOS!$M$34)</f>
        <v>210.78488841905764</v>
      </c>
      <c r="AA70" s="6">
        <f>('TE BE'!$AA$12+'TE BF'!$AA$12+'TE CVA'!$AA$12)*(1-CUSTOS!$M$34)</f>
        <v>89.842257696924776</v>
      </c>
      <c r="AB70" s="6">
        <f>$K$70*$V$70</f>
        <v>0</v>
      </c>
      <c r="AC70" s="6">
        <f>$M$70*$W$70</f>
        <v>9876.3060000000005</v>
      </c>
      <c r="AD70" s="6">
        <f>$O$70*$X$70</f>
        <v>5241.3990000000003</v>
      </c>
      <c r="AE70" s="6">
        <f>$K$70*$Y$70</f>
        <v>0</v>
      </c>
      <c r="AF70" s="6">
        <f ca="1">$M$70*$Z$70</f>
        <v>12533.269465397167</v>
      </c>
      <c r="AG70" s="6">
        <f>$O$70*$AA$70</f>
        <v>5342.0206426591476</v>
      </c>
    </row>
    <row r="71" spans="1:33" ht="11.25" customHeight="1" x14ac:dyDescent="0.25">
      <c r="A71" s="4" t="s">
        <v>21</v>
      </c>
      <c r="B71" s="4" t="s">
        <v>22</v>
      </c>
      <c r="C71" s="4" t="s">
        <v>23</v>
      </c>
      <c r="D71" s="4" t="s">
        <v>24</v>
      </c>
      <c r="E71" s="4" t="s">
        <v>28</v>
      </c>
      <c r="F71" s="4" t="s">
        <v>25</v>
      </c>
      <c r="G71" s="4" t="s">
        <v>25</v>
      </c>
      <c r="H71" s="4" t="s">
        <v>25</v>
      </c>
      <c r="I71" s="5">
        <v>44348</v>
      </c>
      <c r="J71" s="6">
        <v>0</v>
      </c>
      <c r="K71" s="6">
        <v>0</v>
      </c>
      <c r="L71" s="6">
        <v>59.97</v>
      </c>
      <c r="M71" s="6">
        <v>59.97</v>
      </c>
      <c r="N71" s="6">
        <v>59.97</v>
      </c>
      <c r="O71" s="6">
        <v>59.97</v>
      </c>
      <c r="P71" s="6">
        <v>145</v>
      </c>
      <c r="Q71" s="4" t="s">
        <v>26</v>
      </c>
      <c r="R71" s="4">
        <v>0</v>
      </c>
      <c r="S71" s="6">
        <v>0</v>
      </c>
      <c r="T71" s="6">
        <v>17</v>
      </c>
      <c r="U71" s="6">
        <v>54</v>
      </c>
      <c r="V71" s="6">
        <f>IF(ISERROR(VLOOKUP($S$71,'TAR FIN'!$A$1:$O$85,15,0)),0,VLOOKUP($S$71,'TAR FIN'!$A$1:$O$85,15,0))</f>
        <v>0</v>
      </c>
      <c r="W71" s="6">
        <f>IF(ISERROR(VLOOKUP($T$71,'TAR FIN'!$A$1:$O$85,15,0)),0,VLOOKUP($T$71,'TAR FIN'!$A$1:$O$85,15,0))</f>
        <v>166.1</v>
      </c>
      <c r="X71" s="6">
        <f>IF(ISERROR(VLOOKUP($U$71,'TAR FIN'!$A$1:$O$85,15,0)),0,VLOOKUP($U$71,'TAR FIN'!$A$1:$O$85,15,0))</f>
        <v>88.15</v>
      </c>
      <c r="Y71" s="6"/>
      <c r="Z71" s="6">
        <f ca="1">('TUSD BE'!$AM$21+'TUSD BF'!$AM$21+'TUSD CVA'!$AM$21-('TUSD BE'!$P$21+'TUSD BF'!$P$21+'TUSD CVA'!$P$21)-('TUSD BE'!$Q$21+'TUSD BF'!$Q$21+'TUSD CVA'!$Q$21)-('TUSD BE'!$R$21+'TUSD BF'!$R$21+'TUSD CVA'!$R$21))*(1-CUSTOS!$M$34)</f>
        <v>210.78488841905764</v>
      </c>
      <c r="AA71" s="6">
        <f>('TE BE'!$AA$12+'TE BF'!$AA$12+'TE CVA'!$AA$12)*(1-CUSTOS!$M$34)</f>
        <v>89.842257696924776</v>
      </c>
      <c r="AB71" s="6">
        <f>$K$71*$V$71</f>
        <v>0</v>
      </c>
      <c r="AC71" s="6">
        <f>$M$71*$W$71</f>
        <v>9961.0169999999998</v>
      </c>
      <c r="AD71" s="6">
        <f>$O$71*$X$71</f>
        <v>5286.3555000000006</v>
      </c>
      <c r="AE71" s="6">
        <f>$K$71*$Y$71</f>
        <v>0</v>
      </c>
      <c r="AF71" s="6">
        <f ca="1">$M$71*$Z$71</f>
        <v>12640.769758490886</v>
      </c>
      <c r="AG71" s="6">
        <f>$O$71*$AA$71</f>
        <v>5387.8401940845788</v>
      </c>
    </row>
    <row r="72" spans="1:33" ht="11.25" customHeight="1" x14ac:dyDescent="0.25">
      <c r="A72" s="4" t="s">
        <v>21</v>
      </c>
      <c r="B72" s="4" t="s">
        <v>22</v>
      </c>
      <c r="C72" s="4" t="s">
        <v>23</v>
      </c>
      <c r="D72" s="4" t="s">
        <v>24</v>
      </c>
      <c r="E72" s="4" t="s">
        <v>28</v>
      </c>
      <c r="F72" s="4" t="s">
        <v>25</v>
      </c>
      <c r="G72" s="4" t="s">
        <v>25</v>
      </c>
      <c r="H72" s="4" t="s">
        <v>25</v>
      </c>
      <c r="I72" s="5">
        <v>44378</v>
      </c>
      <c r="J72" s="6">
        <v>0</v>
      </c>
      <c r="K72" s="6">
        <v>0</v>
      </c>
      <c r="L72" s="6">
        <v>60.3</v>
      </c>
      <c r="M72" s="6">
        <v>60.3</v>
      </c>
      <c r="N72" s="6">
        <v>60.3</v>
      </c>
      <c r="O72" s="6">
        <v>60.3</v>
      </c>
      <c r="P72" s="6">
        <v>148</v>
      </c>
      <c r="Q72" s="4" t="s">
        <v>26</v>
      </c>
      <c r="R72" s="4">
        <v>0</v>
      </c>
      <c r="S72" s="6">
        <v>0</v>
      </c>
      <c r="T72" s="6">
        <v>17</v>
      </c>
      <c r="U72" s="6">
        <v>54</v>
      </c>
      <c r="V72" s="6">
        <f>IF(ISERROR(VLOOKUP($S$72,'TAR FIN'!$A$1:$O$85,15,0)),0,VLOOKUP($S$72,'TAR FIN'!$A$1:$O$85,15,0))</f>
        <v>0</v>
      </c>
      <c r="W72" s="6">
        <f>IF(ISERROR(VLOOKUP($T$72,'TAR FIN'!$A$1:$O$85,15,0)),0,VLOOKUP($T$72,'TAR FIN'!$A$1:$O$85,15,0))</f>
        <v>166.1</v>
      </c>
      <c r="X72" s="6">
        <f>IF(ISERROR(VLOOKUP($U$72,'TAR FIN'!$A$1:$O$85,15,0)),0,VLOOKUP($U$72,'TAR FIN'!$A$1:$O$85,15,0))</f>
        <v>88.15</v>
      </c>
      <c r="Y72" s="6"/>
      <c r="Z72" s="6">
        <f ca="1">('TUSD BE'!$AM$21+'TUSD BF'!$AM$21+'TUSD CVA'!$AM$21-('TUSD BE'!$P$21+'TUSD BF'!$P$21+'TUSD CVA'!$P$21)-('TUSD BE'!$Q$21+'TUSD BF'!$Q$21+'TUSD CVA'!$Q$21)-('TUSD BE'!$R$21+'TUSD BF'!$R$21+'TUSD CVA'!$R$21))*(1-CUSTOS!$M$34)</f>
        <v>210.78488841905764</v>
      </c>
      <c r="AA72" s="6">
        <f>('TE BE'!$AA$12+'TE BF'!$AA$12+'TE CVA'!$AA$12)*(1-CUSTOS!$M$34)</f>
        <v>89.842257696924776</v>
      </c>
      <c r="AB72" s="6">
        <f>$K$72*$V$72</f>
        <v>0</v>
      </c>
      <c r="AC72" s="6">
        <f>$M$72*$W$72</f>
        <v>10015.83</v>
      </c>
      <c r="AD72" s="6">
        <f>$O$72*$X$72</f>
        <v>5315.4449999999997</v>
      </c>
      <c r="AE72" s="6">
        <f>$K$72*$Y$72</f>
        <v>0</v>
      </c>
      <c r="AF72" s="6">
        <f ca="1">$M$72*$Z$72</f>
        <v>12710.328771669176</v>
      </c>
      <c r="AG72" s="6">
        <f>$O$72*$AA$72</f>
        <v>5417.4881391245635</v>
      </c>
    </row>
    <row r="73" spans="1:33" ht="11.25" customHeight="1" x14ac:dyDescent="0.25">
      <c r="A73" s="4" t="s">
        <v>21</v>
      </c>
      <c r="B73" s="4" t="s">
        <v>22</v>
      </c>
      <c r="C73" s="4" t="s">
        <v>23</v>
      </c>
      <c r="D73" s="4" t="s">
        <v>24</v>
      </c>
      <c r="E73" s="4" t="s">
        <v>28</v>
      </c>
      <c r="F73" s="4" t="s">
        <v>25</v>
      </c>
      <c r="G73" s="4" t="s">
        <v>25</v>
      </c>
      <c r="H73" s="4" t="s">
        <v>25</v>
      </c>
      <c r="I73" s="5">
        <v>44409</v>
      </c>
      <c r="J73" s="6">
        <v>0</v>
      </c>
      <c r="K73" s="6">
        <v>0</v>
      </c>
      <c r="L73" s="6">
        <v>60.9</v>
      </c>
      <c r="M73" s="6">
        <v>60.9</v>
      </c>
      <c r="N73" s="6">
        <v>60.9</v>
      </c>
      <c r="O73" s="6">
        <v>60.9</v>
      </c>
      <c r="P73" s="6">
        <v>150</v>
      </c>
      <c r="Q73" s="4" t="s">
        <v>26</v>
      </c>
      <c r="R73" s="4">
        <v>0</v>
      </c>
      <c r="S73" s="6">
        <v>0</v>
      </c>
      <c r="T73" s="6">
        <v>17</v>
      </c>
      <c r="U73" s="6">
        <v>54</v>
      </c>
      <c r="V73" s="6">
        <f>IF(ISERROR(VLOOKUP($S$73,'TAR FIN'!$A$1:$O$85,15,0)),0,VLOOKUP($S$73,'TAR FIN'!$A$1:$O$85,15,0))</f>
        <v>0</v>
      </c>
      <c r="W73" s="6">
        <f>IF(ISERROR(VLOOKUP($T$73,'TAR FIN'!$A$1:$O$85,15,0)),0,VLOOKUP($T$73,'TAR FIN'!$A$1:$O$85,15,0))</f>
        <v>166.1</v>
      </c>
      <c r="X73" s="6">
        <f>IF(ISERROR(VLOOKUP($U$73,'TAR FIN'!$A$1:$O$85,15,0)),0,VLOOKUP($U$73,'TAR FIN'!$A$1:$O$85,15,0))</f>
        <v>88.15</v>
      </c>
      <c r="Y73" s="6"/>
      <c r="Z73" s="6">
        <f ca="1">('TUSD BE'!$AM$21+'TUSD BF'!$AM$21+'TUSD CVA'!$AM$21-('TUSD BE'!$P$21+'TUSD BF'!$P$21+'TUSD CVA'!$P$21)-('TUSD BE'!$Q$21+'TUSD BF'!$Q$21+'TUSD CVA'!$Q$21)-('TUSD BE'!$R$21+'TUSD BF'!$R$21+'TUSD CVA'!$R$21))*(1-CUSTOS!$M$34)</f>
        <v>210.78488841905764</v>
      </c>
      <c r="AA73" s="6">
        <f>('TE BE'!$AA$12+'TE BF'!$AA$12+'TE CVA'!$AA$12)*(1-CUSTOS!$M$34)</f>
        <v>89.842257696924776</v>
      </c>
      <c r="AB73" s="6">
        <f>$K$73*$V$73</f>
        <v>0</v>
      </c>
      <c r="AC73" s="6">
        <f>$M$73*$W$73</f>
        <v>10115.49</v>
      </c>
      <c r="AD73" s="6">
        <f>$O$73*$X$73</f>
        <v>5368.335</v>
      </c>
      <c r="AE73" s="6">
        <f>$K$73*$Y$73</f>
        <v>0</v>
      </c>
      <c r="AF73" s="6">
        <f ca="1">$M$73*$Z$73</f>
        <v>12836.79970472061</v>
      </c>
      <c r="AG73" s="6">
        <f>$O$73*$AA$73</f>
        <v>5471.3934937427184</v>
      </c>
    </row>
    <row r="74" spans="1:33" ht="11.25" customHeight="1" x14ac:dyDescent="0.25">
      <c r="A74" s="4" t="s">
        <v>21</v>
      </c>
      <c r="B74" s="4" t="s">
        <v>22</v>
      </c>
      <c r="C74" s="4" t="s">
        <v>23</v>
      </c>
      <c r="D74" s="4" t="s">
        <v>24</v>
      </c>
      <c r="E74" s="4" t="s">
        <v>28</v>
      </c>
      <c r="F74" s="4" t="s">
        <v>25</v>
      </c>
      <c r="G74" s="4" t="s">
        <v>25</v>
      </c>
      <c r="H74" s="4" t="s">
        <v>25</v>
      </c>
      <c r="I74" s="5">
        <v>44440</v>
      </c>
      <c r="J74" s="6">
        <v>0</v>
      </c>
      <c r="K74" s="6">
        <v>0</v>
      </c>
      <c r="L74" s="6">
        <v>61.23</v>
      </c>
      <c r="M74" s="6">
        <v>61.23</v>
      </c>
      <c r="N74" s="6">
        <v>61.23</v>
      </c>
      <c r="O74" s="6">
        <v>61.23</v>
      </c>
      <c r="P74" s="6">
        <v>138</v>
      </c>
      <c r="Q74" s="4" t="s">
        <v>26</v>
      </c>
      <c r="R74" s="4">
        <v>0</v>
      </c>
      <c r="S74" s="6">
        <v>0</v>
      </c>
      <c r="T74" s="6">
        <v>17</v>
      </c>
      <c r="U74" s="6">
        <v>54</v>
      </c>
      <c r="V74" s="6">
        <f>IF(ISERROR(VLOOKUP($S$74,'TAR FIN'!$A$1:$O$85,15,0)),0,VLOOKUP($S$74,'TAR FIN'!$A$1:$O$85,15,0))</f>
        <v>0</v>
      </c>
      <c r="W74" s="6">
        <f>IF(ISERROR(VLOOKUP($T$74,'TAR FIN'!$A$1:$O$85,15,0)),0,VLOOKUP($T$74,'TAR FIN'!$A$1:$O$85,15,0))</f>
        <v>166.1</v>
      </c>
      <c r="X74" s="6">
        <f>IF(ISERROR(VLOOKUP($U$74,'TAR FIN'!$A$1:$O$85,15,0)),0,VLOOKUP($U$74,'TAR FIN'!$A$1:$O$85,15,0))</f>
        <v>88.15</v>
      </c>
      <c r="Y74" s="6"/>
      <c r="Z74" s="6">
        <f ca="1">('TUSD BE'!$AM$21+'TUSD BF'!$AM$21+'TUSD CVA'!$AM$21-('TUSD BE'!$P$21+'TUSD BF'!$P$21+'TUSD CVA'!$P$21)-('TUSD BE'!$Q$21+'TUSD BF'!$Q$21+'TUSD CVA'!$Q$21)-('TUSD BE'!$R$21+'TUSD BF'!$R$21+'TUSD CVA'!$R$21))*(1-CUSTOS!$M$34)</f>
        <v>210.78488841905764</v>
      </c>
      <c r="AA74" s="6">
        <f>('TE BE'!$AA$12+'TE BF'!$AA$12+'TE CVA'!$AA$12)*(1-CUSTOS!$M$34)</f>
        <v>89.842257696924776</v>
      </c>
      <c r="AB74" s="6">
        <f>$K$74*$V$74</f>
        <v>0</v>
      </c>
      <c r="AC74" s="6">
        <f>$M$74*$W$74</f>
        <v>10170.303</v>
      </c>
      <c r="AD74" s="6">
        <f>$O$74*$X$74</f>
        <v>5397.4245000000001</v>
      </c>
      <c r="AE74" s="6">
        <f>$K$74*$Y$74</f>
        <v>0</v>
      </c>
      <c r="AF74" s="6">
        <f ca="1">$M$74*$Z$74</f>
        <v>12906.358717898898</v>
      </c>
      <c r="AG74" s="6">
        <f>$O$74*$AA$74</f>
        <v>5501.0414387827041</v>
      </c>
    </row>
    <row r="75" spans="1:33" ht="11.25" customHeight="1" x14ac:dyDescent="0.25">
      <c r="A75" s="4" t="s">
        <v>21</v>
      </c>
      <c r="B75" s="4" t="s">
        <v>22</v>
      </c>
      <c r="C75" s="4" t="s">
        <v>23</v>
      </c>
      <c r="D75" s="4" t="s">
        <v>24</v>
      </c>
      <c r="E75" s="4" t="s">
        <v>28</v>
      </c>
      <c r="F75" s="4" t="s">
        <v>25</v>
      </c>
      <c r="G75" s="4" t="s">
        <v>25</v>
      </c>
      <c r="H75" s="4" t="s">
        <v>25</v>
      </c>
      <c r="I75" s="5">
        <v>44470</v>
      </c>
      <c r="J75" s="6">
        <v>0</v>
      </c>
      <c r="K75" s="6">
        <v>0</v>
      </c>
      <c r="L75" s="6">
        <v>61.98</v>
      </c>
      <c r="M75" s="6">
        <v>61.98</v>
      </c>
      <c r="N75" s="6">
        <v>61.98</v>
      </c>
      <c r="O75" s="6">
        <v>61.98</v>
      </c>
      <c r="P75" s="6">
        <v>150</v>
      </c>
      <c r="Q75" s="4" t="s">
        <v>26</v>
      </c>
      <c r="R75" s="4">
        <v>0</v>
      </c>
      <c r="S75" s="6">
        <v>0</v>
      </c>
      <c r="T75" s="6">
        <v>17</v>
      </c>
      <c r="U75" s="6">
        <v>54</v>
      </c>
      <c r="V75" s="6">
        <f>IF(ISERROR(VLOOKUP($S$75,'TAR FIN'!$A$1:$O$85,15,0)),0,VLOOKUP($S$75,'TAR FIN'!$A$1:$O$85,15,0))</f>
        <v>0</v>
      </c>
      <c r="W75" s="6">
        <f>IF(ISERROR(VLOOKUP($T$75,'TAR FIN'!$A$1:$O$85,15,0)),0,VLOOKUP($T$75,'TAR FIN'!$A$1:$O$85,15,0))</f>
        <v>166.1</v>
      </c>
      <c r="X75" s="6">
        <f>IF(ISERROR(VLOOKUP($U$75,'TAR FIN'!$A$1:$O$85,15,0)),0,VLOOKUP($U$75,'TAR FIN'!$A$1:$O$85,15,0))</f>
        <v>88.15</v>
      </c>
      <c r="Y75" s="6"/>
      <c r="Z75" s="6">
        <f ca="1">('TUSD BE'!$AM$21+'TUSD BF'!$AM$21+'TUSD CVA'!$AM$21-('TUSD BE'!$P$21+'TUSD BF'!$P$21+'TUSD CVA'!$P$21)-('TUSD BE'!$Q$21+'TUSD BF'!$Q$21+'TUSD CVA'!$Q$21)-('TUSD BE'!$R$21+'TUSD BF'!$R$21+'TUSD CVA'!$R$21))*(1-CUSTOS!$M$34)</f>
        <v>210.78488841905764</v>
      </c>
      <c r="AA75" s="6">
        <f>('TE BE'!$AA$12+'TE BF'!$AA$12+'TE CVA'!$AA$12)*(1-CUSTOS!$M$34)</f>
        <v>89.842257696924776</v>
      </c>
      <c r="AB75" s="6">
        <f>$K$75*$V$75</f>
        <v>0</v>
      </c>
      <c r="AC75" s="6">
        <f>$M$75*$W$75</f>
        <v>10294.877999999999</v>
      </c>
      <c r="AD75" s="6">
        <f>$O$75*$X$75</f>
        <v>5463.5370000000003</v>
      </c>
      <c r="AE75" s="6">
        <f>$K$75*$Y$75</f>
        <v>0</v>
      </c>
      <c r="AF75" s="6">
        <f ca="1">$M$75*$Z$75</f>
        <v>13064.447384213192</v>
      </c>
      <c r="AG75" s="6">
        <f>$O$75*$AA$75</f>
        <v>5568.4231320553972</v>
      </c>
    </row>
    <row r="76" spans="1:33" ht="11.25" customHeight="1" x14ac:dyDescent="0.25">
      <c r="A76" s="4" t="s">
        <v>21</v>
      </c>
      <c r="B76" s="4" t="s">
        <v>22</v>
      </c>
      <c r="C76" s="4" t="s">
        <v>23</v>
      </c>
      <c r="D76" s="4" t="s">
        <v>24</v>
      </c>
      <c r="E76" s="4" t="s">
        <v>28</v>
      </c>
      <c r="F76" s="4" t="s">
        <v>25</v>
      </c>
      <c r="G76" s="4" t="s">
        <v>25</v>
      </c>
      <c r="H76" s="4" t="s">
        <v>25</v>
      </c>
      <c r="I76" s="5">
        <v>44501</v>
      </c>
      <c r="J76" s="6">
        <v>0</v>
      </c>
      <c r="K76" s="6">
        <v>0</v>
      </c>
      <c r="L76" s="6">
        <v>62.91</v>
      </c>
      <c r="M76" s="6">
        <v>62.91</v>
      </c>
      <c r="N76" s="6">
        <v>62.91</v>
      </c>
      <c r="O76" s="6">
        <v>62.91</v>
      </c>
      <c r="P76" s="6">
        <v>133</v>
      </c>
      <c r="Q76" s="4" t="s">
        <v>26</v>
      </c>
      <c r="R76" s="4">
        <v>0</v>
      </c>
      <c r="S76" s="6">
        <v>0</v>
      </c>
      <c r="T76" s="6">
        <v>17</v>
      </c>
      <c r="U76" s="6">
        <v>54</v>
      </c>
      <c r="V76" s="6">
        <f>IF(ISERROR(VLOOKUP($S$76,'TAR FIN'!$A$1:$O$85,15,0)),0,VLOOKUP($S$76,'TAR FIN'!$A$1:$O$85,15,0))</f>
        <v>0</v>
      </c>
      <c r="W76" s="6">
        <f>IF(ISERROR(VLOOKUP($T$76,'TAR FIN'!$A$1:$O$85,15,0)),0,VLOOKUP($T$76,'TAR FIN'!$A$1:$O$85,15,0))</f>
        <v>166.1</v>
      </c>
      <c r="X76" s="6">
        <f>IF(ISERROR(VLOOKUP($U$76,'TAR FIN'!$A$1:$O$85,15,0)),0,VLOOKUP($U$76,'TAR FIN'!$A$1:$O$85,15,0))</f>
        <v>88.15</v>
      </c>
      <c r="Y76" s="6"/>
      <c r="Z76" s="6">
        <f ca="1">('TUSD BE'!$AM$21+'TUSD BF'!$AM$21+'TUSD CVA'!$AM$21-('TUSD BE'!$P$21+'TUSD BF'!$P$21+'TUSD CVA'!$P$21)-('TUSD BE'!$Q$21+'TUSD BF'!$Q$21+'TUSD CVA'!$Q$21)-('TUSD BE'!$R$21+'TUSD BF'!$R$21+'TUSD CVA'!$R$21))*(1-CUSTOS!$M$34)</f>
        <v>210.78488841905764</v>
      </c>
      <c r="AA76" s="6">
        <f>('TE BE'!$AA$12+'TE BF'!$AA$12+'TE CVA'!$AA$12)*(1-CUSTOS!$M$34)</f>
        <v>89.842257696924776</v>
      </c>
      <c r="AB76" s="6">
        <f>$K$76*$V$76</f>
        <v>0</v>
      </c>
      <c r="AC76" s="6">
        <f>$M$76*$W$76</f>
        <v>10449.350999999999</v>
      </c>
      <c r="AD76" s="6">
        <f>$O$76*$X$76</f>
        <v>5545.5164999999997</v>
      </c>
      <c r="AE76" s="6">
        <f>$K$76*$Y$76</f>
        <v>0</v>
      </c>
      <c r="AF76" s="6">
        <f ca="1">$M$76*$Z$76</f>
        <v>13260.477330442915</v>
      </c>
      <c r="AG76" s="6">
        <f>$O$76*$AA$76</f>
        <v>5651.9764317135377</v>
      </c>
    </row>
    <row r="77" spans="1:33" ht="11.25" customHeight="1" x14ac:dyDescent="0.25">
      <c r="A77" s="4" t="s">
        <v>21</v>
      </c>
      <c r="B77" s="4" t="s">
        <v>22</v>
      </c>
      <c r="C77" s="4" t="s">
        <v>23</v>
      </c>
      <c r="D77" s="4" t="s">
        <v>24</v>
      </c>
      <c r="E77" s="4" t="s">
        <v>28</v>
      </c>
      <c r="F77" s="4" t="s">
        <v>25</v>
      </c>
      <c r="G77" s="4" t="s">
        <v>25</v>
      </c>
      <c r="H77" s="4" t="s">
        <v>25</v>
      </c>
      <c r="I77" s="5">
        <v>44531</v>
      </c>
      <c r="J77" s="6">
        <v>0</v>
      </c>
      <c r="K77" s="6">
        <v>0</v>
      </c>
      <c r="L77" s="6">
        <v>64.77</v>
      </c>
      <c r="M77" s="6">
        <v>64.77</v>
      </c>
      <c r="N77" s="6">
        <v>64.77</v>
      </c>
      <c r="O77" s="6">
        <v>64.77</v>
      </c>
      <c r="P77" s="6">
        <v>151</v>
      </c>
      <c r="Q77" s="4" t="s">
        <v>26</v>
      </c>
      <c r="R77" s="4">
        <v>0</v>
      </c>
      <c r="S77" s="6">
        <v>0</v>
      </c>
      <c r="T77" s="6">
        <v>17</v>
      </c>
      <c r="U77" s="6">
        <v>54</v>
      </c>
      <c r="V77" s="6">
        <f>IF(ISERROR(VLOOKUP($S$77,'TAR FIN'!$A$1:$O$85,15,0)),0,VLOOKUP($S$77,'TAR FIN'!$A$1:$O$85,15,0))</f>
        <v>0</v>
      </c>
      <c r="W77" s="6">
        <f>IF(ISERROR(VLOOKUP($T$77,'TAR FIN'!$A$1:$O$85,15,0)),0,VLOOKUP($T$77,'TAR FIN'!$A$1:$O$85,15,0))</f>
        <v>166.1</v>
      </c>
      <c r="X77" s="6">
        <f>IF(ISERROR(VLOOKUP($U$77,'TAR FIN'!$A$1:$O$85,15,0)),0,VLOOKUP($U$77,'TAR FIN'!$A$1:$O$85,15,0))</f>
        <v>88.15</v>
      </c>
      <c r="Y77" s="6"/>
      <c r="Z77" s="6">
        <f ca="1">('TUSD BE'!$AM$21+'TUSD BF'!$AM$21+'TUSD CVA'!$AM$21-('TUSD BE'!$P$21+'TUSD BF'!$P$21+'TUSD CVA'!$P$21)-('TUSD BE'!$Q$21+'TUSD BF'!$Q$21+'TUSD CVA'!$Q$21)-('TUSD BE'!$R$21+'TUSD BF'!$R$21+'TUSD CVA'!$R$21))*(1-CUSTOS!$M$34)</f>
        <v>210.78488841905764</v>
      </c>
      <c r="AA77" s="6">
        <f>('TE BE'!$AA$12+'TE BF'!$AA$12+'TE CVA'!$AA$12)*(1-CUSTOS!$M$34)</f>
        <v>89.842257696924776</v>
      </c>
      <c r="AB77" s="6">
        <f>$K$77*$V$77</f>
        <v>0</v>
      </c>
      <c r="AC77" s="6">
        <f>$M$77*$W$77</f>
        <v>10758.296999999999</v>
      </c>
      <c r="AD77" s="6">
        <f>$O$77*$X$77</f>
        <v>5709.4755000000005</v>
      </c>
      <c r="AE77" s="6">
        <f>$K$77*$Y$77</f>
        <v>0</v>
      </c>
      <c r="AF77" s="6">
        <f ca="1">$M$77*$Z$77</f>
        <v>13652.537222902361</v>
      </c>
      <c r="AG77" s="6">
        <f>$O$77*$AA$77</f>
        <v>5819.083031029817</v>
      </c>
    </row>
    <row r="78" spans="1:33" ht="11.25" customHeight="1" x14ac:dyDescent="0.25">
      <c r="A78" s="4" t="s">
        <v>21</v>
      </c>
      <c r="B78" s="4" t="s">
        <v>22</v>
      </c>
      <c r="C78" s="4" t="s">
        <v>23</v>
      </c>
      <c r="D78" s="4" t="s">
        <v>24</v>
      </c>
      <c r="E78" s="4" t="s">
        <v>28</v>
      </c>
      <c r="F78" s="4" t="s">
        <v>25</v>
      </c>
      <c r="G78" s="4" t="s">
        <v>25</v>
      </c>
      <c r="H78" s="4" t="s">
        <v>25</v>
      </c>
      <c r="I78" s="5">
        <v>44562</v>
      </c>
      <c r="J78" s="6">
        <v>0</v>
      </c>
      <c r="K78" s="6">
        <v>0</v>
      </c>
      <c r="L78" s="6">
        <v>64.92</v>
      </c>
      <c r="M78" s="6">
        <v>64.92</v>
      </c>
      <c r="N78" s="6">
        <v>64.92</v>
      </c>
      <c r="O78" s="6">
        <v>64.92</v>
      </c>
      <c r="P78" s="6">
        <v>142</v>
      </c>
      <c r="Q78" s="4" t="s">
        <v>26</v>
      </c>
      <c r="R78" s="4">
        <v>0</v>
      </c>
      <c r="S78" s="6">
        <v>0</v>
      </c>
      <c r="T78" s="6">
        <v>17</v>
      </c>
      <c r="U78" s="6">
        <v>54</v>
      </c>
      <c r="V78" s="6">
        <f>IF(ISERROR(VLOOKUP($S$78,'TAR FIN'!$A$1:$O$85,15,0)),0,VLOOKUP($S$78,'TAR FIN'!$A$1:$O$85,15,0))</f>
        <v>0</v>
      </c>
      <c r="W78" s="6">
        <f>IF(ISERROR(VLOOKUP($T$78,'TAR FIN'!$A$1:$O$85,15,0)),0,VLOOKUP($T$78,'TAR FIN'!$A$1:$O$85,15,0))</f>
        <v>166.1</v>
      </c>
      <c r="X78" s="6">
        <f>IF(ISERROR(VLOOKUP($U$78,'TAR FIN'!$A$1:$O$85,15,0)),0,VLOOKUP($U$78,'TAR FIN'!$A$1:$O$85,15,0))</f>
        <v>88.15</v>
      </c>
      <c r="Y78" s="6"/>
      <c r="Z78" s="6">
        <f ca="1">('TUSD BE'!$AM$21+'TUSD BF'!$AM$21+'TUSD CVA'!$AM$21-('TUSD BE'!$P$21+'TUSD BF'!$P$21+'TUSD CVA'!$P$21)-('TUSD BE'!$Q$21+'TUSD BF'!$Q$21+'TUSD CVA'!$Q$21)-('TUSD BE'!$R$21+'TUSD BF'!$R$21+'TUSD CVA'!$R$21))*(1-CUSTOS!$M$34)</f>
        <v>210.78488841905764</v>
      </c>
      <c r="AA78" s="6">
        <f>('TE BE'!$AA$12+'TE BF'!$AA$12+'TE CVA'!$AA$12)*(1-CUSTOS!$M$34)</f>
        <v>89.842257696924776</v>
      </c>
      <c r="AB78" s="6">
        <f>$K$78*$V$78</f>
        <v>0</v>
      </c>
      <c r="AC78" s="6">
        <f>$M$78*$W$78</f>
        <v>10783.212</v>
      </c>
      <c r="AD78" s="6">
        <f>$O$78*$X$78</f>
        <v>5722.6980000000003</v>
      </c>
      <c r="AE78" s="6">
        <f>$K$78*$Y$78</f>
        <v>0</v>
      </c>
      <c r="AF78" s="6">
        <f ca="1">$M$78*$Z$78</f>
        <v>13684.154956165223</v>
      </c>
      <c r="AG78" s="6">
        <f>$O$78*$AA$78</f>
        <v>5832.5593696843562</v>
      </c>
    </row>
    <row r="79" spans="1:33" ht="11.25" customHeight="1" x14ac:dyDescent="0.25">
      <c r="A79" s="4" t="s">
        <v>21</v>
      </c>
      <c r="B79" s="4" t="s">
        <v>22</v>
      </c>
      <c r="C79" s="4" t="s">
        <v>23</v>
      </c>
      <c r="D79" s="4" t="s">
        <v>24</v>
      </c>
      <c r="E79" s="4" t="s">
        <v>28</v>
      </c>
      <c r="F79" s="4" t="s">
        <v>25</v>
      </c>
      <c r="G79" s="4" t="s">
        <v>25</v>
      </c>
      <c r="H79" s="4" t="s">
        <v>25</v>
      </c>
      <c r="I79" s="5">
        <v>44593</v>
      </c>
      <c r="J79" s="6">
        <v>0</v>
      </c>
      <c r="K79" s="6">
        <v>0</v>
      </c>
      <c r="L79" s="6">
        <v>73.319999999999993</v>
      </c>
      <c r="M79" s="6">
        <v>73.319999999999993</v>
      </c>
      <c r="N79" s="6">
        <v>73.319999999999993</v>
      </c>
      <c r="O79" s="6">
        <v>73.319999999999993</v>
      </c>
      <c r="P79" s="6">
        <v>186</v>
      </c>
      <c r="Q79" s="4" t="s">
        <v>26</v>
      </c>
      <c r="R79" s="4">
        <v>0</v>
      </c>
      <c r="S79" s="6">
        <v>0</v>
      </c>
      <c r="T79" s="6">
        <v>17</v>
      </c>
      <c r="U79" s="6">
        <v>54</v>
      </c>
      <c r="V79" s="6">
        <f>IF(ISERROR(VLOOKUP($S$79,'TAR FIN'!$A$1:$O$85,15,0)),0,VLOOKUP($S$79,'TAR FIN'!$A$1:$O$85,15,0))</f>
        <v>0</v>
      </c>
      <c r="W79" s="6">
        <f>IF(ISERROR(VLOOKUP($T$79,'TAR FIN'!$A$1:$O$85,15,0)),0,VLOOKUP($T$79,'TAR FIN'!$A$1:$O$85,15,0))</f>
        <v>166.1</v>
      </c>
      <c r="X79" s="6">
        <f>IF(ISERROR(VLOOKUP($U$79,'TAR FIN'!$A$1:$O$85,15,0)),0,VLOOKUP($U$79,'TAR FIN'!$A$1:$O$85,15,0))</f>
        <v>88.15</v>
      </c>
      <c r="Y79" s="6"/>
      <c r="Z79" s="6">
        <f ca="1">('TUSD BE'!$AM$21+'TUSD BF'!$AM$21+'TUSD CVA'!$AM$21-('TUSD BE'!$P$21+'TUSD BF'!$P$21+'TUSD CVA'!$P$21)-('TUSD BE'!$Q$21+'TUSD BF'!$Q$21+'TUSD CVA'!$Q$21)-('TUSD BE'!$R$21+'TUSD BF'!$R$21+'TUSD CVA'!$R$21))*(1-CUSTOS!$M$34)</f>
        <v>210.78488841905764</v>
      </c>
      <c r="AA79" s="6">
        <f>('TE BE'!$AA$12+'TE BF'!$AA$12+'TE CVA'!$AA$12)*(1-CUSTOS!$M$34)</f>
        <v>89.842257696924776</v>
      </c>
      <c r="AB79" s="6">
        <f>$K$79*$V$79</f>
        <v>0</v>
      </c>
      <c r="AC79" s="6">
        <f>$M$79*$W$79</f>
        <v>12178.451999999999</v>
      </c>
      <c r="AD79" s="6">
        <f>$O$79*$X$79</f>
        <v>6463.1579999999994</v>
      </c>
      <c r="AE79" s="6">
        <f>$K$79*$Y$79</f>
        <v>0</v>
      </c>
      <c r="AF79" s="6">
        <f ca="1">$M$79*$Z$79</f>
        <v>15454.748018885304</v>
      </c>
      <c r="AG79" s="6">
        <f>$O$79*$AA$79</f>
        <v>6587.2343343385237</v>
      </c>
    </row>
    <row r="80" spans="1:33" ht="11.25" customHeight="1" x14ac:dyDescent="0.25">
      <c r="A80" s="4" t="s">
        <v>21</v>
      </c>
      <c r="B80" s="4" t="s">
        <v>22</v>
      </c>
      <c r="C80" s="4" t="s">
        <v>23</v>
      </c>
      <c r="D80" s="4" t="s">
        <v>24</v>
      </c>
      <c r="E80" s="4" t="s">
        <v>28</v>
      </c>
      <c r="F80" s="4" t="s">
        <v>25</v>
      </c>
      <c r="G80" s="4" t="s">
        <v>25</v>
      </c>
      <c r="H80" s="4" t="s">
        <v>25</v>
      </c>
      <c r="I80" s="5">
        <v>44621</v>
      </c>
      <c r="J80" s="6">
        <v>0</v>
      </c>
      <c r="K80" s="6">
        <v>0</v>
      </c>
      <c r="L80" s="6">
        <v>75.36</v>
      </c>
      <c r="M80" s="6">
        <v>75.36</v>
      </c>
      <c r="N80" s="6">
        <v>75.36</v>
      </c>
      <c r="O80" s="6">
        <v>75.36</v>
      </c>
      <c r="P80" s="6">
        <v>172</v>
      </c>
      <c r="Q80" s="4" t="s">
        <v>26</v>
      </c>
      <c r="R80" s="4">
        <v>0</v>
      </c>
      <c r="S80" s="6">
        <v>0</v>
      </c>
      <c r="T80" s="6">
        <v>17</v>
      </c>
      <c r="U80" s="6">
        <v>54</v>
      </c>
      <c r="V80" s="6">
        <f>IF(ISERROR(VLOOKUP($S$80,'TAR FIN'!$A$1:$O$85,15,0)),0,VLOOKUP($S$80,'TAR FIN'!$A$1:$O$85,15,0))</f>
        <v>0</v>
      </c>
      <c r="W80" s="6">
        <f>IF(ISERROR(VLOOKUP($T$80,'TAR FIN'!$A$1:$O$85,15,0)),0,VLOOKUP($T$80,'TAR FIN'!$A$1:$O$85,15,0))</f>
        <v>166.1</v>
      </c>
      <c r="X80" s="6">
        <f>IF(ISERROR(VLOOKUP($U$80,'TAR FIN'!$A$1:$O$85,15,0)),0,VLOOKUP($U$80,'TAR FIN'!$A$1:$O$85,15,0))</f>
        <v>88.15</v>
      </c>
      <c r="Y80" s="6"/>
      <c r="Z80" s="6">
        <f ca="1">('TUSD BE'!$AM$21+'TUSD BF'!$AM$21+'TUSD CVA'!$AM$21-('TUSD BE'!$P$21+'TUSD BF'!$P$21+'TUSD CVA'!$P$21)-('TUSD BE'!$Q$21+'TUSD BF'!$Q$21+'TUSD CVA'!$Q$21)-('TUSD BE'!$R$21+'TUSD BF'!$R$21+'TUSD CVA'!$R$21))*(1-CUSTOS!$M$34)</f>
        <v>210.78488841905764</v>
      </c>
      <c r="AA80" s="6">
        <f>('TE BE'!$AA$12+'TE BF'!$AA$12+'TE CVA'!$AA$12)*(1-CUSTOS!$M$34)</f>
        <v>89.842257696924776</v>
      </c>
      <c r="AB80" s="6">
        <f>$K$80*$V$80</f>
        <v>0</v>
      </c>
      <c r="AC80" s="6">
        <f>$M$80*$W$80</f>
        <v>12517.296</v>
      </c>
      <c r="AD80" s="6">
        <f>$O$80*$X$80</f>
        <v>6642.9840000000004</v>
      </c>
      <c r="AE80" s="6">
        <f>$K$80*$Y$80</f>
        <v>0</v>
      </c>
      <c r="AF80" s="6">
        <f ca="1">$M$80*$Z$80</f>
        <v>15884.749191260184</v>
      </c>
      <c r="AG80" s="6">
        <f>$O$80*$AA$80</f>
        <v>6770.5125400402512</v>
      </c>
    </row>
    <row r="81" spans="1:33" ht="11.25" customHeight="1" x14ac:dyDescent="0.25">
      <c r="A81" s="4" t="s">
        <v>21</v>
      </c>
      <c r="B81" s="4" t="s">
        <v>22</v>
      </c>
      <c r="C81" s="4" t="s">
        <v>23</v>
      </c>
      <c r="D81" s="4" t="s">
        <v>24</v>
      </c>
      <c r="E81" s="4" t="s">
        <v>28</v>
      </c>
      <c r="F81" s="4" t="s">
        <v>25</v>
      </c>
      <c r="G81" s="4" t="s">
        <v>25</v>
      </c>
      <c r="H81" s="4" t="s">
        <v>25</v>
      </c>
      <c r="I81" s="5">
        <v>44652</v>
      </c>
      <c r="J81" s="6">
        <v>0</v>
      </c>
      <c r="K81" s="6">
        <v>0</v>
      </c>
      <c r="L81" s="6">
        <v>77.040000000000006</v>
      </c>
      <c r="M81" s="6">
        <v>77.040000000000006</v>
      </c>
      <c r="N81" s="6">
        <v>77.040000000000006</v>
      </c>
      <c r="O81" s="6">
        <v>77.040000000000006</v>
      </c>
      <c r="P81" s="6">
        <v>170</v>
      </c>
      <c r="Q81" s="4" t="s">
        <v>26</v>
      </c>
      <c r="R81" s="4">
        <v>0</v>
      </c>
      <c r="S81" s="6">
        <v>0</v>
      </c>
      <c r="T81" s="6">
        <v>17</v>
      </c>
      <c r="U81" s="6">
        <v>54</v>
      </c>
      <c r="V81" s="6">
        <f>IF(ISERROR(VLOOKUP($S$81,'TAR FIN'!$A$1:$O$85,15,0)),0,VLOOKUP($S$81,'TAR FIN'!$A$1:$O$85,15,0))</f>
        <v>0</v>
      </c>
      <c r="W81" s="6">
        <f>IF(ISERROR(VLOOKUP($T$81,'TAR FIN'!$A$1:$O$85,15,0)),0,VLOOKUP($T$81,'TAR FIN'!$A$1:$O$85,15,0))</f>
        <v>166.1</v>
      </c>
      <c r="X81" s="6">
        <f>IF(ISERROR(VLOOKUP($U$81,'TAR FIN'!$A$1:$O$85,15,0)),0,VLOOKUP($U$81,'TAR FIN'!$A$1:$O$85,15,0))</f>
        <v>88.15</v>
      </c>
      <c r="Y81" s="6"/>
      <c r="Z81" s="6">
        <f ca="1">('TUSD BE'!$AM$21+'TUSD BF'!$AM$21+'TUSD CVA'!$AM$21-('TUSD BE'!$P$21+'TUSD BF'!$P$21+'TUSD CVA'!$P$21)-('TUSD BE'!$Q$21+'TUSD BF'!$Q$21+'TUSD CVA'!$Q$21)-('TUSD BE'!$R$21+'TUSD BF'!$R$21+'TUSD CVA'!$R$21))*(1-CUSTOS!$M$34)</f>
        <v>210.78488841905764</v>
      </c>
      <c r="AA81" s="6">
        <f>('TE BE'!$AA$12+'TE BF'!$AA$12+'TE CVA'!$AA$12)*(1-CUSTOS!$M$34)</f>
        <v>89.842257696924776</v>
      </c>
      <c r="AB81" s="6">
        <f>$K$81*$V$81</f>
        <v>0</v>
      </c>
      <c r="AC81" s="6">
        <f>$M$81*$W$81</f>
        <v>12796.344000000001</v>
      </c>
      <c r="AD81" s="6">
        <f>$O$81*$X$81</f>
        <v>6791.0760000000009</v>
      </c>
      <c r="AE81" s="6">
        <f>$K$81*$Y$81</f>
        <v>0</v>
      </c>
      <c r="AF81" s="6">
        <f ca="1">$M$81*$Z$81</f>
        <v>16238.867803804202</v>
      </c>
      <c r="AG81" s="6">
        <f>$O$81*$AA$81</f>
        <v>6921.4475329710849</v>
      </c>
    </row>
    <row r="82" spans="1:33" ht="11.25" customHeight="1" x14ac:dyDescent="0.25">
      <c r="A82" s="4" t="s">
        <v>21</v>
      </c>
      <c r="B82" s="4" t="s">
        <v>22</v>
      </c>
      <c r="C82" s="4" t="s">
        <v>23</v>
      </c>
      <c r="D82" s="4" t="s">
        <v>24</v>
      </c>
      <c r="E82" s="4" t="s">
        <v>29</v>
      </c>
      <c r="F82" s="4" t="s">
        <v>25</v>
      </c>
      <c r="G82" s="4" t="s">
        <v>25</v>
      </c>
      <c r="H82" s="4" t="s">
        <v>25</v>
      </c>
      <c r="I82" s="5">
        <v>44317</v>
      </c>
      <c r="J82" s="6">
        <v>0</v>
      </c>
      <c r="K82" s="6">
        <v>0</v>
      </c>
      <c r="L82" s="6">
        <v>94.608000000000004</v>
      </c>
      <c r="M82" s="6">
        <v>94.608000000000004</v>
      </c>
      <c r="N82" s="6">
        <v>94.608000000000004</v>
      </c>
      <c r="O82" s="6">
        <v>94.608000000000004</v>
      </c>
      <c r="P82" s="6">
        <v>1169</v>
      </c>
      <c r="Q82" s="4" t="s">
        <v>26</v>
      </c>
      <c r="R82" s="4">
        <v>0</v>
      </c>
      <c r="S82" s="6">
        <v>0</v>
      </c>
      <c r="T82" s="6">
        <v>18</v>
      </c>
      <c r="U82" s="6">
        <v>55</v>
      </c>
      <c r="V82" s="6">
        <f>IF(ISERROR(VLOOKUP($S$82,'TAR FIN'!$A$1:$O$85,15,0)),0,VLOOKUP($S$82,'TAR FIN'!$A$1:$O$85,15,0))</f>
        <v>0</v>
      </c>
      <c r="W82" s="6">
        <f>IF(ISERROR(VLOOKUP($T$82,'TAR FIN'!$A$1:$O$85,15,0)),0,VLOOKUP($T$82,'TAR FIN'!$A$1:$O$85,15,0))</f>
        <v>284.74</v>
      </c>
      <c r="X82" s="6">
        <f>IF(ISERROR(VLOOKUP($U$82,'TAR FIN'!$A$1:$O$85,15,0)),0,VLOOKUP($U$82,'TAR FIN'!$A$1:$O$85,15,0))</f>
        <v>151.11000000000001</v>
      </c>
      <c r="Y82" s="6"/>
      <c r="Z82" s="6">
        <f ca="1">('TUSD BE'!$AM$22+'TUSD BF'!$AM$22+'TUSD CVA'!$AM$22-('TUSD BE'!$P$22+'TUSD BF'!$P$22+'TUSD CVA'!$P$22)-('TUSD BE'!$Q$22+'TUSD BF'!$Q$22+'TUSD CVA'!$Q$22)-('TUSD BE'!$R$22+'TUSD BF'!$R$22+'TUSD CVA'!$R$22))*(1-CUSTOS!$M$35)</f>
        <v>361.34552300409882</v>
      </c>
      <c r="AA82" s="6">
        <f>('TE BE'!$AA$13+'TE BF'!$AA$13+'TE CVA'!$AA$13)*(1-CUSTOS!$M$35)</f>
        <v>154.01529890901392</v>
      </c>
      <c r="AB82" s="6">
        <f>$K$82*$V$82</f>
        <v>0</v>
      </c>
      <c r="AC82" s="6">
        <f>$M$82*$W$82</f>
        <v>26938.681920000003</v>
      </c>
      <c r="AD82" s="6">
        <f>$O$82*$X$82</f>
        <v>14296.214880000001</v>
      </c>
      <c r="AE82" s="6">
        <f>$K$82*$Y$82</f>
        <v>0</v>
      </c>
      <c r="AF82" s="6">
        <f ca="1">$M$82*$Z$82</f>
        <v>34186.177240371784</v>
      </c>
      <c r="AG82" s="6">
        <f>$O$82*$AA$82</f>
        <v>14571.079399183989</v>
      </c>
    </row>
    <row r="83" spans="1:33" ht="11.25" customHeight="1" x14ac:dyDescent="0.25">
      <c r="A83" s="4" t="s">
        <v>21</v>
      </c>
      <c r="B83" s="4" t="s">
        <v>22</v>
      </c>
      <c r="C83" s="4" t="s">
        <v>23</v>
      </c>
      <c r="D83" s="4" t="s">
        <v>24</v>
      </c>
      <c r="E83" s="4" t="s">
        <v>29</v>
      </c>
      <c r="F83" s="4" t="s">
        <v>25</v>
      </c>
      <c r="G83" s="4" t="s">
        <v>25</v>
      </c>
      <c r="H83" s="4" t="s">
        <v>25</v>
      </c>
      <c r="I83" s="5">
        <v>44348</v>
      </c>
      <c r="J83" s="6">
        <v>0</v>
      </c>
      <c r="K83" s="6">
        <v>0</v>
      </c>
      <c r="L83" s="6">
        <v>89.388000000000005</v>
      </c>
      <c r="M83" s="6">
        <v>89.388000000000005</v>
      </c>
      <c r="N83" s="6">
        <v>89.388000000000005</v>
      </c>
      <c r="O83" s="6">
        <v>89.388000000000005</v>
      </c>
      <c r="P83" s="6">
        <v>1243</v>
      </c>
      <c r="Q83" s="4" t="s">
        <v>26</v>
      </c>
      <c r="R83" s="4">
        <v>0</v>
      </c>
      <c r="S83" s="6">
        <v>0</v>
      </c>
      <c r="T83" s="6">
        <v>18</v>
      </c>
      <c r="U83" s="6">
        <v>55</v>
      </c>
      <c r="V83" s="6">
        <f>IF(ISERROR(VLOOKUP($S$83,'TAR FIN'!$A$1:$O$85,15,0)),0,VLOOKUP($S$83,'TAR FIN'!$A$1:$O$85,15,0))</f>
        <v>0</v>
      </c>
      <c r="W83" s="6">
        <f>IF(ISERROR(VLOOKUP($T$83,'TAR FIN'!$A$1:$O$85,15,0)),0,VLOOKUP($T$83,'TAR FIN'!$A$1:$O$85,15,0))</f>
        <v>284.74</v>
      </c>
      <c r="X83" s="6">
        <f>IF(ISERROR(VLOOKUP($U$83,'TAR FIN'!$A$1:$O$85,15,0)),0,VLOOKUP($U$83,'TAR FIN'!$A$1:$O$85,15,0))</f>
        <v>151.11000000000001</v>
      </c>
      <c r="Y83" s="6"/>
      <c r="Z83" s="6">
        <f ca="1">('TUSD BE'!$AM$22+'TUSD BF'!$AM$22+'TUSD CVA'!$AM$22-('TUSD BE'!$P$22+'TUSD BF'!$P$22+'TUSD CVA'!$P$22)-('TUSD BE'!$Q$22+'TUSD BF'!$Q$22+'TUSD CVA'!$Q$22)-('TUSD BE'!$R$22+'TUSD BF'!$R$22+'TUSD CVA'!$R$22))*(1-CUSTOS!$M$35)</f>
        <v>361.34552300409882</v>
      </c>
      <c r="AA83" s="6">
        <f>('TE BE'!$AA$13+'TE BF'!$AA$13+'TE CVA'!$AA$13)*(1-CUSTOS!$M$35)</f>
        <v>154.01529890901392</v>
      </c>
      <c r="AB83" s="6">
        <f>$K$83*$V$83</f>
        <v>0</v>
      </c>
      <c r="AC83" s="6">
        <f>$M$83*$W$83</f>
        <v>25452.339120000001</v>
      </c>
      <c r="AD83" s="6">
        <f>$O$83*$X$83</f>
        <v>13507.420680000003</v>
      </c>
      <c r="AE83" s="6">
        <f>$K$83*$Y$83</f>
        <v>0</v>
      </c>
      <c r="AF83" s="6">
        <f ca="1">$M$83*$Z$83</f>
        <v>32299.953610290388</v>
      </c>
      <c r="AG83" s="6">
        <f>$O$83*$AA$83</f>
        <v>13767.119538878937</v>
      </c>
    </row>
    <row r="84" spans="1:33" ht="11.25" customHeight="1" x14ac:dyDescent="0.25">
      <c r="A84" s="4" t="s">
        <v>21</v>
      </c>
      <c r="B84" s="4" t="s">
        <v>22</v>
      </c>
      <c r="C84" s="4" t="s">
        <v>23</v>
      </c>
      <c r="D84" s="4" t="s">
        <v>24</v>
      </c>
      <c r="E84" s="4" t="s">
        <v>29</v>
      </c>
      <c r="F84" s="4" t="s">
        <v>25</v>
      </c>
      <c r="G84" s="4" t="s">
        <v>25</v>
      </c>
      <c r="H84" s="4" t="s">
        <v>25</v>
      </c>
      <c r="I84" s="5">
        <v>44378</v>
      </c>
      <c r="J84" s="6">
        <v>0</v>
      </c>
      <c r="K84" s="6">
        <v>0</v>
      </c>
      <c r="L84" s="6">
        <v>87.186000000000007</v>
      </c>
      <c r="M84" s="6">
        <v>87.186000000000007</v>
      </c>
      <c r="N84" s="6">
        <v>87.186000000000007</v>
      </c>
      <c r="O84" s="6">
        <v>87.186000000000007</v>
      </c>
      <c r="P84" s="6">
        <v>1310</v>
      </c>
      <c r="Q84" s="4" t="s">
        <v>26</v>
      </c>
      <c r="R84" s="4">
        <v>0</v>
      </c>
      <c r="S84" s="6">
        <v>0</v>
      </c>
      <c r="T84" s="6">
        <v>18</v>
      </c>
      <c r="U84" s="6">
        <v>55</v>
      </c>
      <c r="V84" s="6">
        <f>IF(ISERROR(VLOOKUP($S$84,'TAR FIN'!$A$1:$O$85,15,0)),0,VLOOKUP($S$84,'TAR FIN'!$A$1:$O$85,15,0))</f>
        <v>0</v>
      </c>
      <c r="W84" s="6">
        <f>IF(ISERROR(VLOOKUP($T$84,'TAR FIN'!$A$1:$O$85,15,0)),0,VLOOKUP($T$84,'TAR FIN'!$A$1:$O$85,15,0))</f>
        <v>284.74</v>
      </c>
      <c r="X84" s="6">
        <f>IF(ISERROR(VLOOKUP($U$84,'TAR FIN'!$A$1:$O$85,15,0)),0,VLOOKUP($U$84,'TAR FIN'!$A$1:$O$85,15,0))</f>
        <v>151.11000000000001</v>
      </c>
      <c r="Y84" s="6"/>
      <c r="Z84" s="6">
        <f ca="1">('TUSD BE'!$AM$22+'TUSD BF'!$AM$22+'TUSD CVA'!$AM$22-('TUSD BE'!$P$22+'TUSD BF'!$P$22+'TUSD CVA'!$P$22)-('TUSD BE'!$Q$22+'TUSD BF'!$Q$22+'TUSD CVA'!$Q$22)-('TUSD BE'!$R$22+'TUSD BF'!$R$22+'TUSD CVA'!$R$22))*(1-CUSTOS!$M$35)</f>
        <v>361.34552300409882</v>
      </c>
      <c r="AA84" s="6">
        <f>('TE BE'!$AA$13+'TE BF'!$AA$13+'TE CVA'!$AA$13)*(1-CUSTOS!$M$35)</f>
        <v>154.01529890901392</v>
      </c>
      <c r="AB84" s="6">
        <f>$K$84*$V$84</f>
        <v>0</v>
      </c>
      <c r="AC84" s="6">
        <f>$M$84*$W$84</f>
        <v>24825.341640000002</v>
      </c>
      <c r="AD84" s="6">
        <f>$O$84*$X$84</f>
        <v>13174.676460000002</v>
      </c>
      <c r="AE84" s="6">
        <f>$K$84*$Y$84</f>
        <v>0</v>
      </c>
      <c r="AF84" s="6">
        <f ca="1">$M$84*$Z$84</f>
        <v>31504.270768635364</v>
      </c>
      <c r="AG84" s="6">
        <f>$O$84*$AA$84</f>
        <v>13427.977850681289</v>
      </c>
    </row>
    <row r="85" spans="1:33" ht="11.25" customHeight="1" x14ac:dyDescent="0.25">
      <c r="A85" s="4" t="s">
        <v>21</v>
      </c>
      <c r="B85" s="4" t="s">
        <v>22</v>
      </c>
      <c r="C85" s="4" t="s">
        <v>23</v>
      </c>
      <c r="D85" s="4" t="s">
        <v>24</v>
      </c>
      <c r="E85" s="4" t="s">
        <v>29</v>
      </c>
      <c r="F85" s="4" t="s">
        <v>25</v>
      </c>
      <c r="G85" s="4" t="s">
        <v>25</v>
      </c>
      <c r="H85" s="4" t="s">
        <v>25</v>
      </c>
      <c r="I85" s="5">
        <v>44409</v>
      </c>
      <c r="J85" s="6">
        <v>0</v>
      </c>
      <c r="K85" s="6">
        <v>0</v>
      </c>
      <c r="L85" s="6">
        <v>88.462999999999994</v>
      </c>
      <c r="M85" s="6">
        <v>88.462999999999994</v>
      </c>
      <c r="N85" s="6">
        <v>88.462999999999994</v>
      </c>
      <c r="O85" s="6">
        <v>88.462999999999994</v>
      </c>
      <c r="P85" s="6">
        <v>1317</v>
      </c>
      <c r="Q85" s="4" t="s">
        <v>26</v>
      </c>
      <c r="R85" s="4">
        <v>0</v>
      </c>
      <c r="S85" s="6">
        <v>0</v>
      </c>
      <c r="T85" s="6">
        <v>18</v>
      </c>
      <c r="U85" s="6">
        <v>55</v>
      </c>
      <c r="V85" s="6">
        <f>IF(ISERROR(VLOOKUP($S$85,'TAR FIN'!$A$1:$O$85,15,0)),0,VLOOKUP($S$85,'TAR FIN'!$A$1:$O$85,15,0))</f>
        <v>0</v>
      </c>
      <c r="W85" s="6">
        <f>IF(ISERROR(VLOOKUP($T$85,'TAR FIN'!$A$1:$O$85,15,0)),0,VLOOKUP($T$85,'TAR FIN'!$A$1:$O$85,15,0))</f>
        <v>284.74</v>
      </c>
      <c r="X85" s="6">
        <f>IF(ISERROR(VLOOKUP($U$85,'TAR FIN'!$A$1:$O$85,15,0)),0,VLOOKUP($U$85,'TAR FIN'!$A$1:$O$85,15,0))</f>
        <v>151.11000000000001</v>
      </c>
      <c r="Y85" s="6"/>
      <c r="Z85" s="6">
        <f ca="1">('TUSD BE'!$AM$22+'TUSD BF'!$AM$22+'TUSD CVA'!$AM$22-('TUSD BE'!$P$22+'TUSD BF'!$P$22+'TUSD CVA'!$P$22)-('TUSD BE'!$Q$22+'TUSD BF'!$Q$22+'TUSD CVA'!$Q$22)-('TUSD BE'!$R$22+'TUSD BF'!$R$22+'TUSD CVA'!$R$22))*(1-CUSTOS!$M$35)</f>
        <v>361.34552300409882</v>
      </c>
      <c r="AA85" s="6">
        <f>('TE BE'!$AA$13+'TE BF'!$AA$13+'TE CVA'!$AA$13)*(1-CUSTOS!$M$35)</f>
        <v>154.01529890901392</v>
      </c>
      <c r="AB85" s="6">
        <f>$K$85*$V$85</f>
        <v>0</v>
      </c>
      <c r="AC85" s="6">
        <f>$M$85*$W$85</f>
        <v>25188.95462</v>
      </c>
      <c r="AD85" s="6">
        <f>$O$85*$X$85</f>
        <v>13367.64393</v>
      </c>
      <c r="AE85" s="6">
        <f>$K$85*$Y$85</f>
        <v>0</v>
      </c>
      <c r="AF85" s="6">
        <f ca="1">$M$85*$Z$85</f>
        <v>31965.709001511594</v>
      </c>
      <c r="AG85" s="6">
        <f>$O$85*$AA$85</f>
        <v>13624.655387388098</v>
      </c>
    </row>
    <row r="86" spans="1:33" ht="11.25" customHeight="1" x14ac:dyDescent="0.25">
      <c r="A86" s="4" t="s">
        <v>21</v>
      </c>
      <c r="B86" s="4" t="s">
        <v>22</v>
      </c>
      <c r="C86" s="4" t="s">
        <v>23</v>
      </c>
      <c r="D86" s="4" t="s">
        <v>24</v>
      </c>
      <c r="E86" s="4" t="s">
        <v>29</v>
      </c>
      <c r="F86" s="4" t="s">
        <v>25</v>
      </c>
      <c r="G86" s="4" t="s">
        <v>25</v>
      </c>
      <c r="H86" s="4" t="s">
        <v>25</v>
      </c>
      <c r="I86" s="5">
        <v>44440</v>
      </c>
      <c r="J86" s="6">
        <v>0</v>
      </c>
      <c r="K86" s="6">
        <v>0</v>
      </c>
      <c r="L86" s="6">
        <v>91.117999999999995</v>
      </c>
      <c r="M86" s="6">
        <v>91.117999999999995</v>
      </c>
      <c r="N86" s="6">
        <v>91.117999999999995</v>
      </c>
      <c r="O86" s="6">
        <v>91.117999999999995</v>
      </c>
      <c r="P86" s="6">
        <v>1289</v>
      </c>
      <c r="Q86" s="4" t="s">
        <v>26</v>
      </c>
      <c r="R86" s="4">
        <v>0</v>
      </c>
      <c r="S86" s="6">
        <v>0</v>
      </c>
      <c r="T86" s="6">
        <v>18</v>
      </c>
      <c r="U86" s="6">
        <v>55</v>
      </c>
      <c r="V86" s="6">
        <f>IF(ISERROR(VLOOKUP($S$86,'TAR FIN'!$A$1:$O$85,15,0)),0,VLOOKUP($S$86,'TAR FIN'!$A$1:$O$85,15,0))</f>
        <v>0</v>
      </c>
      <c r="W86" s="6">
        <f>IF(ISERROR(VLOOKUP($T$86,'TAR FIN'!$A$1:$O$85,15,0)),0,VLOOKUP($T$86,'TAR FIN'!$A$1:$O$85,15,0))</f>
        <v>284.74</v>
      </c>
      <c r="X86" s="6">
        <f>IF(ISERROR(VLOOKUP($U$86,'TAR FIN'!$A$1:$O$85,15,0)),0,VLOOKUP($U$86,'TAR FIN'!$A$1:$O$85,15,0))</f>
        <v>151.11000000000001</v>
      </c>
      <c r="Y86" s="6"/>
      <c r="Z86" s="6">
        <f ca="1">('TUSD BE'!$AM$22+'TUSD BF'!$AM$22+'TUSD CVA'!$AM$22-('TUSD BE'!$P$22+'TUSD BF'!$P$22+'TUSD CVA'!$P$22)-('TUSD BE'!$Q$22+'TUSD BF'!$Q$22+'TUSD CVA'!$Q$22)-('TUSD BE'!$R$22+'TUSD BF'!$R$22+'TUSD CVA'!$R$22))*(1-CUSTOS!$M$35)</f>
        <v>361.34552300409882</v>
      </c>
      <c r="AA86" s="6">
        <f>('TE BE'!$AA$13+'TE BF'!$AA$13+'TE CVA'!$AA$13)*(1-CUSTOS!$M$35)</f>
        <v>154.01529890901392</v>
      </c>
      <c r="AB86" s="6">
        <f>$K$86*$V$86</f>
        <v>0</v>
      </c>
      <c r="AC86" s="6">
        <f>$M$86*$W$86</f>
        <v>25944.939319999998</v>
      </c>
      <c r="AD86" s="6">
        <f>$O$86*$X$86</f>
        <v>13768.840980000001</v>
      </c>
      <c r="AE86" s="6">
        <f>$K$86*$Y$86</f>
        <v>0</v>
      </c>
      <c r="AF86" s="6">
        <f ca="1">$M$86*$Z$86</f>
        <v>32925.081365087477</v>
      </c>
      <c r="AG86" s="6">
        <f>$O$86*$AA$86</f>
        <v>14033.56600599153</v>
      </c>
    </row>
    <row r="87" spans="1:33" ht="11.25" customHeight="1" x14ac:dyDescent="0.25">
      <c r="A87" s="4" t="s">
        <v>21</v>
      </c>
      <c r="B87" s="4" t="s">
        <v>22</v>
      </c>
      <c r="C87" s="4" t="s">
        <v>23</v>
      </c>
      <c r="D87" s="4" t="s">
        <v>24</v>
      </c>
      <c r="E87" s="4" t="s">
        <v>29</v>
      </c>
      <c r="F87" s="4" t="s">
        <v>25</v>
      </c>
      <c r="G87" s="4" t="s">
        <v>25</v>
      </c>
      <c r="H87" s="4" t="s">
        <v>25</v>
      </c>
      <c r="I87" s="5">
        <v>44470</v>
      </c>
      <c r="J87" s="6">
        <v>0</v>
      </c>
      <c r="K87" s="6">
        <v>0</v>
      </c>
      <c r="L87" s="6">
        <v>92.147999999999996</v>
      </c>
      <c r="M87" s="6">
        <v>92.147999999999996</v>
      </c>
      <c r="N87" s="6">
        <v>92.147999999999996</v>
      </c>
      <c r="O87" s="6">
        <v>92.147999999999996</v>
      </c>
      <c r="P87" s="6">
        <v>1289</v>
      </c>
      <c r="Q87" s="4" t="s">
        <v>26</v>
      </c>
      <c r="R87" s="4">
        <v>0</v>
      </c>
      <c r="S87" s="6">
        <v>0</v>
      </c>
      <c r="T87" s="6">
        <v>18</v>
      </c>
      <c r="U87" s="6">
        <v>55</v>
      </c>
      <c r="V87" s="6">
        <f>IF(ISERROR(VLOOKUP($S$87,'TAR FIN'!$A$1:$O$85,15,0)),0,VLOOKUP($S$87,'TAR FIN'!$A$1:$O$85,15,0))</f>
        <v>0</v>
      </c>
      <c r="W87" s="6">
        <f>IF(ISERROR(VLOOKUP($T$87,'TAR FIN'!$A$1:$O$85,15,0)),0,VLOOKUP($T$87,'TAR FIN'!$A$1:$O$85,15,0))</f>
        <v>284.74</v>
      </c>
      <c r="X87" s="6">
        <f>IF(ISERROR(VLOOKUP($U$87,'TAR FIN'!$A$1:$O$85,15,0)),0,VLOOKUP($U$87,'TAR FIN'!$A$1:$O$85,15,0))</f>
        <v>151.11000000000001</v>
      </c>
      <c r="Y87" s="6"/>
      <c r="Z87" s="6">
        <f ca="1">('TUSD BE'!$AM$22+'TUSD BF'!$AM$22+'TUSD CVA'!$AM$22-('TUSD BE'!$P$22+'TUSD BF'!$P$22+'TUSD CVA'!$P$22)-('TUSD BE'!$Q$22+'TUSD BF'!$Q$22+'TUSD CVA'!$Q$22)-('TUSD BE'!$R$22+'TUSD BF'!$R$22+'TUSD CVA'!$R$22))*(1-CUSTOS!$M$35)</f>
        <v>361.34552300409882</v>
      </c>
      <c r="AA87" s="6">
        <f>('TE BE'!$AA$13+'TE BF'!$AA$13+'TE CVA'!$AA$13)*(1-CUSTOS!$M$35)</f>
        <v>154.01529890901392</v>
      </c>
      <c r="AB87" s="6">
        <f>$K$87*$V$87</f>
        <v>0</v>
      </c>
      <c r="AC87" s="6">
        <f>$M$87*$W$87</f>
        <v>26238.221519999999</v>
      </c>
      <c r="AD87" s="6">
        <f>$O$87*$X$87</f>
        <v>13924.484280000001</v>
      </c>
      <c r="AE87" s="6">
        <f>$K$87*$Y$87</f>
        <v>0</v>
      </c>
      <c r="AF87" s="6">
        <f ca="1">$M$87*$Z$87</f>
        <v>33297.267253781698</v>
      </c>
      <c r="AG87" s="6">
        <f>$O$87*$AA$87</f>
        <v>14192.201763867813</v>
      </c>
    </row>
    <row r="88" spans="1:33" ht="11.25" customHeight="1" x14ac:dyDescent="0.25">
      <c r="A88" s="4" t="s">
        <v>21</v>
      </c>
      <c r="B88" s="4" t="s">
        <v>22</v>
      </c>
      <c r="C88" s="4" t="s">
        <v>23</v>
      </c>
      <c r="D88" s="4" t="s">
        <v>24</v>
      </c>
      <c r="E88" s="4" t="s">
        <v>29</v>
      </c>
      <c r="F88" s="4" t="s">
        <v>25</v>
      </c>
      <c r="G88" s="4" t="s">
        <v>25</v>
      </c>
      <c r="H88" s="4" t="s">
        <v>25</v>
      </c>
      <c r="I88" s="5">
        <v>44501</v>
      </c>
      <c r="J88" s="6">
        <v>0</v>
      </c>
      <c r="K88" s="6">
        <v>0</v>
      </c>
      <c r="L88" s="6">
        <v>108.404</v>
      </c>
      <c r="M88" s="6">
        <v>108.404</v>
      </c>
      <c r="N88" s="6">
        <v>108.404</v>
      </c>
      <c r="O88" s="6">
        <v>108.404</v>
      </c>
      <c r="P88" s="6">
        <v>1049</v>
      </c>
      <c r="Q88" s="4" t="s">
        <v>26</v>
      </c>
      <c r="R88" s="4">
        <v>0</v>
      </c>
      <c r="S88" s="6">
        <v>0</v>
      </c>
      <c r="T88" s="6">
        <v>18</v>
      </c>
      <c r="U88" s="6">
        <v>55</v>
      </c>
      <c r="V88" s="6">
        <f>IF(ISERROR(VLOOKUP($S$88,'TAR FIN'!$A$1:$O$85,15,0)),0,VLOOKUP($S$88,'TAR FIN'!$A$1:$O$85,15,0))</f>
        <v>0</v>
      </c>
      <c r="W88" s="6">
        <f>IF(ISERROR(VLOOKUP($T$88,'TAR FIN'!$A$1:$O$85,15,0)),0,VLOOKUP($T$88,'TAR FIN'!$A$1:$O$85,15,0))</f>
        <v>284.74</v>
      </c>
      <c r="X88" s="6">
        <f>IF(ISERROR(VLOOKUP($U$88,'TAR FIN'!$A$1:$O$85,15,0)),0,VLOOKUP($U$88,'TAR FIN'!$A$1:$O$85,15,0))</f>
        <v>151.11000000000001</v>
      </c>
      <c r="Y88" s="6"/>
      <c r="Z88" s="6">
        <f ca="1">('TUSD BE'!$AM$22+'TUSD BF'!$AM$22+'TUSD CVA'!$AM$22-('TUSD BE'!$P$22+'TUSD BF'!$P$22+'TUSD CVA'!$P$22)-('TUSD BE'!$Q$22+'TUSD BF'!$Q$22+'TUSD CVA'!$Q$22)-('TUSD BE'!$R$22+'TUSD BF'!$R$22+'TUSD CVA'!$R$22))*(1-CUSTOS!$M$35)</f>
        <v>361.34552300409882</v>
      </c>
      <c r="AA88" s="6">
        <f>('TE BE'!$AA$13+'TE BF'!$AA$13+'TE CVA'!$AA$13)*(1-CUSTOS!$M$35)</f>
        <v>154.01529890901392</v>
      </c>
      <c r="AB88" s="6">
        <f>$K$88*$V$88</f>
        <v>0</v>
      </c>
      <c r="AC88" s="6">
        <f>$M$88*$W$88</f>
        <v>30866.954959999999</v>
      </c>
      <c r="AD88" s="6">
        <f>$O$88*$X$88</f>
        <v>16380.928440000002</v>
      </c>
      <c r="AE88" s="6">
        <f>$K$88*$Y$88</f>
        <v>0</v>
      </c>
      <c r="AF88" s="6">
        <f ca="1">$M$88*$Z$88</f>
        <v>39171.300075736326</v>
      </c>
      <c r="AG88" s="6">
        <f>$O$88*$AA$88</f>
        <v>16695.874462932745</v>
      </c>
    </row>
    <row r="89" spans="1:33" ht="11.25" customHeight="1" x14ac:dyDescent="0.25">
      <c r="A89" s="4" t="s">
        <v>21</v>
      </c>
      <c r="B89" s="4" t="s">
        <v>22</v>
      </c>
      <c r="C89" s="4" t="s">
        <v>23</v>
      </c>
      <c r="D89" s="4" t="s">
        <v>24</v>
      </c>
      <c r="E89" s="4" t="s">
        <v>29</v>
      </c>
      <c r="F89" s="4" t="s">
        <v>25</v>
      </c>
      <c r="G89" s="4" t="s">
        <v>25</v>
      </c>
      <c r="H89" s="4" t="s">
        <v>25</v>
      </c>
      <c r="I89" s="5">
        <v>44531</v>
      </c>
      <c r="J89" s="6">
        <v>0</v>
      </c>
      <c r="K89" s="6">
        <v>0</v>
      </c>
      <c r="L89" s="6">
        <v>105.19199999999999</v>
      </c>
      <c r="M89" s="6">
        <v>105.19199999999999</v>
      </c>
      <c r="N89" s="6">
        <v>105.19199999999999</v>
      </c>
      <c r="O89" s="6">
        <v>105.19199999999999</v>
      </c>
      <c r="P89" s="6">
        <v>1198</v>
      </c>
      <c r="Q89" s="4" t="s">
        <v>26</v>
      </c>
      <c r="R89" s="4">
        <v>0</v>
      </c>
      <c r="S89" s="6">
        <v>0</v>
      </c>
      <c r="T89" s="6">
        <v>18</v>
      </c>
      <c r="U89" s="6">
        <v>55</v>
      </c>
      <c r="V89" s="6">
        <f>IF(ISERROR(VLOOKUP($S$89,'TAR FIN'!$A$1:$O$85,15,0)),0,VLOOKUP($S$89,'TAR FIN'!$A$1:$O$85,15,0))</f>
        <v>0</v>
      </c>
      <c r="W89" s="6">
        <f>IF(ISERROR(VLOOKUP($T$89,'TAR FIN'!$A$1:$O$85,15,0)),0,VLOOKUP($T$89,'TAR FIN'!$A$1:$O$85,15,0))</f>
        <v>284.74</v>
      </c>
      <c r="X89" s="6">
        <f>IF(ISERROR(VLOOKUP($U$89,'TAR FIN'!$A$1:$O$85,15,0)),0,VLOOKUP($U$89,'TAR FIN'!$A$1:$O$85,15,0))</f>
        <v>151.11000000000001</v>
      </c>
      <c r="Y89" s="6"/>
      <c r="Z89" s="6">
        <f ca="1">('TUSD BE'!$AM$22+'TUSD BF'!$AM$22+'TUSD CVA'!$AM$22-('TUSD BE'!$P$22+'TUSD BF'!$P$22+'TUSD CVA'!$P$22)-('TUSD BE'!$Q$22+'TUSD BF'!$Q$22+'TUSD CVA'!$Q$22)-('TUSD BE'!$R$22+'TUSD BF'!$R$22+'TUSD CVA'!$R$22))*(1-CUSTOS!$M$35)</f>
        <v>361.34552300409882</v>
      </c>
      <c r="AA89" s="6">
        <f>('TE BE'!$AA$13+'TE BF'!$AA$13+'TE CVA'!$AA$13)*(1-CUSTOS!$M$35)</f>
        <v>154.01529890901392</v>
      </c>
      <c r="AB89" s="6">
        <f>$K$89*$V$89</f>
        <v>0</v>
      </c>
      <c r="AC89" s="6">
        <f>$M$89*$W$89</f>
        <v>29952.370080000001</v>
      </c>
      <c r="AD89" s="6">
        <f>$O$89*$X$89</f>
        <v>15895.563120000001</v>
      </c>
      <c r="AE89" s="6">
        <f>$K$89*$Y$89</f>
        <v>0</v>
      </c>
      <c r="AF89" s="6">
        <f ca="1">$M$89*$Z$89</f>
        <v>38010.658255847164</v>
      </c>
      <c r="AG89" s="6">
        <f>$O$89*$AA$89</f>
        <v>16201.177322836991</v>
      </c>
    </row>
    <row r="90" spans="1:33" ht="11.25" customHeight="1" x14ac:dyDescent="0.25">
      <c r="A90" s="4" t="s">
        <v>21</v>
      </c>
      <c r="B90" s="4" t="s">
        <v>22</v>
      </c>
      <c r="C90" s="4" t="s">
        <v>23</v>
      </c>
      <c r="D90" s="4" t="s">
        <v>24</v>
      </c>
      <c r="E90" s="4" t="s">
        <v>29</v>
      </c>
      <c r="F90" s="4" t="s">
        <v>25</v>
      </c>
      <c r="G90" s="4" t="s">
        <v>25</v>
      </c>
      <c r="H90" s="4" t="s">
        <v>25</v>
      </c>
      <c r="I90" s="5">
        <v>44562</v>
      </c>
      <c r="J90" s="6">
        <v>0</v>
      </c>
      <c r="K90" s="6">
        <v>0</v>
      </c>
      <c r="L90" s="6">
        <v>102.47799999999999</v>
      </c>
      <c r="M90" s="6">
        <v>102.47799999999999</v>
      </c>
      <c r="N90" s="6">
        <v>102.47799999999999</v>
      </c>
      <c r="O90" s="6">
        <v>102.47799999999999</v>
      </c>
      <c r="P90" s="6">
        <v>1244</v>
      </c>
      <c r="Q90" s="4" t="s">
        <v>26</v>
      </c>
      <c r="R90" s="4">
        <v>0</v>
      </c>
      <c r="S90" s="6">
        <v>0</v>
      </c>
      <c r="T90" s="6">
        <v>18</v>
      </c>
      <c r="U90" s="6">
        <v>55</v>
      </c>
      <c r="V90" s="6">
        <f>IF(ISERROR(VLOOKUP($S$90,'TAR FIN'!$A$1:$O$85,15,0)),0,VLOOKUP($S$90,'TAR FIN'!$A$1:$O$85,15,0))</f>
        <v>0</v>
      </c>
      <c r="W90" s="6">
        <f>IF(ISERROR(VLOOKUP($T$90,'TAR FIN'!$A$1:$O$85,15,0)),0,VLOOKUP($T$90,'TAR FIN'!$A$1:$O$85,15,0))</f>
        <v>284.74</v>
      </c>
      <c r="X90" s="6">
        <f>IF(ISERROR(VLOOKUP($U$90,'TAR FIN'!$A$1:$O$85,15,0)),0,VLOOKUP($U$90,'TAR FIN'!$A$1:$O$85,15,0))</f>
        <v>151.11000000000001</v>
      </c>
      <c r="Y90" s="6"/>
      <c r="Z90" s="6">
        <f ca="1">('TUSD BE'!$AM$22+'TUSD BF'!$AM$22+'TUSD CVA'!$AM$22-('TUSD BE'!$P$22+'TUSD BF'!$P$22+'TUSD CVA'!$P$22)-('TUSD BE'!$Q$22+'TUSD BF'!$Q$22+'TUSD CVA'!$Q$22)-('TUSD BE'!$R$22+'TUSD BF'!$R$22+'TUSD CVA'!$R$22))*(1-CUSTOS!$M$35)</f>
        <v>361.34552300409882</v>
      </c>
      <c r="AA90" s="6">
        <f>('TE BE'!$AA$13+'TE BF'!$AA$13+'TE CVA'!$AA$13)*(1-CUSTOS!$M$35)</f>
        <v>154.01529890901392</v>
      </c>
      <c r="AB90" s="6">
        <f>$K$90*$V$90</f>
        <v>0</v>
      </c>
      <c r="AC90" s="6">
        <f>$M$90*$W$90</f>
        <v>29179.585719999999</v>
      </c>
      <c r="AD90" s="6">
        <f>$O$90*$X$90</f>
        <v>15485.450580000001</v>
      </c>
      <c r="AE90" s="6">
        <f>$K$90*$Y$90</f>
        <v>0</v>
      </c>
      <c r="AF90" s="6">
        <f ca="1">$M$90*$Z$90</f>
        <v>37029.966506414035</v>
      </c>
      <c r="AG90" s="6">
        <f>$O$90*$AA$90</f>
        <v>15783.179801597928</v>
      </c>
    </row>
    <row r="91" spans="1:33" ht="11.25" customHeight="1" x14ac:dyDescent="0.25">
      <c r="A91" s="4" t="s">
        <v>21</v>
      </c>
      <c r="B91" s="4" t="s">
        <v>22</v>
      </c>
      <c r="C91" s="4" t="s">
        <v>23</v>
      </c>
      <c r="D91" s="4" t="s">
        <v>24</v>
      </c>
      <c r="E91" s="4" t="s">
        <v>29</v>
      </c>
      <c r="F91" s="4" t="s">
        <v>25</v>
      </c>
      <c r="G91" s="4" t="s">
        <v>25</v>
      </c>
      <c r="H91" s="4" t="s">
        <v>25</v>
      </c>
      <c r="I91" s="5">
        <v>44593</v>
      </c>
      <c r="J91" s="6">
        <v>0</v>
      </c>
      <c r="K91" s="6">
        <v>0</v>
      </c>
      <c r="L91" s="6">
        <v>109.57299999999999</v>
      </c>
      <c r="M91" s="6">
        <v>109.57299999999999</v>
      </c>
      <c r="N91" s="6">
        <v>109.57299999999999</v>
      </c>
      <c r="O91" s="6">
        <v>109.57299999999999</v>
      </c>
      <c r="P91" s="6">
        <v>1496</v>
      </c>
      <c r="Q91" s="4" t="s">
        <v>26</v>
      </c>
      <c r="R91" s="4">
        <v>0</v>
      </c>
      <c r="S91" s="6">
        <v>0</v>
      </c>
      <c r="T91" s="6">
        <v>18</v>
      </c>
      <c r="U91" s="6">
        <v>55</v>
      </c>
      <c r="V91" s="6">
        <f>IF(ISERROR(VLOOKUP($S$91,'TAR FIN'!$A$1:$O$85,15,0)),0,VLOOKUP($S$91,'TAR FIN'!$A$1:$O$85,15,0))</f>
        <v>0</v>
      </c>
      <c r="W91" s="6">
        <f>IF(ISERROR(VLOOKUP($T$91,'TAR FIN'!$A$1:$O$85,15,0)),0,VLOOKUP($T$91,'TAR FIN'!$A$1:$O$85,15,0))</f>
        <v>284.74</v>
      </c>
      <c r="X91" s="6">
        <f>IF(ISERROR(VLOOKUP($U$91,'TAR FIN'!$A$1:$O$85,15,0)),0,VLOOKUP($U$91,'TAR FIN'!$A$1:$O$85,15,0))</f>
        <v>151.11000000000001</v>
      </c>
      <c r="Y91" s="6"/>
      <c r="Z91" s="6">
        <f ca="1">('TUSD BE'!$AM$22+'TUSD BF'!$AM$22+'TUSD CVA'!$AM$22-('TUSD BE'!$P$22+'TUSD BF'!$P$22+'TUSD CVA'!$P$22)-('TUSD BE'!$Q$22+'TUSD BF'!$Q$22+'TUSD CVA'!$Q$22)-('TUSD BE'!$R$22+'TUSD BF'!$R$22+'TUSD CVA'!$R$22))*(1-CUSTOS!$M$35)</f>
        <v>361.34552300409882</v>
      </c>
      <c r="AA91" s="6">
        <f>('TE BE'!$AA$13+'TE BF'!$AA$13+'TE CVA'!$AA$13)*(1-CUSTOS!$M$35)</f>
        <v>154.01529890901392</v>
      </c>
      <c r="AB91" s="6">
        <f>$K$91*$V$91</f>
        <v>0</v>
      </c>
      <c r="AC91" s="6">
        <f>$M$91*$W$91</f>
        <v>31199.816019999998</v>
      </c>
      <c r="AD91" s="6">
        <f>$O$91*$X$91</f>
        <v>16557.57603</v>
      </c>
      <c r="AE91" s="6">
        <f>$K$91*$Y$91</f>
        <v>0</v>
      </c>
      <c r="AF91" s="6">
        <f ca="1">$M$91*$Z$91</f>
        <v>39593.712992128116</v>
      </c>
      <c r="AG91" s="6">
        <f>$O$91*$AA$91</f>
        <v>16875.918347357383</v>
      </c>
    </row>
    <row r="92" spans="1:33" ht="11.25" customHeight="1" x14ac:dyDescent="0.25">
      <c r="A92" s="4" t="s">
        <v>21</v>
      </c>
      <c r="B92" s="4" t="s">
        <v>22</v>
      </c>
      <c r="C92" s="4" t="s">
        <v>23</v>
      </c>
      <c r="D92" s="4" t="s">
        <v>24</v>
      </c>
      <c r="E92" s="4" t="s">
        <v>29</v>
      </c>
      <c r="F92" s="4" t="s">
        <v>25</v>
      </c>
      <c r="G92" s="4" t="s">
        <v>25</v>
      </c>
      <c r="H92" s="4" t="s">
        <v>25</v>
      </c>
      <c r="I92" s="5">
        <v>44621</v>
      </c>
      <c r="J92" s="6">
        <v>0</v>
      </c>
      <c r="K92" s="6">
        <v>0</v>
      </c>
      <c r="L92" s="6">
        <v>122.306</v>
      </c>
      <c r="M92" s="6">
        <v>122.306</v>
      </c>
      <c r="N92" s="6">
        <v>122.306</v>
      </c>
      <c r="O92" s="6">
        <v>122.306</v>
      </c>
      <c r="P92" s="6">
        <v>1382</v>
      </c>
      <c r="Q92" s="4" t="s">
        <v>26</v>
      </c>
      <c r="R92" s="4">
        <v>0</v>
      </c>
      <c r="S92" s="6">
        <v>0</v>
      </c>
      <c r="T92" s="6">
        <v>18</v>
      </c>
      <c r="U92" s="6">
        <v>55</v>
      </c>
      <c r="V92" s="6">
        <f>IF(ISERROR(VLOOKUP($S$92,'TAR FIN'!$A$1:$O$85,15,0)),0,VLOOKUP($S$92,'TAR FIN'!$A$1:$O$85,15,0))</f>
        <v>0</v>
      </c>
      <c r="W92" s="6">
        <f>IF(ISERROR(VLOOKUP($T$92,'TAR FIN'!$A$1:$O$85,15,0)),0,VLOOKUP($T$92,'TAR FIN'!$A$1:$O$85,15,0))</f>
        <v>284.74</v>
      </c>
      <c r="X92" s="6">
        <f>IF(ISERROR(VLOOKUP($U$92,'TAR FIN'!$A$1:$O$85,15,0)),0,VLOOKUP($U$92,'TAR FIN'!$A$1:$O$85,15,0))</f>
        <v>151.11000000000001</v>
      </c>
      <c r="Y92" s="6"/>
      <c r="Z92" s="6">
        <f ca="1">('TUSD BE'!$AM$22+'TUSD BF'!$AM$22+'TUSD CVA'!$AM$22-('TUSD BE'!$P$22+'TUSD BF'!$P$22+'TUSD CVA'!$P$22)-('TUSD BE'!$Q$22+'TUSD BF'!$Q$22+'TUSD CVA'!$Q$22)-('TUSD BE'!$R$22+'TUSD BF'!$R$22+'TUSD CVA'!$R$22))*(1-CUSTOS!$M$35)</f>
        <v>361.34552300409882</v>
      </c>
      <c r="AA92" s="6">
        <f>('TE BE'!$AA$13+'TE BF'!$AA$13+'TE CVA'!$AA$13)*(1-CUSTOS!$M$35)</f>
        <v>154.01529890901392</v>
      </c>
      <c r="AB92" s="6">
        <f>$K$92*$V$92</f>
        <v>0</v>
      </c>
      <c r="AC92" s="6">
        <f>$M$92*$W$92</f>
        <v>34825.41044</v>
      </c>
      <c r="AD92" s="6">
        <f>$O$92*$X$92</f>
        <v>18481.659660000001</v>
      </c>
      <c r="AE92" s="6">
        <f>$K$92*$Y$92</f>
        <v>0</v>
      </c>
      <c r="AF92" s="6">
        <f ca="1">$M$92*$Z$92</f>
        <v>44194.725536539307</v>
      </c>
      <c r="AG92" s="6">
        <f>$O$92*$AA$92</f>
        <v>18836.995148365855</v>
      </c>
    </row>
    <row r="93" spans="1:33" ht="11.25" customHeight="1" x14ac:dyDescent="0.25">
      <c r="A93" s="4" t="s">
        <v>21</v>
      </c>
      <c r="B93" s="4" t="s">
        <v>22</v>
      </c>
      <c r="C93" s="4" t="s">
        <v>23</v>
      </c>
      <c r="D93" s="4" t="s">
        <v>24</v>
      </c>
      <c r="E93" s="4" t="s">
        <v>29</v>
      </c>
      <c r="F93" s="4" t="s">
        <v>25</v>
      </c>
      <c r="G93" s="4" t="s">
        <v>25</v>
      </c>
      <c r="H93" s="4" t="s">
        <v>25</v>
      </c>
      <c r="I93" s="5">
        <v>44652</v>
      </c>
      <c r="J93" s="6">
        <v>0</v>
      </c>
      <c r="K93" s="6">
        <v>0</v>
      </c>
      <c r="L93" s="6">
        <v>123.492</v>
      </c>
      <c r="M93" s="6">
        <v>123.492</v>
      </c>
      <c r="N93" s="6">
        <v>123.492</v>
      </c>
      <c r="O93" s="6">
        <v>123.492</v>
      </c>
      <c r="P93" s="6">
        <v>1474</v>
      </c>
      <c r="Q93" s="4" t="s">
        <v>26</v>
      </c>
      <c r="R93" s="4">
        <v>0</v>
      </c>
      <c r="S93" s="6">
        <v>0</v>
      </c>
      <c r="T93" s="6">
        <v>18</v>
      </c>
      <c r="U93" s="6">
        <v>55</v>
      </c>
      <c r="V93" s="6">
        <f>IF(ISERROR(VLOOKUP($S$93,'TAR FIN'!$A$1:$O$85,15,0)),0,VLOOKUP($S$93,'TAR FIN'!$A$1:$O$85,15,0))</f>
        <v>0</v>
      </c>
      <c r="W93" s="6">
        <f>IF(ISERROR(VLOOKUP($T$93,'TAR FIN'!$A$1:$O$85,15,0)),0,VLOOKUP($T$93,'TAR FIN'!$A$1:$O$85,15,0))</f>
        <v>284.74</v>
      </c>
      <c r="X93" s="6">
        <f>IF(ISERROR(VLOOKUP($U$93,'TAR FIN'!$A$1:$O$85,15,0)),0,VLOOKUP($U$93,'TAR FIN'!$A$1:$O$85,15,0))</f>
        <v>151.11000000000001</v>
      </c>
      <c r="Y93" s="6"/>
      <c r="Z93" s="6">
        <f ca="1">('TUSD BE'!$AM$22+'TUSD BF'!$AM$22+'TUSD CVA'!$AM$22-('TUSD BE'!$P$22+'TUSD BF'!$P$22+'TUSD CVA'!$P$22)-('TUSD BE'!$Q$22+'TUSD BF'!$Q$22+'TUSD CVA'!$Q$22)-('TUSD BE'!$R$22+'TUSD BF'!$R$22+'TUSD CVA'!$R$22))*(1-CUSTOS!$M$35)</f>
        <v>361.34552300409882</v>
      </c>
      <c r="AA93" s="6">
        <f>('TE BE'!$AA$13+'TE BF'!$AA$13+'TE CVA'!$AA$13)*(1-CUSTOS!$M$35)</f>
        <v>154.01529890901392</v>
      </c>
      <c r="AB93" s="6">
        <f>$K$93*$V$93</f>
        <v>0</v>
      </c>
      <c r="AC93" s="6">
        <f>$M$93*$W$93</f>
        <v>35163.112079999999</v>
      </c>
      <c r="AD93" s="6">
        <f>$O$93*$X$93</f>
        <v>18660.876120000001</v>
      </c>
      <c r="AE93" s="6">
        <f>$K$93*$Y$93</f>
        <v>0</v>
      </c>
      <c r="AF93" s="6">
        <f ca="1">$M$93*$Z$93</f>
        <v>44623.281326822173</v>
      </c>
      <c r="AG93" s="6">
        <f>$O$93*$AA$93</f>
        <v>19019.657292871947</v>
      </c>
    </row>
    <row r="94" spans="1:33" ht="11.25" customHeight="1" x14ac:dyDescent="0.25">
      <c r="A94" s="4" t="s">
        <v>21</v>
      </c>
      <c r="B94" s="4" t="s">
        <v>22</v>
      </c>
      <c r="C94" s="4" t="s">
        <v>23</v>
      </c>
      <c r="D94" s="4" t="s">
        <v>24</v>
      </c>
      <c r="E94" s="4" t="s">
        <v>30</v>
      </c>
      <c r="F94" s="4" t="s">
        <v>25</v>
      </c>
      <c r="G94" s="4" t="s">
        <v>25</v>
      </c>
      <c r="H94" s="4" t="s">
        <v>25</v>
      </c>
      <c r="I94" s="5">
        <v>44317</v>
      </c>
      <c r="J94" s="6">
        <v>0</v>
      </c>
      <c r="K94" s="6">
        <v>0</v>
      </c>
      <c r="L94" s="6">
        <v>31.216000000000001</v>
      </c>
      <c r="M94" s="6">
        <v>31.216000000000001</v>
      </c>
      <c r="N94" s="6">
        <v>31.216000000000001</v>
      </c>
      <c r="O94" s="6">
        <v>31.216000000000001</v>
      </c>
      <c r="P94" s="6">
        <v>630</v>
      </c>
      <c r="Q94" s="4" t="s">
        <v>26</v>
      </c>
      <c r="R94" s="4">
        <v>0</v>
      </c>
      <c r="S94" s="6">
        <v>0</v>
      </c>
      <c r="T94" s="6">
        <v>19</v>
      </c>
      <c r="U94" s="6">
        <v>56</v>
      </c>
      <c r="V94" s="6">
        <f>IF(ISERROR(VLOOKUP($S$94,'TAR FIN'!$A$1:$O$85,15,0)),0,VLOOKUP($S$94,'TAR FIN'!$A$1:$O$85,15,0))</f>
        <v>0</v>
      </c>
      <c r="W94" s="6">
        <f>IF(ISERROR(VLOOKUP($T$94,'TAR FIN'!$A$1:$O$85,15,0)),0,VLOOKUP($T$94,'TAR FIN'!$A$1:$O$85,15,0))</f>
        <v>427.11</v>
      </c>
      <c r="X94" s="6">
        <f>IF(ISERROR(VLOOKUP($U$94,'TAR FIN'!$A$1:$O$85,15,0)),0,VLOOKUP($U$94,'TAR FIN'!$A$1:$O$85,15,0))</f>
        <v>226.67</v>
      </c>
      <c r="Y94" s="6"/>
      <c r="Z94" s="6">
        <f ca="1">('TUSD BE'!$AM$23+'TUSD BF'!$AM$23+'TUSD CVA'!$AM$23-('TUSD BE'!$P$23+'TUSD BF'!$P$23+'TUSD CVA'!$P$23)-('TUSD BE'!$Q$23+'TUSD BF'!$Q$23+'TUSD CVA'!$Q$23)-('TUSD BE'!$R$23+'TUSD BF'!$R$23+'TUSD CVA'!$R$23))*(1-CUSTOS!$M$36)</f>
        <v>542.01828450614823</v>
      </c>
      <c r="AA94" s="6">
        <f>('TE BE'!$AA$14+'TE BF'!$AA$14+'TE CVA'!$AA$14)*(1-CUSTOS!$M$36)</f>
        <v>231.02294836352087</v>
      </c>
      <c r="AB94" s="6">
        <f>$K$94*$V$94</f>
        <v>0</v>
      </c>
      <c r="AC94" s="6">
        <f>$M$94*$W$94</f>
        <v>13332.665760000002</v>
      </c>
      <c r="AD94" s="6">
        <f>$O$94*$X$94</f>
        <v>7075.7307199999996</v>
      </c>
      <c r="AE94" s="6">
        <f>$K$94*$Y$94</f>
        <v>0</v>
      </c>
      <c r="AF94" s="6">
        <f ca="1">$M$94*$Z$94</f>
        <v>16919.642769143924</v>
      </c>
      <c r="AG94" s="6">
        <f>$O$94*$AA$94</f>
        <v>7211.6123561156674</v>
      </c>
    </row>
    <row r="95" spans="1:33" ht="11.25" customHeight="1" x14ac:dyDescent="0.25">
      <c r="A95" s="4" t="s">
        <v>21</v>
      </c>
      <c r="B95" s="4" t="s">
        <v>22</v>
      </c>
      <c r="C95" s="4" t="s">
        <v>23</v>
      </c>
      <c r="D95" s="4" t="s">
        <v>24</v>
      </c>
      <c r="E95" s="4" t="s">
        <v>30</v>
      </c>
      <c r="F95" s="4" t="s">
        <v>25</v>
      </c>
      <c r="G95" s="4" t="s">
        <v>25</v>
      </c>
      <c r="H95" s="4" t="s">
        <v>25</v>
      </c>
      <c r="I95" s="5">
        <v>44348</v>
      </c>
      <c r="J95" s="6">
        <v>0</v>
      </c>
      <c r="K95" s="6">
        <v>0</v>
      </c>
      <c r="L95" s="6">
        <v>25.992000000000001</v>
      </c>
      <c r="M95" s="6">
        <v>25.992000000000001</v>
      </c>
      <c r="N95" s="6">
        <v>25.992000000000001</v>
      </c>
      <c r="O95" s="6">
        <v>25.992000000000001</v>
      </c>
      <c r="P95" s="6">
        <v>560</v>
      </c>
      <c r="Q95" s="4" t="s">
        <v>26</v>
      </c>
      <c r="R95" s="4">
        <v>0</v>
      </c>
      <c r="S95" s="6">
        <v>0</v>
      </c>
      <c r="T95" s="6">
        <v>19</v>
      </c>
      <c r="U95" s="6">
        <v>56</v>
      </c>
      <c r="V95" s="6">
        <f>IF(ISERROR(VLOOKUP($S$95,'TAR FIN'!$A$1:$O$85,15,0)),0,VLOOKUP($S$95,'TAR FIN'!$A$1:$O$85,15,0))</f>
        <v>0</v>
      </c>
      <c r="W95" s="6">
        <f>IF(ISERROR(VLOOKUP($T$95,'TAR FIN'!$A$1:$O$85,15,0)),0,VLOOKUP($T$95,'TAR FIN'!$A$1:$O$85,15,0))</f>
        <v>427.11</v>
      </c>
      <c r="X95" s="6">
        <f>IF(ISERROR(VLOOKUP($U$95,'TAR FIN'!$A$1:$O$85,15,0)),0,VLOOKUP($U$95,'TAR FIN'!$A$1:$O$85,15,0))</f>
        <v>226.67</v>
      </c>
      <c r="Y95" s="6"/>
      <c r="Z95" s="6">
        <f ca="1">('TUSD BE'!$AM$23+'TUSD BF'!$AM$23+'TUSD CVA'!$AM$23-('TUSD BE'!$P$23+'TUSD BF'!$P$23+'TUSD CVA'!$P$23)-('TUSD BE'!$Q$23+'TUSD BF'!$Q$23+'TUSD CVA'!$Q$23)-('TUSD BE'!$R$23+'TUSD BF'!$R$23+'TUSD CVA'!$R$23))*(1-CUSTOS!$M$36)</f>
        <v>542.01828450614823</v>
      </c>
      <c r="AA95" s="6">
        <f>('TE BE'!$AA$14+'TE BF'!$AA$14+'TE CVA'!$AA$14)*(1-CUSTOS!$M$36)</f>
        <v>231.02294836352087</v>
      </c>
      <c r="AB95" s="6">
        <f>$K$95*$V$95</f>
        <v>0</v>
      </c>
      <c r="AC95" s="6">
        <f>$M$95*$W$95</f>
        <v>11101.44312</v>
      </c>
      <c r="AD95" s="6">
        <f>$O$95*$X$95</f>
        <v>5891.60664</v>
      </c>
      <c r="AE95" s="6">
        <f>$K$95*$Y$95</f>
        <v>0</v>
      </c>
      <c r="AF95" s="6">
        <f ca="1">$M$95*$Z$95</f>
        <v>14088.139250883805</v>
      </c>
      <c r="AG95" s="6">
        <f>$O$95*$AA$95</f>
        <v>6004.7484738646344</v>
      </c>
    </row>
    <row r="96" spans="1:33" ht="11.25" customHeight="1" x14ac:dyDescent="0.25">
      <c r="A96" s="4" t="s">
        <v>21</v>
      </c>
      <c r="B96" s="4" t="s">
        <v>22</v>
      </c>
      <c r="C96" s="4" t="s">
        <v>23</v>
      </c>
      <c r="D96" s="4" t="s">
        <v>24</v>
      </c>
      <c r="E96" s="4" t="s">
        <v>30</v>
      </c>
      <c r="F96" s="4" t="s">
        <v>25</v>
      </c>
      <c r="G96" s="4" t="s">
        <v>25</v>
      </c>
      <c r="H96" s="4" t="s">
        <v>25</v>
      </c>
      <c r="I96" s="5">
        <v>44378</v>
      </c>
      <c r="J96" s="6">
        <v>0</v>
      </c>
      <c r="K96" s="6">
        <v>0</v>
      </c>
      <c r="L96" s="6">
        <v>23.824999999999999</v>
      </c>
      <c r="M96" s="6">
        <v>23.824999999999999</v>
      </c>
      <c r="N96" s="6">
        <v>23.824999999999999</v>
      </c>
      <c r="O96" s="6">
        <v>23.824999999999999</v>
      </c>
      <c r="P96" s="6">
        <v>500</v>
      </c>
      <c r="Q96" s="4" t="s">
        <v>26</v>
      </c>
      <c r="R96" s="4">
        <v>0</v>
      </c>
      <c r="S96" s="6">
        <v>0</v>
      </c>
      <c r="T96" s="6">
        <v>19</v>
      </c>
      <c r="U96" s="6">
        <v>56</v>
      </c>
      <c r="V96" s="6">
        <f>IF(ISERROR(VLOOKUP($S$96,'TAR FIN'!$A$1:$O$85,15,0)),0,VLOOKUP($S$96,'TAR FIN'!$A$1:$O$85,15,0))</f>
        <v>0</v>
      </c>
      <c r="W96" s="6">
        <f>IF(ISERROR(VLOOKUP($T$96,'TAR FIN'!$A$1:$O$85,15,0)),0,VLOOKUP($T$96,'TAR FIN'!$A$1:$O$85,15,0))</f>
        <v>427.11</v>
      </c>
      <c r="X96" s="6">
        <f>IF(ISERROR(VLOOKUP($U$96,'TAR FIN'!$A$1:$O$85,15,0)),0,VLOOKUP($U$96,'TAR FIN'!$A$1:$O$85,15,0))</f>
        <v>226.67</v>
      </c>
      <c r="Y96" s="6"/>
      <c r="Z96" s="6">
        <f ca="1">('TUSD BE'!$AM$23+'TUSD BF'!$AM$23+'TUSD CVA'!$AM$23-('TUSD BE'!$P$23+'TUSD BF'!$P$23+'TUSD CVA'!$P$23)-('TUSD BE'!$Q$23+'TUSD BF'!$Q$23+'TUSD CVA'!$Q$23)-('TUSD BE'!$R$23+'TUSD BF'!$R$23+'TUSD CVA'!$R$23))*(1-CUSTOS!$M$36)</f>
        <v>542.01828450614823</v>
      </c>
      <c r="AA96" s="6">
        <f>('TE BE'!$AA$14+'TE BF'!$AA$14+'TE CVA'!$AA$14)*(1-CUSTOS!$M$36)</f>
        <v>231.02294836352087</v>
      </c>
      <c r="AB96" s="6">
        <f>$K$96*$V$96</f>
        <v>0</v>
      </c>
      <c r="AC96" s="6">
        <f>$M$96*$W$96</f>
        <v>10175.89575</v>
      </c>
      <c r="AD96" s="6">
        <f>$O$96*$X$96</f>
        <v>5400.4127499999995</v>
      </c>
      <c r="AE96" s="6">
        <f>$K$96*$Y$96</f>
        <v>0</v>
      </c>
      <c r="AF96" s="6">
        <f ca="1">$M$96*$Z$96</f>
        <v>12913.585628358982</v>
      </c>
      <c r="AG96" s="6">
        <f>$O$96*$AA$96</f>
        <v>5504.1217447608842</v>
      </c>
    </row>
    <row r="97" spans="1:33" ht="11.25" customHeight="1" x14ac:dyDescent="0.25">
      <c r="A97" s="4" t="s">
        <v>21</v>
      </c>
      <c r="B97" s="4" t="s">
        <v>22</v>
      </c>
      <c r="C97" s="4" t="s">
        <v>23</v>
      </c>
      <c r="D97" s="4" t="s">
        <v>24</v>
      </c>
      <c r="E97" s="4" t="s">
        <v>30</v>
      </c>
      <c r="F97" s="4" t="s">
        <v>25</v>
      </c>
      <c r="G97" s="4" t="s">
        <v>25</v>
      </c>
      <c r="H97" s="4" t="s">
        <v>25</v>
      </c>
      <c r="I97" s="5">
        <v>44409</v>
      </c>
      <c r="J97" s="6">
        <v>0</v>
      </c>
      <c r="K97" s="6">
        <v>0</v>
      </c>
      <c r="L97" s="6">
        <v>23.878</v>
      </c>
      <c r="M97" s="6">
        <v>23.878</v>
      </c>
      <c r="N97" s="6">
        <v>23.878</v>
      </c>
      <c r="O97" s="6">
        <v>23.878</v>
      </c>
      <c r="P97" s="6">
        <v>511</v>
      </c>
      <c r="Q97" s="4" t="s">
        <v>26</v>
      </c>
      <c r="R97" s="4">
        <v>0</v>
      </c>
      <c r="S97" s="6">
        <v>0</v>
      </c>
      <c r="T97" s="6">
        <v>19</v>
      </c>
      <c r="U97" s="6">
        <v>56</v>
      </c>
      <c r="V97" s="6">
        <f>IF(ISERROR(VLOOKUP($S$97,'TAR FIN'!$A$1:$O$85,15,0)),0,VLOOKUP($S$97,'TAR FIN'!$A$1:$O$85,15,0))</f>
        <v>0</v>
      </c>
      <c r="W97" s="6">
        <f>IF(ISERROR(VLOOKUP($T$97,'TAR FIN'!$A$1:$O$85,15,0)),0,VLOOKUP($T$97,'TAR FIN'!$A$1:$O$85,15,0))</f>
        <v>427.11</v>
      </c>
      <c r="X97" s="6">
        <f>IF(ISERROR(VLOOKUP($U$97,'TAR FIN'!$A$1:$O$85,15,0)),0,VLOOKUP($U$97,'TAR FIN'!$A$1:$O$85,15,0))</f>
        <v>226.67</v>
      </c>
      <c r="Y97" s="6"/>
      <c r="Z97" s="6">
        <f ca="1">('TUSD BE'!$AM$23+'TUSD BF'!$AM$23+'TUSD CVA'!$AM$23-('TUSD BE'!$P$23+'TUSD BF'!$P$23+'TUSD CVA'!$P$23)-('TUSD BE'!$Q$23+'TUSD BF'!$Q$23+'TUSD CVA'!$Q$23)-('TUSD BE'!$R$23+'TUSD BF'!$R$23+'TUSD CVA'!$R$23))*(1-CUSTOS!$M$36)</f>
        <v>542.01828450614823</v>
      </c>
      <c r="AA97" s="6">
        <f>('TE BE'!$AA$14+'TE BF'!$AA$14+'TE CVA'!$AA$14)*(1-CUSTOS!$M$36)</f>
        <v>231.02294836352087</v>
      </c>
      <c r="AB97" s="6">
        <f>$K$97*$V$97</f>
        <v>0</v>
      </c>
      <c r="AC97" s="6">
        <f>$M$97*$W$97</f>
        <v>10198.532580000001</v>
      </c>
      <c r="AD97" s="6">
        <f>$O$97*$X$97</f>
        <v>5412.4262599999993</v>
      </c>
      <c r="AE97" s="6">
        <f>$K$97*$Y$97</f>
        <v>0</v>
      </c>
      <c r="AF97" s="6">
        <f ca="1">$M$97*$Z$97</f>
        <v>12942.312597437807</v>
      </c>
      <c r="AG97" s="6">
        <f>$O$97*$AA$97</f>
        <v>5516.3659610241511</v>
      </c>
    </row>
    <row r="98" spans="1:33" ht="11.25" customHeight="1" x14ac:dyDescent="0.25">
      <c r="A98" s="4" t="s">
        <v>21</v>
      </c>
      <c r="B98" s="4" t="s">
        <v>22</v>
      </c>
      <c r="C98" s="4" t="s">
        <v>23</v>
      </c>
      <c r="D98" s="4" t="s">
        <v>24</v>
      </c>
      <c r="E98" s="4" t="s">
        <v>30</v>
      </c>
      <c r="F98" s="4" t="s">
        <v>25</v>
      </c>
      <c r="G98" s="4" t="s">
        <v>25</v>
      </c>
      <c r="H98" s="4" t="s">
        <v>25</v>
      </c>
      <c r="I98" s="5">
        <v>44440</v>
      </c>
      <c r="J98" s="6">
        <v>0</v>
      </c>
      <c r="K98" s="6">
        <v>0</v>
      </c>
      <c r="L98" s="6">
        <v>25.832999999999998</v>
      </c>
      <c r="M98" s="6">
        <v>25.832999999999998</v>
      </c>
      <c r="N98" s="6">
        <v>25.832999999999998</v>
      </c>
      <c r="O98" s="6">
        <v>25.832999999999998</v>
      </c>
      <c r="P98" s="6">
        <v>562</v>
      </c>
      <c r="Q98" s="4" t="s">
        <v>26</v>
      </c>
      <c r="R98" s="4">
        <v>0</v>
      </c>
      <c r="S98" s="6">
        <v>0</v>
      </c>
      <c r="T98" s="6">
        <v>19</v>
      </c>
      <c r="U98" s="6">
        <v>56</v>
      </c>
      <c r="V98" s="6">
        <f>IF(ISERROR(VLOOKUP($S$98,'TAR FIN'!$A$1:$O$85,15,0)),0,VLOOKUP($S$98,'TAR FIN'!$A$1:$O$85,15,0))</f>
        <v>0</v>
      </c>
      <c r="W98" s="6">
        <f>IF(ISERROR(VLOOKUP($T$98,'TAR FIN'!$A$1:$O$85,15,0)),0,VLOOKUP($T$98,'TAR FIN'!$A$1:$O$85,15,0))</f>
        <v>427.11</v>
      </c>
      <c r="X98" s="6">
        <f>IF(ISERROR(VLOOKUP($U$98,'TAR FIN'!$A$1:$O$85,15,0)),0,VLOOKUP($U$98,'TAR FIN'!$A$1:$O$85,15,0))</f>
        <v>226.67</v>
      </c>
      <c r="Y98" s="6"/>
      <c r="Z98" s="6">
        <f ca="1">('TUSD BE'!$AM$23+'TUSD BF'!$AM$23+'TUSD CVA'!$AM$23-('TUSD BE'!$P$23+'TUSD BF'!$P$23+'TUSD CVA'!$P$23)-('TUSD BE'!$Q$23+'TUSD BF'!$Q$23+'TUSD CVA'!$Q$23)-('TUSD BE'!$R$23+'TUSD BF'!$R$23+'TUSD CVA'!$R$23))*(1-CUSTOS!$M$36)</f>
        <v>542.01828450614823</v>
      </c>
      <c r="AA98" s="6">
        <f>('TE BE'!$AA$14+'TE BF'!$AA$14+'TE CVA'!$AA$14)*(1-CUSTOS!$M$36)</f>
        <v>231.02294836352087</v>
      </c>
      <c r="AB98" s="6">
        <f>$K$98*$V$98</f>
        <v>0</v>
      </c>
      <c r="AC98" s="6">
        <f>$M$98*$W$98</f>
        <v>11033.53263</v>
      </c>
      <c r="AD98" s="6">
        <f>$O$98*$X$98</f>
        <v>5855.5661099999998</v>
      </c>
      <c r="AE98" s="6">
        <f>$K$98*$Y$98</f>
        <v>0</v>
      </c>
      <c r="AF98" s="6">
        <f ca="1">$M$98*$Z$98</f>
        <v>14001.958343647326</v>
      </c>
      <c r="AG98" s="6">
        <f>$O$98*$AA$98</f>
        <v>5968.0158250748345</v>
      </c>
    </row>
    <row r="99" spans="1:33" ht="11.25" customHeight="1" x14ac:dyDescent="0.25">
      <c r="A99" s="4" t="s">
        <v>21</v>
      </c>
      <c r="B99" s="4" t="s">
        <v>22</v>
      </c>
      <c r="C99" s="4" t="s">
        <v>23</v>
      </c>
      <c r="D99" s="4" t="s">
        <v>24</v>
      </c>
      <c r="E99" s="4" t="s">
        <v>30</v>
      </c>
      <c r="F99" s="4" t="s">
        <v>25</v>
      </c>
      <c r="G99" s="4" t="s">
        <v>25</v>
      </c>
      <c r="H99" s="4" t="s">
        <v>25</v>
      </c>
      <c r="I99" s="5">
        <v>44470</v>
      </c>
      <c r="J99" s="6">
        <v>0</v>
      </c>
      <c r="K99" s="6">
        <v>0</v>
      </c>
      <c r="L99" s="6">
        <v>26.504999999999999</v>
      </c>
      <c r="M99" s="6">
        <v>26.504999999999999</v>
      </c>
      <c r="N99" s="6">
        <v>26.504999999999999</v>
      </c>
      <c r="O99" s="6">
        <v>26.504999999999999</v>
      </c>
      <c r="P99" s="6">
        <v>569</v>
      </c>
      <c r="Q99" s="4" t="s">
        <v>26</v>
      </c>
      <c r="R99" s="4">
        <v>0</v>
      </c>
      <c r="S99" s="6">
        <v>0</v>
      </c>
      <c r="T99" s="6">
        <v>19</v>
      </c>
      <c r="U99" s="6">
        <v>56</v>
      </c>
      <c r="V99" s="6">
        <f>IF(ISERROR(VLOOKUP($S$99,'TAR FIN'!$A$1:$O$85,15,0)),0,VLOOKUP($S$99,'TAR FIN'!$A$1:$O$85,15,0))</f>
        <v>0</v>
      </c>
      <c r="W99" s="6">
        <f>IF(ISERROR(VLOOKUP($T$99,'TAR FIN'!$A$1:$O$85,15,0)),0,VLOOKUP($T$99,'TAR FIN'!$A$1:$O$85,15,0))</f>
        <v>427.11</v>
      </c>
      <c r="X99" s="6">
        <f>IF(ISERROR(VLOOKUP($U$99,'TAR FIN'!$A$1:$O$85,15,0)),0,VLOOKUP($U$99,'TAR FIN'!$A$1:$O$85,15,0))</f>
        <v>226.67</v>
      </c>
      <c r="Y99" s="6"/>
      <c r="Z99" s="6">
        <f ca="1">('TUSD BE'!$AM$23+'TUSD BF'!$AM$23+'TUSD CVA'!$AM$23-('TUSD BE'!$P$23+'TUSD BF'!$P$23+'TUSD CVA'!$P$23)-('TUSD BE'!$Q$23+'TUSD BF'!$Q$23+'TUSD CVA'!$Q$23)-('TUSD BE'!$R$23+'TUSD BF'!$R$23+'TUSD CVA'!$R$23))*(1-CUSTOS!$M$36)</f>
        <v>542.01828450614823</v>
      </c>
      <c r="AA99" s="6">
        <f>('TE BE'!$AA$14+'TE BF'!$AA$14+'TE CVA'!$AA$14)*(1-CUSTOS!$M$36)</f>
        <v>231.02294836352087</v>
      </c>
      <c r="AB99" s="6">
        <f>$K$99*$V$99</f>
        <v>0</v>
      </c>
      <c r="AC99" s="6">
        <f>$M$99*$W$99</f>
        <v>11320.55055</v>
      </c>
      <c r="AD99" s="6">
        <f>$O$99*$X$99</f>
        <v>6007.8883499999993</v>
      </c>
      <c r="AE99" s="6">
        <f>$K$99*$Y$99</f>
        <v>0</v>
      </c>
      <c r="AF99" s="6">
        <f ca="1">$M$99*$Z$99</f>
        <v>14366.194630835458</v>
      </c>
      <c r="AG99" s="6">
        <f>$O$99*$AA$99</f>
        <v>6123.2632463751206</v>
      </c>
    </row>
    <row r="100" spans="1:33" ht="11.25" customHeight="1" x14ac:dyDescent="0.25">
      <c r="A100" s="4" t="s">
        <v>21</v>
      </c>
      <c r="B100" s="4" t="s">
        <v>22</v>
      </c>
      <c r="C100" s="4" t="s">
        <v>23</v>
      </c>
      <c r="D100" s="4" t="s">
        <v>24</v>
      </c>
      <c r="E100" s="4" t="s">
        <v>30</v>
      </c>
      <c r="F100" s="4" t="s">
        <v>25</v>
      </c>
      <c r="G100" s="4" t="s">
        <v>25</v>
      </c>
      <c r="H100" s="4" t="s">
        <v>25</v>
      </c>
      <c r="I100" s="5">
        <v>44501</v>
      </c>
      <c r="J100" s="6">
        <v>0</v>
      </c>
      <c r="K100" s="6">
        <v>0</v>
      </c>
      <c r="L100" s="6">
        <v>45.292999999999999</v>
      </c>
      <c r="M100" s="6">
        <v>45.292999999999999</v>
      </c>
      <c r="N100" s="6">
        <v>45.292999999999999</v>
      </c>
      <c r="O100" s="6">
        <v>45.292999999999999</v>
      </c>
      <c r="P100" s="6">
        <v>805</v>
      </c>
      <c r="Q100" s="4" t="s">
        <v>26</v>
      </c>
      <c r="R100" s="4">
        <v>0</v>
      </c>
      <c r="S100" s="6">
        <v>0</v>
      </c>
      <c r="T100" s="6">
        <v>19</v>
      </c>
      <c r="U100" s="6">
        <v>56</v>
      </c>
      <c r="V100" s="6">
        <f>IF(ISERROR(VLOOKUP($S$100,'TAR FIN'!$A$1:$O$85,15,0)),0,VLOOKUP($S$100,'TAR FIN'!$A$1:$O$85,15,0))</f>
        <v>0</v>
      </c>
      <c r="W100" s="6">
        <f>IF(ISERROR(VLOOKUP($T$100,'TAR FIN'!$A$1:$O$85,15,0)),0,VLOOKUP($T$100,'TAR FIN'!$A$1:$O$85,15,0))</f>
        <v>427.11</v>
      </c>
      <c r="X100" s="6">
        <f>IF(ISERROR(VLOOKUP($U$100,'TAR FIN'!$A$1:$O$85,15,0)),0,VLOOKUP($U$100,'TAR FIN'!$A$1:$O$85,15,0))</f>
        <v>226.67</v>
      </c>
      <c r="Y100" s="6"/>
      <c r="Z100" s="6">
        <f ca="1">('TUSD BE'!$AM$23+'TUSD BF'!$AM$23+'TUSD CVA'!$AM$23-('TUSD BE'!$P$23+'TUSD BF'!$P$23+'TUSD CVA'!$P$23)-('TUSD BE'!$Q$23+'TUSD BF'!$Q$23+'TUSD CVA'!$Q$23)-('TUSD BE'!$R$23+'TUSD BF'!$R$23+'TUSD CVA'!$R$23))*(1-CUSTOS!$M$36)</f>
        <v>542.01828450614823</v>
      </c>
      <c r="AA100" s="6">
        <f>('TE BE'!$AA$14+'TE BF'!$AA$14+'TE CVA'!$AA$14)*(1-CUSTOS!$M$36)</f>
        <v>231.02294836352087</v>
      </c>
      <c r="AB100" s="6">
        <f>$K$100*$V$100</f>
        <v>0</v>
      </c>
      <c r="AC100" s="6">
        <f>$M$100*$W$100</f>
        <v>19345.093229999999</v>
      </c>
      <c r="AD100" s="6">
        <f>$O$100*$X$100</f>
        <v>10266.56431</v>
      </c>
      <c r="AE100" s="6">
        <f>$K$100*$Y$100</f>
        <v>0</v>
      </c>
      <c r="AF100" s="6">
        <f ca="1">$M$100*$Z$100</f>
        <v>24549.634160136971</v>
      </c>
      <c r="AG100" s="6">
        <f>$O$100*$AA$100</f>
        <v>10463.722400228951</v>
      </c>
    </row>
    <row r="101" spans="1:33" ht="11.25" customHeight="1" x14ac:dyDescent="0.25">
      <c r="A101" s="4" t="s">
        <v>21</v>
      </c>
      <c r="B101" s="4" t="s">
        <v>22</v>
      </c>
      <c r="C101" s="4" t="s">
        <v>23</v>
      </c>
      <c r="D101" s="4" t="s">
        <v>24</v>
      </c>
      <c r="E101" s="4" t="s">
        <v>30</v>
      </c>
      <c r="F101" s="4" t="s">
        <v>25</v>
      </c>
      <c r="G101" s="4" t="s">
        <v>25</v>
      </c>
      <c r="H101" s="4" t="s">
        <v>25</v>
      </c>
      <c r="I101" s="5">
        <v>44531</v>
      </c>
      <c r="J101" s="6">
        <v>0</v>
      </c>
      <c r="K101" s="6">
        <v>0</v>
      </c>
      <c r="L101" s="6">
        <v>38.020000000000003</v>
      </c>
      <c r="M101" s="6">
        <v>38.020000000000003</v>
      </c>
      <c r="N101" s="6">
        <v>38.020000000000003</v>
      </c>
      <c r="O101" s="6">
        <v>38.020000000000003</v>
      </c>
      <c r="P101" s="6">
        <v>726</v>
      </c>
      <c r="Q101" s="4" t="s">
        <v>26</v>
      </c>
      <c r="R101" s="4">
        <v>0</v>
      </c>
      <c r="S101" s="6">
        <v>0</v>
      </c>
      <c r="T101" s="6">
        <v>19</v>
      </c>
      <c r="U101" s="6">
        <v>56</v>
      </c>
      <c r="V101" s="6">
        <f>IF(ISERROR(VLOOKUP($S$101,'TAR FIN'!$A$1:$O$85,15,0)),0,VLOOKUP($S$101,'TAR FIN'!$A$1:$O$85,15,0))</f>
        <v>0</v>
      </c>
      <c r="W101" s="6">
        <f>IF(ISERROR(VLOOKUP($T$101,'TAR FIN'!$A$1:$O$85,15,0)),0,VLOOKUP($T$101,'TAR FIN'!$A$1:$O$85,15,0))</f>
        <v>427.11</v>
      </c>
      <c r="X101" s="6">
        <f>IF(ISERROR(VLOOKUP($U$101,'TAR FIN'!$A$1:$O$85,15,0)),0,VLOOKUP($U$101,'TAR FIN'!$A$1:$O$85,15,0))</f>
        <v>226.67</v>
      </c>
      <c r="Y101" s="6"/>
      <c r="Z101" s="6">
        <f ca="1">('TUSD BE'!$AM$23+'TUSD BF'!$AM$23+'TUSD CVA'!$AM$23-('TUSD BE'!$P$23+'TUSD BF'!$P$23+'TUSD CVA'!$P$23)-('TUSD BE'!$Q$23+'TUSD BF'!$Q$23+'TUSD CVA'!$Q$23)-('TUSD BE'!$R$23+'TUSD BF'!$R$23+'TUSD CVA'!$R$23))*(1-CUSTOS!$M$36)</f>
        <v>542.01828450614823</v>
      </c>
      <c r="AA101" s="6">
        <f>('TE BE'!$AA$14+'TE BF'!$AA$14+'TE CVA'!$AA$14)*(1-CUSTOS!$M$36)</f>
        <v>231.02294836352087</v>
      </c>
      <c r="AB101" s="6">
        <f>$K$101*$V$101</f>
        <v>0</v>
      </c>
      <c r="AC101" s="6">
        <f>$M$101*$W$101</f>
        <v>16238.722200000002</v>
      </c>
      <c r="AD101" s="6">
        <f>$O$101*$X$101</f>
        <v>8617.9933999999994</v>
      </c>
      <c r="AE101" s="6">
        <f>$K$101*$Y$101</f>
        <v>0</v>
      </c>
      <c r="AF101" s="6">
        <f ca="1">$M$101*$Z$101</f>
        <v>20607.535176923757</v>
      </c>
      <c r="AG101" s="6">
        <f>$O$101*$AA$101</f>
        <v>8783.4924967810639</v>
      </c>
    </row>
    <row r="102" spans="1:33" ht="11.25" customHeight="1" x14ac:dyDescent="0.25">
      <c r="A102" s="4" t="s">
        <v>21</v>
      </c>
      <c r="B102" s="4" t="s">
        <v>22</v>
      </c>
      <c r="C102" s="4" t="s">
        <v>23</v>
      </c>
      <c r="D102" s="4" t="s">
        <v>24</v>
      </c>
      <c r="E102" s="4" t="s">
        <v>30</v>
      </c>
      <c r="F102" s="4" t="s">
        <v>25</v>
      </c>
      <c r="G102" s="4" t="s">
        <v>25</v>
      </c>
      <c r="H102" s="4" t="s">
        <v>25</v>
      </c>
      <c r="I102" s="5">
        <v>44562</v>
      </c>
      <c r="J102" s="6">
        <v>0</v>
      </c>
      <c r="K102" s="6">
        <v>0</v>
      </c>
      <c r="L102" s="6">
        <v>35.238999999999997</v>
      </c>
      <c r="M102" s="6">
        <v>35.238999999999997</v>
      </c>
      <c r="N102" s="6">
        <v>35.238999999999997</v>
      </c>
      <c r="O102" s="6">
        <v>35.238999999999997</v>
      </c>
      <c r="P102" s="6">
        <v>698</v>
      </c>
      <c r="Q102" s="4" t="s">
        <v>26</v>
      </c>
      <c r="R102" s="4">
        <v>0</v>
      </c>
      <c r="S102" s="6">
        <v>0</v>
      </c>
      <c r="T102" s="6">
        <v>19</v>
      </c>
      <c r="U102" s="6">
        <v>56</v>
      </c>
      <c r="V102" s="6">
        <f>IF(ISERROR(VLOOKUP($S$102,'TAR FIN'!$A$1:$O$85,15,0)),0,VLOOKUP($S$102,'TAR FIN'!$A$1:$O$85,15,0))</f>
        <v>0</v>
      </c>
      <c r="W102" s="6">
        <f>IF(ISERROR(VLOOKUP($T$102,'TAR FIN'!$A$1:$O$85,15,0)),0,VLOOKUP($T$102,'TAR FIN'!$A$1:$O$85,15,0))</f>
        <v>427.11</v>
      </c>
      <c r="X102" s="6">
        <f>IF(ISERROR(VLOOKUP($U$102,'TAR FIN'!$A$1:$O$85,15,0)),0,VLOOKUP($U$102,'TAR FIN'!$A$1:$O$85,15,0))</f>
        <v>226.67</v>
      </c>
      <c r="Y102" s="6"/>
      <c r="Z102" s="6">
        <f ca="1">('TUSD BE'!$AM$23+'TUSD BF'!$AM$23+'TUSD CVA'!$AM$23-('TUSD BE'!$P$23+'TUSD BF'!$P$23+'TUSD CVA'!$P$23)-('TUSD BE'!$Q$23+'TUSD BF'!$Q$23+'TUSD CVA'!$Q$23)-('TUSD BE'!$R$23+'TUSD BF'!$R$23+'TUSD CVA'!$R$23))*(1-CUSTOS!$M$36)</f>
        <v>542.01828450614823</v>
      </c>
      <c r="AA102" s="6">
        <f>('TE BE'!$AA$14+'TE BF'!$AA$14+'TE CVA'!$AA$14)*(1-CUSTOS!$M$36)</f>
        <v>231.02294836352087</v>
      </c>
      <c r="AB102" s="6">
        <f>$K$102*$V$102</f>
        <v>0</v>
      </c>
      <c r="AC102" s="6">
        <f>$M$102*$W$102</f>
        <v>15050.92929</v>
      </c>
      <c r="AD102" s="6">
        <f>$O$102*$X$102</f>
        <v>7987.6241299999992</v>
      </c>
      <c r="AE102" s="6">
        <f>$K$102*$Y$102</f>
        <v>0</v>
      </c>
      <c r="AF102" s="6">
        <f ca="1">$M$102*$Z$102</f>
        <v>19100.182327712155</v>
      </c>
      <c r="AG102" s="6">
        <f>$O$102*$AA$102</f>
        <v>8141.0176773821113</v>
      </c>
    </row>
    <row r="103" spans="1:33" ht="11.25" customHeight="1" x14ac:dyDescent="0.25">
      <c r="A103" s="4" t="s">
        <v>21</v>
      </c>
      <c r="B103" s="4" t="s">
        <v>22</v>
      </c>
      <c r="C103" s="4" t="s">
        <v>23</v>
      </c>
      <c r="D103" s="4" t="s">
        <v>24</v>
      </c>
      <c r="E103" s="4" t="s">
        <v>30</v>
      </c>
      <c r="F103" s="4" t="s">
        <v>25</v>
      </c>
      <c r="G103" s="4" t="s">
        <v>25</v>
      </c>
      <c r="H103" s="4" t="s">
        <v>25</v>
      </c>
      <c r="I103" s="5">
        <v>44593</v>
      </c>
      <c r="J103" s="6">
        <v>0</v>
      </c>
      <c r="K103" s="6">
        <v>0</v>
      </c>
      <c r="L103" s="6">
        <v>35.987000000000002</v>
      </c>
      <c r="M103" s="6">
        <v>35.987000000000002</v>
      </c>
      <c r="N103" s="6">
        <v>35.987000000000002</v>
      </c>
      <c r="O103" s="6">
        <v>35.987000000000002</v>
      </c>
      <c r="P103" s="6">
        <v>690</v>
      </c>
      <c r="Q103" s="4" t="s">
        <v>26</v>
      </c>
      <c r="R103" s="4">
        <v>0</v>
      </c>
      <c r="S103" s="6">
        <v>0</v>
      </c>
      <c r="T103" s="6">
        <v>19</v>
      </c>
      <c r="U103" s="6">
        <v>56</v>
      </c>
      <c r="V103" s="6">
        <f>IF(ISERROR(VLOOKUP($S$103,'TAR FIN'!$A$1:$O$85,15,0)),0,VLOOKUP($S$103,'TAR FIN'!$A$1:$O$85,15,0))</f>
        <v>0</v>
      </c>
      <c r="W103" s="6">
        <f>IF(ISERROR(VLOOKUP($T$103,'TAR FIN'!$A$1:$O$85,15,0)),0,VLOOKUP($T$103,'TAR FIN'!$A$1:$O$85,15,0))</f>
        <v>427.11</v>
      </c>
      <c r="X103" s="6">
        <f>IF(ISERROR(VLOOKUP($U$103,'TAR FIN'!$A$1:$O$85,15,0)),0,VLOOKUP($U$103,'TAR FIN'!$A$1:$O$85,15,0))</f>
        <v>226.67</v>
      </c>
      <c r="Y103" s="6"/>
      <c r="Z103" s="6">
        <f ca="1">('TUSD BE'!$AM$23+'TUSD BF'!$AM$23+'TUSD CVA'!$AM$23-('TUSD BE'!$P$23+'TUSD BF'!$P$23+'TUSD CVA'!$P$23)-('TUSD BE'!$Q$23+'TUSD BF'!$Q$23+'TUSD CVA'!$Q$23)-('TUSD BE'!$R$23+'TUSD BF'!$R$23+'TUSD CVA'!$R$23))*(1-CUSTOS!$M$36)</f>
        <v>542.01828450614823</v>
      </c>
      <c r="AA103" s="6">
        <f>('TE BE'!$AA$14+'TE BF'!$AA$14+'TE CVA'!$AA$14)*(1-CUSTOS!$M$36)</f>
        <v>231.02294836352087</v>
      </c>
      <c r="AB103" s="6">
        <f>$K$103*$V$103</f>
        <v>0</v>
      </c>
      <c r="AC103" s="6">
        <f>$M$103*$W$103</f>
        <v>15370.407570000001</v>
      </c>
      <c r="AD103" s="6">
        <f>$O$103*$X$103</f>
        <v>8157.1732899999997</v>
      </c>
      <c r="AE103" s="6">
        <f>$K$103*$Y$103</f>
        <v>0</v>
      </c>
      <c r="AF103" s="6">
        <f ca="1">$M$103*$Z$103</f>
        <v>19505.612004522758</v>
      </c>
      <c r="AG103" s="6">
        <f>$O$103*$AA$103</f>
        <v>8313.8228427580252</v>
      </c>
    </row>
    <row r="104" spans="1:33" ht="11.25" customHeight="1" x14ac:dyDescent="0.25">
      <c r="A104" s="4" t="s">
        <v>21</v>
      </c>
      <c r="B104" s="4" t="s">
        <v>22</v>
      </c>
      <c r="C104" s="4" t="s">
        <v>23</v>
      </c>
      <c r="D104" s="4" t="s">
        <v>24</v>
      </c>
      <c r="E104" s="4" t="s">
        <v>30</v>
      </c>
      <c r="F104" s="4" t="s">
        <v>25</v>
      </c>
      <c r="G104" s="4" t="s">
        <v>25</v>
      </c>
      <c r="H104" s="4" t="s">
        <v>25</v>
      </c>
      <c r="I104" s="5">
        <v>44621</v>
      </c>
      <c r="J104" s="6">
        <v>0</v>
      </c>
      <c r="K104" s="6">
        <v>0</v>
      </c>
      <c r="L104" s="6">
        <v>46.878</v>
      </c>
      <c r="M104" s="6">
        <v>46.878</v>
      </c>
      <c r="N104" s="6">
        <v>46.878</v>
      </c>
      <c r="O104" s="6">
        <v>46.878</v>
      </c>
      <c r="P104" s="6">
        <v>835</v>
      </c>
      <c r="Q104" s="4" t="s">
        <v>26</v>
      </c>
      <c r="R104" s="4">
        <v>0</v>
      </c>
      <c r="S104" s="6">
        <v>0</v>
      </c>
      <c r="T104" s="6">
        <v>19</v>
      </c>
      <c r="U104" s="6">
        <v>56</v>
      </c>
      <c r="V104" s="6">
        <f>IF(ISERROR(VLOOKUP($S$104,'TAR FIN'!$A$1:$O$85,15,0)),0,VLOOKUP($S$104,'TAR FIN'!$A$1:$O$85,15,0))</f>
        <v>0</v>
      </c>
      <c r="W104" s="6">
        <f>IF(ISERROR(VLOOKUP($T$104,'TAR FIN'!$A$1:$O$85,15,0)),0,VLOOKUP($T$104,'TAR FIN'!$A$1:$O$85,15,0))</f>
        <v>427.11</v>
      </c>
      <c r="X104" s="6">
        <f>IF(ISERROR(VLOOKUP($U$104,'TAR FIN'!$A$1:$O$85,15,0)),0,VLOOKUP($U$104,'TAR FIN'!$A$1:$O$85,15,0))</f>
        <v>226.67</v>
      </c>
      <c r="Y104" s="6"/>
      <c r="Z104" s="6">
        <f ca="1">('TUSD BE'!$AM$23+'TUSD BF'!$AM$23+'TUSD CVA'!$AM$23-('TUSD BE'!$P$23+'TUSD BF'!$P$23+'TUSD CVA'!$P$23)-('TUSD BE'!$Q$23+'TUSD BF'!$Q$23+'TUSD CVA'!$Q$23)-('TUSD BE'!$R$23+'TUSD BF'!$R$23+'TUSD CVA'!$R$23))*(1-CUSTOS!$M$36)</f>
        <v>542.01828450614823</v>
      </c>
      <c r="AA104" s="6">
        <f>('TE BE'!$AA$14+'TE BF'!$AA$14+'TE CVA'!$AA$14)*(1-CUSTOS!$M$36)</f>
        <v>231.02294836352087</v>
      </c>
      <c r="AB104" s="6">
        <f>$K$104*$V$104</f>
        <v>0</v>
      </c>
      <c r="AC104" s="6">
        <f>$M$104*$W$104</f>
        <v>20022.062580000002</v>
      </c>
      <c r="AD104" s="6">
        <f>$O$104*$X$104</f>
        <v>10625.83626</v>
      </c>
      <c r="AE104" s="6">
        <f>$K$104*$Y$104</f>
        <v>0</v>
      </c>
      <c r="AF104" s="6">
        <f ca="1">$M$104*$Z$104</f>
        <v>25408.733141079218</v>
      </c>
      <c r="AG104" s="6">
        <f>$O$104*$AA$104</f>
        <v>10829.893773385131</v>
      </c>
    </row>
    <row r="105" spans="1:33" ht="11.25" customHeight="1" x14ac:dyDescent="0.25">
      <c r="A105" s="4" t="s">
        <v>21</v>
      </c>
      <c r="B105" s="4" t="s">
        <v>22</v>
      </c>
      <c r="C105" s="4" t="s">
        <v>23</v>
      </c>
      <c r="D105" s="4" t="s">
        <v>24</v>
      </c>
      <c r="E105" s="4" t="s">
        <v>30</v>
      </c>
      <c r="F105" s="4" t="s">
        <v>25</v>
      </c>
      <c r="G105" s="4" t="s">
        <v>25</v>
      </c>
      <c r="H105" s="4" t="s">
        <v>25</v>
      </c>
      <c r="I105" s="5">
        <v>44652</v>
      </c>
      <c r="J105" s="6">
        <v>0</v>
      </c>
      <c r="K105" s="6">
        <v>0</v>
      </c>
      <c r="L105" s="6">
        <v>45.223999999999997</v>
      </c>
      <c r="M105" s="6">
        <v>45.223999999999997</v>
      </c>
      <c r="N105" s="6">
        <v>45.223999999999997</v>
      </c>
      <c r="O105" s="6">
        <v>45.223999999999997</v>
      </c>
      <c r="P105" s="6">
        <v>818</v>
      </c>
      <c r="Q105" s="4" t="s">
        <v>26</v>
      </c>
      <c r="R105" s="4">
        <v>0</v>
      </c>
      <c r="S105" s="6">
        <v>0</v>
      </c>
      <c r="T105" s="6">
        <v>19</v>
      </c>
      <c r="U105" s="6">
        <v>56</v>
      </c>
      <c r="V105" s="6">
        <f>IF(ISERROR(VLOOKUP($S$105,'TAR FIN'!$A$1:$O$85,15,0)),0,VLOOKUP($S$105,'TAR FIN'!$A$1:$O$85,15,0))</f>
        <v>0</v>
      </c>
      <c r="W105" s="6">
        <f>IF(ISERROR(VLOOKUP($T$105,'TAR FIN'!$A$1:$O$85,15,0)),0,VLOOKUP($T$105,'TAR FIN'!$A$1:$O$85,15,0))</f>
        <v>427.11</v>
      </c>
      <c r="X105" s="6">
        <f>IF(ISERROR(VLOOKUP($U$105,'TAR FIN'!$A$1:$O$85,15,0)),0,VLOOKUP($U$105,'TAR FIN'!$A$1:$O$85,15,0))</f>
        <v>226.67</v>
      </c>
      <c r="Y105" s="6"/>
      <c r="Z105" s="6">
        <f ca="1">('TUSD BE'!$AM$23+'TUSD BF'!$AM$23+'TUSD CVA'!$AM$23-('TUSD BE'!$P$23+'TUSD BF'!$P$23+'TUSD CVA'!$P$23)-('TUSD BE'!$Q$23+'TUSD BF'!$Q$23+'TUSD CVA'!$Q$23)-('TUSD BE'!$R$23+'TUSD BF'!$R$23+'TUSD CVA'!$R$23))*(1-CUSTOS!$M$36)</f>
        <v>542.01828450614823</v>
      </c>
      <c r="AA105" s="6">
        <f>('TE BE'!$AA$14+'TE BF'!$AA$14+'TE CVA'!$AA$14)*(1-CUSTOS!$M$36)</f>
        <v>231.02294836352087</v>
      </c>
      <c r="AB105" s="6">
        <f>$K$105*$V$105</f>
        <v>0</v>
      </c>
      <c r="AC105" s="6">
        <f>$M$105*$W$105</f>
        <v>19315.622639999998</v>
      </c>
      <c r="AD105" s="6">
        <f>$O$105*$X$105</f>
        <v>10250.924079999999</v>
      </c>
      <c r="AE105" s="6">
        <f>$K$105*$Y$105</f>
        <v>0</v>
      </c>
      <c r="AF105" s="6">
        <f ca="1">$M$105*$Z$105</f>
        <v>24512.234898506045</v>
      </c>
      <c r="AG105" s="6">
        <f>$O$105*$AA$105</f>
        <v>10447.781816791867</v>
      </c>
    </row>
    <row r="106" spans="1:33" ht="11.25" customHeight="1" x14ac:dyDescent="0.25">
      <c r="A106" s="4" t="s">
        <v>21</v>
      </c>
      <c r="B106" s="4" t="s">
        <v>22</v>
      </c>
      <c r="C106" s="4" t="s">
        <v>23</v>
      </c>
      <c r="D106" s="4" t="s">
        <v>24</v>
      </c>
      <c r="E106" s="4" t="s">
        <v>31</v>
      </c>
      <c r="F106" s="4" t="s">
        <v>25</v>
      </c>
      <c r="G106" s="4" t="s">
        <v>25</v>
      </c>
      <c r="H106" s="4" t="s">
        <v>25</v>
      </c>
      <c r="I106" s="5">
        <v>44317</v>
      </c>
      <c r="J106" s="6">
        <v>0</v>
      </c>
      <c r="K106" s="6">
        <v>0</v>
      </c>
      <c r="L106" s="6">
        <v>6.4710000000000001</v>
      </c>
      <c r="M106" s="6">
        <v>6.4710000000000001</v>
      </c>
      <c r="N106" s="6">
        <v>6.4710000000000001</v>
      </c>
      <c r="O106" s="6">
        <v>6.4710000000000001</v>
      </c>
      <c r="P106" s="6">
        <v>55</v>
      </c>
      <c r="Q106" s="4" t="s">
        <v>26</v>
      </c>
      <c r="R106" s="4">
        <v>0</v>
      </c>
      <c r="S106" s="6">
        <v>0</v>
      </c>
      <c r="T106" s="6">
        <v>20</v>
      </c>
      <c r="U106" s="6">
        <v>57</v>
      </c>
      <c r="V106" s="6">
        <f>IF(ISERROR(VLOOKUP($S$106,'TAR FIN'!$A$1:$O$85,15,0)),0,VLOOKUP($S$106,'TAR FIN'!$A$1:$O$85,15,0))</f>
        <v>0</v>
      </c>
      <c r="W106" s="6">
        <f>IF(ISERROR(VLOOKUP($T$106,'TAR FIN'!$A$1:$O$85,15,0)),0,VLOOKUP($T$106,'TAR FIN'!$A$1:$O$85,15,0))</f>
        <v>474.57</v>
      </c>
      <c r="X106" s="6">
        <f>IF(ISERROR(VLOOKUP($U$106,'TAR FIN'!$A$1:$O$85,15,0)),0,VLOOKUP($U$106,'TAR FIN'!$A$1:$O$85,15,0))</f>
        <v>251.85</v>
      </c>
      <c r="Y106" s="6"/>
      <c r="Z106" s="6">
        <f ca="1">('TUSD BE'!$AM$24+'TUSD BF'!$AM$24+'TUSD CVA'!$AM$24-('TUSD BE'!$P$24+'TUSD BF'!$P$24+'TUSD CVA'!$P$24)-('TUSD BE'!$Q$24+'TUSD BF'!$Q$24+'TUSD CVA'!$Q$24)-('TUSD BE'!$R$24+'TUSD BF'!$R$24+'TUSD CVA'!$R$24))*(1-CUSTOS!$M$37)</f>
        <v>602.24253834016474</v>
      </c>
      <c r="AA106" s="6">
        <f>('TE BE'!$AA$15+'TE BF'!$AA$15+'TE CVA'!$AA$15)*(1-CUSTOS!$M$37)</f>
        <v>256.69216484835653</v>
      </c>
      <c r="AB106" s="6">
        <f>$K$106*$V$106</f>
        <v>0</v>
      </c>
      <c r="AC106" s="6">
        <f>$M$106*$W$106</f>
        <v>3070.94247</v>
      </c>
      <c r="AD106" s="6">
        <f>$O$106*$X$106</f>
        <v>1629.72135</v>
      </c>
      <c r="AE106" s="6">
        <f>$K$106*$Y$106</f>
        <v>0</v>
      </c>
      <c r="AF106" s="6">
        <f ca="1">$M$106*$Z$106</f>
        <v>3897.111465599206</v>
      </c>
      <c r="AG106" s="6">
        <f>$O$106*$AA$106</f>
        <v>1661.0549987337151</v>
      </c>
    </row>
    <row r="107" spans="1:33" ht="11.25" customHeight="1" x14ac:dyDescent="0.25">
      <c r="A107" s="4" t="s">
        <v>21</v>
      </c>
      <c r="B107" s="4" t="s">
        <v>22</v>
      </c>
      <c r="C107" s="4" t="s">
        <v>23</v>
      </c>
      <c r="D107" s="4" t="s">
        <v>24</v>
      </c>
      <c r="E107" s="4" t="s">
        <v>31</v>
      </c>
      <c r="F107" s="4" t="s">
        <v>25</v>
      </c>
      <c r="G107" s="4" t="s">
        <v>25</v>
      </c>
      <c r="H107" s="4" t="s">
        <v>25</v>
      </c>
      <c r="I107" s="5">
        <v>44348</v>
      </c>
      <c r="J107" s="6">
        <v>0</v>
      </c>
      <c r="K107" s="6">
        <v>0</v>
      </c>
      <c r="L107" s="6">
        <v>5.9880000000000004</v>
      </c>
      <c r="M107" s="6">
        <v>5.9880000000000004</v>
      </c>
      <c r="N107" s="6">
        <v>5.9880000000000004</v>
      </c>
      <c r="O107" s="6">
        <v>5.9880000000000004</v>
      </c>
      <c r="P107" s="6">
        <v>51</v>
      </c>
      <c r="Q107" s="4" t="s">
        <v>26</v>
      </c>
      <c r="R107" s="4">
        <v>0</v>
      </c>
      <c r="S107" s="6">
        <v>0</v>
      </c>
      <c r="T107" s="6">
        <v>20</v>
      </c>
      <c r="U107" s="6">
        <v>57</v>
      </c>
      <c r="V107" s="6">
        <f>IF(ISERROR(VLOOKUP($S$107,'TAR FIN'!$A$1:$O$85,15,0)),0,VLOOKUP($S$107,'TAR FIN'!$A$1:$O$85,15,0))</f>
        <v>0</v>
      </c>
      <c r="W107" s="6">
        <f>IF(ISERROR(VLOOKUP($T$107,'TAR FIN'!$A$1:$O$85,15,0)),0,VLOOKUP($T$107,'TAR FIN'!$A$1:$O$85,15,0))</f>
        <v>474.57</v>
      </c>
      <c r="X107" s="6">
        <f>IF(ISERROR(VLOOKUP($U$107,'TAR FIN'!$A$1:$O$85,15,0)),0,VLOOKUP($U$107,'TAR FIN'!$A$1:$O$85,15,0))</f>
        <v>251.85</v>
      </c>
      <c r="Y107" s="6"/>
      <c r="Z107" s="6">
        <f ca="1">('TUSD BE'!$AM$24+'TUSD BF'!$AM$24+'TUSD CVA'!$AM$24-('TUSD BE'!$P$24+'TUSD BF'!$P$24+'TUSD CVA'!$P$24)-('TUSD BE'!$Q$24+'TUSD BF'!$Q$24+'TUSD CVA'!$Q$24)-('TUSD BE'!$R$24+'TUSD BF'!$R$24+'TUSD CVA'!$R$24))*(1-CUSTOS!$M$37)</f>
        <v>602.24253834016474</v>
      </c>
      <c r="AA107" s="6">
        <f>('TE BE'!$AA$15+'TE BF'!$AA$15+'TE CVA'!$AA$15)*(1-CUSTOS!$M$37)</f>
        <v>256.69216484835653</v>
      </c>
      <c r="AB107" s="6">
        <f>$K$107*$V$107</f>
        <v>0</v>
      </c>
      <c r="AC107" s="6">
        <f>$M$107*$W$107</f>
        <v>2841.72516</v>
      </c>
      <c r="AD107" s="6">
        <f>$O$107*$X$107</f>
        <v>1508.0778</v>
      </c>
      <c r="AE107" s="6">
        <f>$K$107*$Y$107</f>
        <v>0</v>
      </c>
      <c r="AF107" s="6">
        <f ca="1">$M$107*$Z$107</f>
        <v>3606.2283195809068</v>
      </c>
      <c r="AG107" s="6">
        <f>$O$107*$AA$107</f>
        <v>1537.0726831119589</v>
      </c>
    </row>
    <row r="108" spans="1:33" ht="11.25" customHeight="1" x14ac:dyDescent="0.25">
      <c r="A108" s="4" t="s">
        <v>21</v>
      </c>
      <c r="B108" s="4" t="s">
        <v>22</v>
      </c>
      <c r="C108" s="4" t="s">
        <v>23</v>
      </c>
      <c r="D108" s="4" t="s">
        <v>24</v>
      </c>
      <c r="E108" s="4" t="s">
        <v>31</v>
      </c>
      <c r="F108" s="4" t="s">
        <v>25</v>
      </c>
      <c r="G108" s="4" t="s">
        <v>25</v>
      </c>
      <c r="H108" s="4" t="s">
        <v>25</v>
      </c>
      <c r="I108" s="5">
        <v>44378</v>
      </c>
      <c r="J108" s="6">
        <v>0</v>
      </c>
      <c r="K108" s="6">
        <v>0</v>
      </c>
      <c r="L108" s="6">
        <v>5.5570000000000004</v>
      </c>
      <c r="M108" s="6">
        <v>5.5570000000000004</v>
      </c>
      <c r="N108" s="6">
        <v>5.5570000000000004</v>
      </c>
      <c r="O108" s="6">
        <v>5.5570000000000004</v>
      </c>
      <c r="P108" s="6">
        <v>52</v>
      </c>
      <c r="Q108" s="4" t="s">
        <v>26</v>
      </c>
      <c r="R108" s="4">
        <v>0</v>
      </c>
      <c r="S108" s="6">
        <v>0</v>
      </c>
      <c r="T108" s="6">
        <v>20</v>
      </c>
      <c r="U108" s="6">
        <v>57</v>
      </c>
      <c r="V108" s="6">
        <f>IF(ISERROR(VLOOKUP($S$108,'TAR FIN'!$A$1:$O$85,15,0)),0,VLOOKUP($S$108,'TAR FIN'!$A$1:$O$85,15,0))</f>
        <v>0</v>
      </c>
      <c r="W108" s="6">
        <f>IF(ISERROR(VLOOKUP($T$108,'TAR FIN'!$A$1:$O$85,15,0)),0,VLOOKUP($T$108,'TAR FIN'!$A$1:$O$85,15,0))</f>
        <v>474.57</v>
      </c>
      <c r="X108" s="6">
        <f>IF(ISERROR(VLOOKUP($U$108,'TAR FIN'!$A$1:$O$85,15,0)),0,VLOOKUP($U$108,'TAR FIN'!$A$1:$O$85,15,0))</f>
        <v>251.85</v>
      </c>
      <c r="Y108" s="6"/>
      <c r="Z108" s="6">
        <f ca="1">('TUSD BE'!$AM$24+'TUSD BF'!$AM$24+'TUSD CVA'!$AM$24-('TUSD BE'!$P$24+'TUSD BF'!$P$24+'TUSD CVA'!$P$24)-('TUSD BE'!$Q$24+'TUSD BF'!$Q$24+'TUSD CVA'!$Q$24)-('TUSD BE'!$R$24+'TUSD BF'!$R$24+'TUSD CVA'!$R$24))*(1-CUSTOS!$M$37)</f>
        <v>602.24253834016474</v>
      </c>
      <c r="AA108" s="6">
        <f>('TE BE'!$AA$15+'TE BF'!$AA$15+'TE CVA'!$AA$15)*(1-CUSTOS!$M$37)</f>
        <v>256.69216484835653</v>
      </c>
      <c r="AB108" s="6">
        <f>$K$108*$V$108</f>
        <v>0</v>
      </c>
      <c r="AC108" s="6">
        <f>$M$108*$W$108</f>
        <v>2637.1854900000003</v>
      </c>
      <c r="AD108" s="6">
        <f>$O$108*$X$108</f>
        <v>1399.53045</v>
      </c>
      <c r="AE108" s="6">
        <f>$K$108*$Y$108</f>
        <v>0</v>
      </c>
      <c r="AF108" s="6">
        <f ca="1">$M$108*$Z$108</f>
        <v>3346.6617855562959</v>
      </c>
      <c r="AG108" s="6">
        <f>$O$108*$AA$108</f>
        <v>1426.4383600623173</v>
      </c>
    </row>
    <row r="109" spans="1:33" ht="11.25" customHeight="1" x14ac:dyDescent="0.25">
      <c r="A109" s="4" t="s">
        <v>21</v>
      </c>
      <c r="B109" s="4" t="s">
        <v>22</v>
      </c>
      <c r="C109" s="4" t="s">
        <v>23</v>
      </c>
      <c r="D109" s="4" t="s">
        <v>24</v>
      </c>
      <c r="E109" s="4" t="s">
        <v>31</v>
      </c>
      <c r="F109" s="4" t="s">
        <v>25</v>
      </c>
      <c r="G109" s="4" t="s">
        <v>25</v>
      </c>
      <c r="H109" s="4" t="s">
        <v>25</v>
      </c>
      <c r="I109" s="5">
        <v>44409</v>
      </c>
      <c r="J109" s="6">
        <v>0</v>
      </c>
      <c r="K109" s="6">
        <v>0</v>
      </c>
      <c r="L109" s="6">
        <v>5.3540000000000001</v>
      </c>
      <c r="M109" s="6">
        <v>5.3540000000000001</v>
      </c>
      <c r="N109" s="6">
        <v>5.3540000000000001</v>
      </c>
      <c r="O109" s="6">
        <v>5.3540000000000001</v>
      </c>
      <c r="P109" s="6">
        <v>52</v>
      </c>
      <c r="Q109" s="4" t="s">
        <v>26</v>
      </c>
      <c r="R109" s="4">
        <v>0</v>
      </c>
      <c r="S109" s="6">
        <v>0</v>
      </c>
      <c r="T109" s="6">
        <v>20</v>
      </c>
      <c r="U109" s="6">
        <v>57</v>
      </c>
      <c r="V109" s="6">
        <f>IF(ISERROR(VLOOKUP($S$109,'TAR FIN'!$A$1:$O$85,15,0)),0,VLOOKUP($S$109,'TAR FIN'!$A$1:$O$85,15,0))</f>
        <v>0</v>
      </c>
      <c r="W109" s="6">
        <f>IF(ISERROR(VLOOKUP($T$109,'TAR FIN'!$A$1:$O$85,15,0)),0,VLOOKUP($T$109,'TAR FIN'!$A$1:$O$85,15,0))</f>
        <v>474.57</v>
      </c>
      <c r="X109" s="6">
        <f>IF(ISERROR(VLOOKUP($U$109,'TAR FIN'!$A$1:$O$85,15,0)),0,VLOOKUP($U$109,'TAR FIN'!$A$1:$O$85,15,0))</f>
        <v>251.85</v>
      </c>
      <c r="Y109" s="6"/>
      <c r="Z109" s="6">
        <f ca="1">('TUSD BE'!$AM$24+'TUSD BF'!$AM$24+'TUSD CVA'!$AM$24-('TUSD BE'!$P$24+'TUSD BF'!$P$24+'TUSD CVA'!$P$24)-('TUSD BE'!$Q$24+'TUSD BF'!$Q$24+'TUSD CVA'!$Q$24)-('TUSD BE'!$R$24+'TUSD BF'!$R$24+'TUSD CVA'!$R$24))*(1-CUSTOS!$M$37)</f>
        <v>602.24253834016474</v>
      </c>
      <c r="AA109" s="6">
        <f>('TE BE'!$AA$15+'TE BF'!$AA$15+'TE CVA'!$AA$15)*(1-CUSTOS!$M$37)</f>
        <v>256.69216484835653</v>
      </c>
      <c r="AB109" s="6">
        <f>$K$109*$V$109</f>
        <v>0</v>
      </c>
      <c r="AC109" s="6">
        <f>$M$109*$W$109</f>
        <v>2540.8477800000001</v>
      </c>
      <c r="AD109" s="6">
        <f>$O$109*$X$109</f>
        <v>1348.4049</v>
      </c>
      <c r="AE109" s="6">
        <f>$K$109*$Y$109</f>
        <v>0</v>
      </c>
      <c r="AF109" s="6">
        <f ca="1">$M$109*$Z$109</f>
        <v>3224.4065502732419</v>
      </c>
      <c r="AG109" s="6">
        <f>$O$109*$AA$109</f>
        <v>1374.3298505981008</v>
      </c>
    </row>
    <row r="110" spans="1:33" ht="11.25" customHeight="1" x14ac:dyDescent="0.25">
      <c r="A110" s="4" t="s">
        <v>21</v>
      </c>
      <c r="B110" s="4" t="s">
        <v>22</v>
      </c>
      <c r="C110" s="4" t="s">
        <v>23</v>
      </c>
      <c r="D110" s="4" t="s">
        <v>24</v>
      </c>
      <c r="E110" s="4" t="s">
        <v>31</v>
      </c>
      <c r="F110" s="4" t="s">
        <v>25</v>
      </c>
      <c r="G110" s="4" t="s">
        <v>25</v>
      </c>
      <c r="H110" s="4" t="s">
        <v>25</v>
      </c>
      <c r="I110" s="5">
        <v>44440</v>
      </c>
      <c r="J110" s="6">
        <v>0</v>
      </c>
      <c r="K110" s="6">
        <v>0</v>
      </c>
      <c r="L110" s="6">
        <v>5.7149999999999999</v>
      </c>
      <c r="M110" s="6">
        <v>5.7149999999999999</v>
      </c>
      <c r="N110" s="6">
        <v>5.7149999999999999</v>
      </c>
      <c r="O110" s="6">
        <v>5.7149999999999999</v>
      </c>
      <c r="P110" s="6">
        <v>52</v>
      </c>
      <c r="Q110" s="4" t="s">
        <v>26</v>
      </c>
      <c r="R110" s="4">
        <v>0</v>
      </c>
      <c r="S110" s="6">
        <v>0</v>
      </c>
      <c r="T110" s="6">
        <v>20</v>
      </c>
      <c r="U110" s="6">
        <v>57</v>
      </c>
      <c r="V110" s="6">
        <f>IF(ISERROR(VLOOKUP($S$110,'TAR FIN'!$A$1:$O$85,15,0)),0,VLOOKUP($S$110,'TAR FIN'!$A$1:$O$85,15,0))</f>
        <v>0</v>
      </c>
      <c r="W110" s="6">
        <f>IF(ISERROR(VLOOKUP($T$110,'TAR FIN'!$A$1:$O$85,15,0)),0,VLOOKUP($T$110,'TAR FIN'!$A$1:$O$85,15,0))</f>
        <v>474.57</v>
      </c>
      <c r="X110" s="6">
        <f>IF(ISERROR(VLOOKUP($U$110,'TAR FIN'!$A$1:$O$85,15,0)),0,VLOOKUP($U$110,'TAR FIN'!$A$1:$O$85,15,0))</f>
        <v>251.85</v>
      </c>
      <c r="Y110" s="6"/>
      <c r="Z110" s="6">
        <f ca="1">('TUSD BE'!$AM$24+'TUSD BF'!$AM$24+'TUSD CVA'!$AM$24-('TUSD BE'!$P$24+'TUSD BF'!$P$24+'TUSD CVA'!$P$24)-('TUSD BE'!$Q$24+'TUSD BF'!$Q$24+'TUSD CVA'!$Q$24)-('TUSD BE'!$R$24+'TUSD BF'!$R$24+'TUSD CVA'!$R$24))*(1-CUSTOS!$M$37)</f>
        <v>602.24253834016474</v>
      </c>
      <c r="AA110" s="6">
        <f>('TE BE'!$AA$15+'TE BF'!$AA$15+'TE CVA'!$AA$15)*(1-CUSTOS!$M$37)</f>
        <v>256.69216484835653</v>
      </c>
      <c r="AB110" s="6">
        <f>$K$110*$V$110</f>
        <v>0</v>
      </c>
      <c r="AC110" s="6">
        <f>$M$110*$W$110</f>
        <v>2712.1675500000001</v>
      </c>
      <c r="AD110" s="6">
        <f>$O$110*$X$110</f>
        <v>1439.32275</v>
      </c>
      <c r="AE110" s="6">
        <f>$K$110*$Y$110</f>
        <v>0</v>
      </c>
      <c r="AF110" s="6">
        <f ca="1">$M$110*$Z$110</f>
        <v>3441.8161066140415</v>
      </c>
      <c r="AG110" s="6">
        <f>$O$110*$AA$110</f>
        <v>1466.9957221083575</v>
      </c>
    </row>
    <row r="111" spans="1:33" ht="11.25" customHeight="1" x14ac:dyDescent="0.25">
      <c r="A111" s="4" t="s">
        <v>21</v>
      </c>
      <c r="B111" s="4" t="s">
        <v>22</v>
      </c>
      <c r="C111" s="4" t="s">
        <v>23</v>
      </c>
      <c r="D111" s="4" t="s">
        <v>24</v>
      </c>
      <c r="E111" s="4" t="s">
        <v>31</v>
      </c>
      <c r="F111" s="4" t="s">
        <v>25</v>
      </c>
      <c r="G111" s="4" t="s">
        <v>25</v>
      </c>
      <c r="H111" s="4" t="s">
        <v>25</v>
      </c>
      <c r="I111" s="5">
        <v>44470</v>
      </c>
      <c r="J111" s="6">
        <v>0</v>
      </c>
      <c r="K111" s="6">
        <v>0</v>
      </c>
      <c r="L111" s="6">
        <v>6.5549999999999997</v>
      </c>
      <c r="M111" s="6">
        <v>6.5549999999999997</v>
      </c>
      <c r="N111" s="6">
        <v>6.5549999999999997</v>
      </c>
      <c r="O111" s="6">
        <v>6.5549999999999997</v>
      </c>
      <c r="P111" s="6">
        <v>58</v>
      </c>
      <c r="Q111" s="4" t="s">
        <v>26</v>
      </c>
      <c r="R111" s="4">
        <v>0</v>
      </c>
      <c r="S111" s="6">
        <v>0</v>
      </c>
      <c r="T111" s="6">
        <v>20</v>
      </c>
      <c r="U111" s="6">
        <v>57</v>
      </c>
      <c r="V111" s="6">
        <f>IF(ISERROR(VLOOKUP($S$111,'TAR FIN'!$A$1:$O$85,15,0)),0,VLOOKUP($S$111,'TAR FIN'!$A$1:$O$85,15,0))</f>
        <v>0</v>
      </c>
      <c r="W111" s="6">
        <f>IF(ISERROR(VLOOKUP($T$111,'TAR FIN'!$A$1:$O$85,15,0)),0,VLOOKUP($T$111,'TAR FIN'!$A$1:$O$85,15,0))</f>
        <v>474.57</v>
      </c>
      <c r="X111" s="6">
        <f>IF(ISERROR(VLOOKUP($U$111,'TAR FIN'!$A$1:$O$85,15,0)),0,VLOOKUP($U$111,'TAR FIN'!$A$1:$O$85,15,0))</f>
        <v>251.85</v>
      </c>
      <c r="Y111" s="6"/>
      <c r="Z111" s="6">
        <f ca="1">('TUSD BE'!$AM$24+'TUSD BF'!$AM$24+'TUSD CVA'!$AM$24-('TUSD BE'!$P$24+'TUSD BF'!$P$24+'TUSD CVA'!$P$24)-('TUSD BE'!$Q$24+'TUSD BF'!$Q$24+'TUSD CVA'!$Q$24)-('TUSD BE'!$R$24+'TUSD BF'!$R$24+'TUSD CVA'!$R$24))*(1-CUSTOS!$M$37)</f>
        <v>602.24253834016474</v>
      </c>
      <c r="AA111" s="6">
        <f>('TE BE'!$AA$15+'TE BF'!$AA$15+'TE CVA'!$AA$15)*(1-CUSTOS!$M$37)</f>
        <v>256.69216484835653</v>
      </c>
      <c r="AB111" s="6">
        <f>$K$111*$V$111</f>
        <v>0</v>
      </c>
      <c r="AC111" s="6">
        <f>$M$111*$W$111</f>
        <v>3110.8063499999998</v>
      </c>
      <c r="AD111" s="6">
        <f>$O$111*$X$111</f>
        <v>1650.8767499999999</v>
      </c>
      <c r="AE111" s="6">
        <f>$K$111*$Y$111</f>
        <v>0</v>
      </c>
      <c r="AF111" s="6">
        <f ca="1">$M$111*$Z$111</f>
        <v>3947.6998388197799</v>
      </c>
      <c r="AG111" s="6">
        <f>$O$111*$AA$111</f>
        <v>1682.6171405809769</v>
      </c>
    </row>
    <row r="112" spans="1:33" ht="11.25" customHeight="1" x14ac:dyDescent="0.25">
      <c r="A112" s="4" t="s">
        <v>21</v>
      </c>
      <c r="B112" s="4" t="s">
        <v>22</v>
      </c>
      <c r="C112" s="4" t="s">
        <v>23</v>
      </c>
      <c r="D112" s="4" t="s">
        <v>24</v>
      </c>
      <c r="E112" s="4" t="s">
        <v>31</v>
      </c>
      <c r="F112" s="4" t="s">
        <v>25</v>
      </c>
      <c r="G112" s="4" t="s">
        <v>25</v>
      </c>
      <c r="H112" s="4" t="s">
        <v>25</v>
      </c>
      <c r="I112" s="5">
        <v>44501</v>
      </c>
      <c r="J112" s="6">
        <v>0</v>
      </c>
      <c r="K112" s="6">
        <v>0</v>
      </c>
      <c r="L112" s="6">
        <v>10.648999999999999</v>
      </c>
      <c r="M112" s="6">
        <v>10.648999999999999</v>
      </c>
      <c r="N112" s="6">
        <v>10.648999999999999</v>
      </c>
      <c r="O112" s="6">
        <v>10.648999999999999</v>
      </c>
      <c r="P112" s="6">
        <v>110</v>
      </c>
      <c r="Q112" s="4" t="s">
        <v>26</v>
      </c>
      <c r="R112" s="4">
        <v>0</v>
      </c>
      <c r="S112" s="6">
        <v>0</v>
      </c>
      <c r="T112" s="6">
        <v>20</v>
      </c>
      <c r="U112" s="6">
        <v>57</v>
      </c>
      <c r="V112" s="6">
        <f>IF(ISERROR(VLOOKUP($S$112,'TAR FIN'!$A$1:$O$85,15,0)),0,VLOOKUP($S$112,'TAR FIN'!$A$1:$O$85,15,0))</f>
        <v>0</v>
      </c>
      <c r="W112" s="6">
        <f>IF(ISERROR(VLOOKUP($T$112,'TAR FIN'!$A$1:$O$85,15,0)),0,VLOOKUP($T$112,'TAR FIN'!$A$1:$O$85,15,0))</f>
        <v>474.57</v>
      </c>
      <c r="X112" s="6">
        <f>IF(ISERROR(VLOOKUP($U$112,'TAR FIN'!$A$1:$O$85,15,0)),0,VLOOKUP($U$112,'TAR FIN'!$A$1:$O$85,15,0))</f>
        <v>251.85</v>
      </c>
      <c r="Y112" s="6"/>
      <c r="Z112" s="6">
        <f ca="1">('TUSD BE'!$AM$24+'TUSD BF'!$AM$24+'TUSD CVA'!$AM$24-('TUSD BE'!$P$24+'TUSD BF'!$P$24+'TUSD CVA'!$P$24)-('TUSD BE'!$Q$24+'TUSD BF'!$Q$24+'TUSD CVA'!$Q$24)-('TUSD BE'!$R$24+'TUSD BF'!$R$24+'TUSD CVA'!$R$24))*(1-CUSTOS!$M$37)</f>
        <v>602.24253834016474</v>
      </c>
      <c r="AA112" s="6">
        <f>('TE BE'!$AA$15+'TE BF'!$AA$15+'TE CVA'!$AA$15)*(1-CUSTOS!$M$37)</f>
        <v>256.69216484835653</v>
      </c>
      <c r="AB112" s="6">
        <f>$K$112*$V$112</f>
        <v>0</v>
      </c>
      <c r="AC112" s="6">
        <f>$M$112*$W$112</f>
        <v>5053.6959299999999</v>
      </c>
      <c r="AD112" s="6">
        <f>$O$112*$X$112</f>
        <v>2681.9506499999998</v>
      </c>
      <c r="AE112" s="6">
        <f>$K$112*$Y$112</f>
        <v>0</v>
      </c>
      <c r="AF112" s="6">
        <f ca="1">$M$112*$Z$112</f>
        <v>6413.2807907844135</v>
      </c>
      <c r="AG112" s="6">
        <f>$O$112*$AA$112</f>
        <v>2733.5148634701486</v>
      </c>
    </row>
    <row r="113" spans="1:33" ht="11.25" customHeight="1" x14ac:dyDescent="0.25">
      <c r="A113" s="4" t="s">
        <v>21</v>
      </c>
      <c r="B113" s="4" t="s">
        <v>22</v>
      </c>
      <c r="C113" s="4" t="s">
        <v>23</v>
      </c>
      <c r="D113" s="4" t="s">
        <v>24</v>
      </c>
      <c r="E113" s="4" t="s">
        <v>31</v>
      </c>
      <c r="F113" s="4" t="s">
        <v>25</v>
      </c>
      <c r="G113" s="4" t="s">
        <v>25</v>
      </c>
      <c r="H113" s="4" t="s">
        <v>25</v>
      </c>
      <c r="I113" s="5">
        <v>44531</v>
      </c>
      <c r="J113" s="6">
        <v>0</v>
      </c>
      <c r="K113" s="6">
        <v>0</v>
      </c>
      <c r="L113" s="6">
        <v>8.0709999999999997</v>
      </c>
      <c r="M113" s="6">
        <v>8.0709999999999997</v>
      </c>
      <c r="N113" s="6">
        <v>8.0709999999999997</v>
      </c>
      <c r="O113" s="6">
        <v>8.0709999999999997</v>
      </c>
      <c r="P113" s="6">
        <v>84</v>
      </c>
      <c r="Q113" s="4" t="s">
        <v>26</v>
      </c>
      <c r="R113" s="4">
        <v>0</v>
      </c>
      <c r="S113" s="6">
        <v>0</v>
      </c>
      <c r="T113" s="6">
        <v>20</v>
      </c>
      <c r="U113" s="6">
        <v>57</v>
      </c>
      <c r="V113" s="6">
        <f>IF(ISERROR(VLOOKUP($S$113,'TAR FIN'!$A$1:$O$85,15,0)),0,VLOOKUP($S$113,'TAR FIN'!$A$1:$O$85,15,0))</f>
        <v>0</v>
      </c>
      <c r="W113" s="6">
        <f>IF(ISERROR(VLOOKUP($T$113,'TAR FIN'!$A$1:$O$85,15,0)),0,VLOOKUP($T$113,'TAR FIN'!$A$1:$O$85,15,0))</f>
        <v>474.57</v>
      </c>
      <c r="X113" s="6">
        <f>IF(ISERROR(VLOOKUP($U$113,'TAR FIN'!$A$1:$O$85,15,0)),0,VLOOKUP($U$113,'TAR FIN'!$A$1:$O$85,15,0))</f>
        <v>251.85</v>
      </c>
      <c r="Y113" s="6"/>
      <c r="Z113" s="6">
        <f ca="1">('TUSD BE'!$AM$24+'TUSD BF'!$AM$24+'TUSD CVA'!$AM$24-('TUSD BE'!$P$24+'TUSD BF'!$P$24+'TUSD CVA'!$P$24)-('TUSD BE'!$Q$24+'TUSD BF'!$Q$24+'TUSD CVA'!$Q$24)-('TUSD BE'!$R$24+'TUSD BF'!$R$24+'TUSD CVA'!$R$24))*(1-CUSTOS!$M$37)</f>
        <v>602.24253834016474</v>
      </c>
      <c r="AA113" s="6">
        <f>('TE BE'!$AA$15+'TE BF'!$AA$15+'TE CVA'!$AA$15)*(1-CUSTOS!$M$37)</f>
        <v>256.69216484835653</v>
      </c>
      <c r="AB113" s="6">
        <f>$K$113*$V$113</f>
        <v>0</v>
      </c>
      <c r="AC113" s="6">
        <f>$M$113*$W$113</f>
        <v>3830.2544699999999</v>
      </c>
      <c r="AD113" s="6">
        <f>$O$113*$X$113</f>
        <v>2032.6813499999998</v>
      </c>
      <c r="AE113" s="6">
        <f>$K$113*$Y$113</f>
        <v>0</v>
      </c>
      <c r="AF113" s="6">
        <f ca="1">$M$113*$Z$113</f>
        <v>4860.6995269434692</v>
      </c>
      <c r="AG113" s="6">
        <f>$O$113*$AA$113</f>
        <v>2071.7624624910854</v>
      </c>
    </row>
    <row r="114" spans="1:33" ht="11.25" customHeight="1" x14ac:dyDescent="0.25">
      <c r="A114" s="4" t="s">
        <v>21</v>
      </c>
      <c r="B114" s="4" t="s">
        <v>22</v>
      </c>
      <c r="C114" s="4" t="s">
        <v>23</v>
      </c>
      <c r="D114" s="4" t="s">
        <v>24</v>
      </c>
      <c r="E114" s="4" t="s">
        <v>31</v>
      </c>
      <c r="F114" s="4" t="s">
        <v>25</v>
      </c>
      <c r="G114" s="4" t="s">
        <v>25</v>
      </c>
      <c r="H114" s="4" t="s">
        <v>25</v>
      </c>
      <c r="I114" s="5">
        <v>44562</v>
      </c>
      <c r="J114" s="6">
        <v>0</v>
      </c>
      <c r="K114" s="6">
        <v>0</v>
      </c>
      <c r="L114" s="6">
        <v>8.3030000000000008</v>
      </c>
      <c r="M114" s="6">
        <v>8.3030000000000008</v>
      </c>
      <c r="N114" s="6">
        <v>8.3030000000000008</v>
      </c>
      <c r="O114" s="6">
        <v>8.3030000000000008</v>
      </c>
      <c r="P114" s="6">
        <v>80</v>
      </c>
      <c r="Q114" s="4" t="s">
        <v>26</v>
      </c>
      <c r="R114" s="4">
        <v>0</v>
      </c>
      <c r="S114" s="6">
        <v>0</v>
      </c>
      <c r="T114" s="6">
        <v>20</v>
      </c>
      <c r="U114" s="6">
        <v>57</v>
      </c>
      <c r="V114" s="6">
        <f>IF(ISERROR(VLOOKUP($S$114,'TAR FIN'!$A$1:$O$85,15,0)),0,VLOOKUP($S$114,'TAR FIN'!$A$1:$O$85,15,0))</f>
        <v>0</v>
      </c>
      <c r="W114" s="6">
        <f>IF(ISERROR(VLOOKUP($T$114,'TAR FIN'!$A$1:$O$85,15,0)),0,VLOOKUP($T$114,'TAR FIN'!$A$1:$O$85,15,0))</f>
        <v>474.57</v>
      </c>
      <c r="X114" s="6">
        <f>IF(ISERROR(VLOOKUP($U$114,'TAR FIN'!$A$1:$O$85,15,0)),0,VLOOKUP($U$114,'TAR FIN'!$A$1:$O$85,15,0))</f>
        <v>251.85</v>
      </c>
      <c r="Y114" s="6"/>
      <c r="Z114" s="6">
        <f ca="1">('TUSD BE'!$AM$24+'TUSD BF'!$AM$24+'TUSD CVA'!$AM$24-('TUSD BE'!$P$24+'TUSD BF'!$P$24+'TUSD CVA'!$P$24)-('TUSD BE'!$Q$24+'TUSD BF'!$Q$24+'TUSD CVA'!$Q$24)-('TUSD BE'!$R$24+'TUSD BF'!$R$24+'TUSD CVA'!$R$24))*(1-CUSTOS!$M$37)</f>
        <v>602.24253834016474</v>
      </c>
      <c r="AA114" s="6">
        <f>('TE BE'!$AA$15+'TE BF'!$AA$15+'TE CVA'!$AA$15)*(1-CUSTOS!$M$37)</f>
        <v>256.69216484835653</v>
      </c>
      <c r="AB114" s="6">
        <f>$K$114*$V$114</f>
        <v>0</v>
      </c>
      <c r="AC114" s="6">
        <f>$M$114*$W$114</f>
        <v>3940.3547100000005</v>
      </c>
      <c r="AD114" s="6">
        <f>$O$114*$X$114</f>
        <v>2091.1105500000003</v>
      </c>
      <c r="AE114" s="6">
        <f>$K$114*$Y$114</f>
        <v>0</v>
      </c>
      <c r="AF114" s="6">
        <f ca="1">$M$114*$Z$114</f>
        <v>5000.4197958383884</v>
      </c>
      <c r="AG114" s="6">
        <f>$O$114*$AA$114</f>
        <v>2131.3150447359044</v>
      </c>
    </row>
    <row r="115" spans="1:33" ht="11.25" customHeight="1" x14ac:dyDescent="0.25">
      <c r="A115" s="4" t="s">
        <v>21</v>
      </c>
      <c r="B115" s="4" t="s">
        <v>22</v>
      </c>
      <c r="C115" s="4" t="s">
        <v>23</v>
      </c>
      <c r="D115" s="4" t="s">
        <v>24</v>
      </c>
      <c r="E115" s="4" t="s">
        <v>31</v>
      </c>
      <c r="F115" s="4" t="s">
        <v>25</v>
      </c>
      <c r="G115" s="4" t="s">
        <v>25</v>
      </c>
      <c r="H115" s="4" t="s">
        <v>25</v>
      </c>
      <c r="I115" s="5">
        <v>44593</v>
      </c>
      <c r="J115" s="6">
        <v>0</v>
      </c>
      <c r="K115" s="6">
        <v>0</v>
      </c>
      <c r="L115" s="6">
        <v>10.814</v>
      </c>
      <c r="M115" s="6">
        <v>10.814</v>
      </c>
      <c r="N115" s="6">
        <v>10.814</v>
      </c>
      <c r="O115" s="6">
        <v>10.814</v>
      </c>
      <c r="P115" s="6">
        <v>72</v>
      </c>
      <c r="Q115" s="4" t="s">
        <v>26</v>
      </c>
      <c r="R115" s="4">
        <v>0</v>
      </c>
      <c r="S115" s="6">
        <v>0</v>
      </c>
      <c r="T115" s="6">
        <v>20</v>
      </c>
      <c r="U115" s="6">
        <v>57</v>
      </c>
      <c r="V115" s="6">
        <f>IF(ISERROR(VLOOKUP($S$115,'TAR FIN'!$A$1:$O$85,15,0)),0,VLOOKUP($S$115,'TAR FIN'!$A$1:$O$85,15,0))</f>
        <v>0</v>
      </c>
      <c r="W115" s="6">
        <f>IF(ISERROR(VLOOKUP($T$115,'TAR FIN'!$A$1:$O$85,15,0)),0,VLOOKUP($T$115,'TAR FIN'!$A$1:$O$85,15,0))</f>
        <v>474.57</v>
      </c>
      <c r="X115" s="6">
        <f>IF(ISERROR(VLOOKUP($U$115,'TAR FIN'!$A$1:$O$85,15,0)),0,VLOOKUP($U$115,'TAR FIN'!$A$1:$O$85,15,0))</f>
        <v>251.85</v>
      </c>
      <c r="Y115" s="6"/>
      <c r="Z115" s="6">
        <f ca="1">('TUSD BE'!$AM$24+'TUSD BF'!$AM$24+'TUSD CVA'!$AM$24-('TUSD BE'!$P$24+'TUSD BF'!$P$24+'TUSD CVA'!$P$24)-('TUSD BE'!$Q$24+'TUSD BF'!$Q$24+'TUSD CVA'!$Q$24)-('TUSD BE'!$R$24+'TUSD BF'!$R$24+'TUSD CVA'!$R$24))*(1-CUSTOS!$M$37)</f>
        <v>602.24253834016474</v>
      </c>
      <c r="AA115" s="6">
        <f>('TE BE'!$AA$15+'TE BF'!$AA$15+'TE CVA'!$AA$15)*(1-CUSTOS!$M$37)</f>
        <v>256.69216484835653</v>
      </c>
      <c r="AB115" s="6">
        <f>$K$115*$V$115</f>
        <v>0</v>
      </c>
      <c r="AC115" s="6">
        <f>$M$115*$W$115</f>
        <v>5131.9999799999996</v>
      </c>
      <c r="AD115" s="6">
        <f>$O$115*$X$115</f>
        <v>2723.5059000000001</v>
      </c>
      <c r="AE115" s="6">
        <f>$K$115*$Y$115</f>
        <v>0</v>
      </c>
      <c r="AF115" s="6">
        <f ca="1">$M$115*$Z$115</f>
        <v>6512.6508096105417</v>
      </c>
      <c r="AG115" s="6">
        <f>$O$115*$AA$115</f>
        <v>2775.8690706701277</v>
      </c>
    </row>
    <row r="116" spans="1:33" ht="11.25" customHeight="1" x14ac:dyDescent="0.25">
      <c r="A116" s="4" t="s">
        <v>21</v>
      </c>
      <c r="B116" s="4" t="s">
        <v>22</v>
      </c>
      <c r="C116" s="4" t="s">
        <v>23</v>
      </c>
      <c r="D116" s="4" t="s">
        <v>24</v>
      </c>
      <c r="E116" s="4" t="s">
        <v>31</v>
      </c>
      <c r="F116" s="4" t="s">
        <v>25</v>
      </c>
      <c r="G116" s="4" t="s">
        <v>25</v>
      </c>
      <c r="H116" s="4" t="s">
        <v>25</v>
      </c>
      <c r="I116" s="5">
        <v>44621</v>
      </c>
      <c r="J116" s="6">
        <v>0</v>
      </c>
      <c r="K116" s="6">
        <v>0</v>
      </c>
      <c r="L116" s="6">
        <v>16.321000000000002</v>
      </c>
      <c r="M116" s="6">
        <v>16.321000000000002</v>
      </c>
      <c r="N116" s="6">
        <v>16.321000000000002</v>
      </c>
      <c r="O116" s="6">
        <v>16.321000000000002</v>
      </c>
      <c r="P116" s="6">
        <v>123</v>
      </c>
      <c r="Q116" s="4" t="s">
        <v>26</v>
      </c>
      <c r="R116" s="4">
        <v>0</v>
      </c>
      <c r="S116" s="6">
        <v>0</v>
      </c>
      <c r="T116" s="6">
        <v>20</v>
      </c>
      <c r="U116" s="6">
        <v>57</v>
      </c>
      <c r="V116" s="6">
        <f>IF(ISERROR(VLOOKUP($S$116,'TAR FIN'!$A$1:$O$85,15,0)),0,VLOOKUP($S$116,'TAR FIN'!$A$1:$O$85,15,0))</f>
        <v>0</v>
      </c>
      <c r="W116" s="6">
        <f>IF(ISERROR(VLOOKUP($T$116,'TAR FIN'!$A$1:$O$85,15,0)),0,VLOOKUP($T$116,'TAR FIN'!$A$1:$O$85,15,0))</f>
        <v>474.57</v>
      </c>
      <c r="X116" s="6">
        <f>IF(ISERROR(VLOOKUP($U$116,'TAR FIN'!$A$1:$O$85,15,0)),0,VLOOKUP($U$116,'TAR FIN'!$A$1:$O$85,15,0))</f>
        <v>251.85</v>
      </c>
      <c r="Y116" s="6"/>
      <c r="Z116" s="6">
        <f ca="1">('TUSD BE'!$AM$24+'TUSD BF'!$AM$24+'TUSD CVA'!$AM$24-('TUSD BE'!$P$24+'TUSD BF'!$P$24+'TUSD CVA'!$P$24)-('TUSD BE'!$Q$24+'TUSD BF'!$Q$24+'TUSD CVA'!$Q$24)-('TUSD BE'!$R$24+'TUSD BF'!$R$24+'TUSD CVA'!$R$24))*(1-CUSTOS!$M$37)</f>
        <v>602.24253834016474</v>
      </c>
      <c r="AA116" s="6">
        <f>('TE BE'!$AA$15+'TE BF'!$AA$15+'TE CVA'!$AA$15)*(1-CUSTOS!$M$37)</f>
        <v>256.69216484835653</v>
      </c>
      <c r="AB116" s="6">
        <f>$K$116*$V$116</f>
        <v>0</v>
      </c>
      <c r="AC116" s="6">
        <f>$M$116*$W$116</f>
        <v>7745.4569700000002</v>
      </c>
      <c r="AD116" s="6">
        <f>$O$116*$X$116</f>
        <v>4110.4438500000006</v>
      </c>
      <c r="AE116" s="6">
        <f>$K$116*$Y$116</f>
        <v>0</v>
      </c>
      <c r="AF116" s="6">
        <f ca="1">$M$116*$Z$116</f>
        <v>9829.20046824983</v>
      </c>
      <c r="AG116" s="6">
        <f>$O$116*$AA$116</f>
        <v>4189.4728224900273</v>
      </c>
    </row>
    <row r="117" spans="1:33" ht="11.25" customHeight="1" x14ac:dyDescent="0.25">
      <c r="A117" s="4" t="s">
        <v>21</v>
      </c>
      <c r="B117" s="4" t="s">
        <v>22</v>
      </c>
      <c r="C117" s="4" t="s">
        <v>23</v>
      </c>
      <c r="D117" s="4" t="s">
        <v>24</v>
      </c>
      <c r="E117" s="4" t="s">
        <v>31</v>
      </c>
      <c r="F117" s="4" t="s">
        <v>25</v>
      </c>
      <c r="G117" s="4" t="s">
        <v>25</v>
      </c>
      <c r="H117" s="4" t="s">
        <v>25</v>
      </c>
      <c r="I117" s="5">
        <v>44652</v>
      </c>
      <c r="J117" s="6">
        <v>0</v>
      </c>
      <c r="K117" s="6">
        <v>0</v>
      </c>
      <c r="L117" s="6">
        <v>14.085000000000001</v>
      </c>
      <c r="M117" s="6">
        <v>14.085000000000001</v>
      </c>
      <c r="N117" s="6">
        <v>14.085000000000001</v>
      </c>
      <c r="O117" s="6">
        <v>14.085000000000001</v>
      </c>
      <c r="P117" s="6">
        <v>106</v>
      </c>
      <c r="Q117" s="4" t="s">
        <v>26</v>
      </c>
      <c r="R117" s="4">
        <v>0</v>
      </c>
      <c r="S117" s="6">
        <v>0</v>
      </c>
      <c r="T117" s="6">
        <v>20</v>
      </c>
      <c r="U117" s="6">
        <v>57</v>
      </c>
      <c r="V117" s="6">
        <f>IF(ISERROR(VLOOKUP($S$117,'TAR FIN'!$A$1:$O$85,15,0)),0,VLOOKUP($S$117,'TAR FIN'!$A$1:$O$85,15,0))</f>
        <v>0</v>
      </c>
      <c r="W117" s="6">
        <f>IF(ISERROR(VLOOKUP($T$117,'TAR FIN'!$A$1:$O$85,15,0)),0,VLOOKUP($T$117,'TAR FIN'!$A$1:$O$85,15,0))</f>
        <v>474.57</v>
      </c>
      <c r="X117" s="6">
        <f>IF(ISERROR(VLOOKUP($U$117,'TAR FIN'!$A$1:$O$85,15,0)),0,VLOOKUP($U$117,'TAR FIN'!$A$1:$O$85,15,0))</f>
        <v>251.85</v>
      </c>
      <c r="Y117" s="6"/>
      <c r="Z117" s="6">
        <f ca="1">('TUSD BE'!$AM$24+'TUSD BF'!$AM$24+'TUSD CVA'!$AM$24-('TUSD BE'!$P$24+'TUSD BF'!$P$24+'TUSD CVA'!$P$24)-('TUSD BE'!$Q$24+'TUSD BF'!$Q$24+'TUSD CVA'!$Q$24)-('TUSD BE'!$R$24+'TUSD BF'!$R$24+'TUSD CVA'!$R$24))*(1-CUSTOS!$M$37)</f>
        <v>602.24253834016474</v>
      </c>
      <c r="AA117" s="6">
        <f>('TE BE'!$AA$15+'TE BF'!$AA$15+'TE CVA'!$AA$15)*(1-CUSTOS!$M$37)</f>
        <v>256.69216484835653</v>
      </c>
      <c r="AB117" s="6">
        <f>$K$117*$V$117</f>
        <v>0</v>
      </c>
      <c r="AC117" s="6">
        <f>$M$117*$W$117</f>
        <v>6684.3184500000007</v>
      </c>
      <c r="AD117" s="6">
        <f>$O$117*$X$117</f>
        <v>3547.3072500000003</v>
      </c>
      <c r="AE117" s="6">
        <f>$K$117*$Y$117</f>
        <v>0</v>
      </c>
      <c r="AF117" s="6">
        <f ca="1">$M$117*$Z$117</f>
        <v>8482.5861525212204</v>
      </c>
      <c r="AG117" s="6">
        <f>$O$117*$AA$117</f>
        <v>3615.509141889102</v>
      </c>
    </row>
    <row r="118" spans="1:33" ht="11.25" customHeight="1" x14ac:dyDescent="0.25">
      <c r="A118" s="4" t="s">
        <v>21</v>
      </c>
      <c r="B118" s="4" t="s">
        <v>41</v>
      </c>
      <c r="C118" s="4" t="s">
        <v>39</v>
      </c>
      <c r="D118" s="4" t="s">
        <v>42</v>
      </c>
      <c r="E118" s="4" t="s">
        <v>25</v>
      </c>
      <c r="F118" s="4" t="s">
        <v>25</v>
      </c>
      <c r="G118" s="4" t="s">
        <v>25</v>
      </c>
      <c r="H118" s="4" t="s">
        <v>37</v>
      </c>
      <c r="I118" s="5">
        <v>44317</v>
      </c>
      <c r="J118" s="6">
        <v>0</v>
      </c>
      <c r="K118" s="6">
        <v>0</v>
      </c>
      <c r="L118" s="6">
        <v>0.35799999999999998</v>
      </c>
      <c r="M118" s="6">
        <v>0.35799999999999998</v>
      </c>
      <c r="N118" s="6">
        <v>0.35799999999999998</v>
      </c>
      <c r="O118" s="6">
        <v>0.35799999999999998</v>
      </c>
      <c r="P118" s="6">
        <v>0</v>
      </c>
      <c r="Q118" s="4" t="s">
        <v>26</v>
      </c>
      <c r="R118" s="4">
        <v>0</v>
      </c>
      <c r="S118" s="6">
        <v>0</v>
      </c>
      <c r="T118" s="6">
        <v>28</v>
      </c>
      <c r="U118" s="6">
        <v>65</v>
      </c>
      <c r="V118" s="6">
        <f>IF(ISERROR(VLOOKUP($S$118,'TAR FIN'!$A$1:$O$85,15,0)),0,VLOOKUP($S$118,'TAR FIN'!$A$1:$O$85,15,0))</f>
        <v>0</v>
      </c>
      <c r="W118" s="6">
        <f>IF(ISERROR(VLOOKUP($T$118,'TAR FIN'!$A$1:$O$85,15,0)),0,VLOOKUP($T$118,'TAR FIN'!$A$1:$O$85,15,0))</f>
        <v>268.26</v>
      </c>
      <c r="X118" s="6">
        <f>IF(ISERROR(VLOOKUP($U$118,'TAR FIN'!$A$1:$O$85,15,0)),0,VLOOKUP($U$118,'TAR FIN'!$A$1:$O$85,15,0))</f>
        <v>221.63</v>
      </c>
      <c r="Y118" s="6"/>
      <c r="Z118" s="6">
        <f ca="1">('TUSD BE'!$AM$32+'TUSD BF'!$AM$32+'TUSD CVA'!$AM$32)*(1-CUSTOS!$M$38)</f>
        <v>371.5935842549016</v>
      </c>
      <c r="AA118" s="6">
        <f>('TE BE'!$AA$23+'TE BF'!$AA$23+'TE CVA'!$AA$23)*(1-CUSTOS!$M$38)</f>
        <v>241.29063495745513</v>
      </c>
      <c r="AB118" s="6">
        <f>$K$118*$V$118</f>
        <v>0</v>
      </c>
      <c r="AC118" s="6">
        <f>$M$118*$W$118</f>
        <v>96.037079999999989</v>
      </c>
      <c r="AD118" s="6">
        <f>$O$118*$X$118</f>
        <v>79.34353999999999</v>
      </c>
      <c r="AE118" s="6">
        <f>$K$118*$Y$118</f>
        <v>0</v>
      </c>
      <c r="AF118" s="6">
        <f ca="1">$M$118*$Z$118</f>
        <v>133.03050316325476</v>
      </c>
      <c r="AG118" s="6">
        <f>$O$118*$AA$118</f>
        <v>86.382047314768926</v>
      </c>
    </row>
    <row r="119" spans="1:33" ht="11.25" customHeight="1" x14ac:dyDescent="0.25">
      <c r="A119" s="4" t="s">
        <v>21</v>
      </c>
      <c r="B119" s="4" t="s">
        <v>41</v>
      </c>
      <c r="C119" s="4" t="s">
        <v>39</v>
      </c>
      <c r="D119" s="4" t="s">
        <v>42</v>
      </c>
      <c r="E119" s="4" t="s">
        <v>25</v>
      </c>
      <c r="F119" s="4" t="s">
        <v>25</v>
      </c>
      <c r="G119" s="4" t="s">
        <v>25</v>
      </c>
      <c r="H119" s="4" t="s">
        <v>37</v>
      </c>
      <c r="I119" s="5">
        <v>44348</v>
      </c>
      <c r="J119" s="6">
        <v>0</v>
      </c>
      <c r="K119" s="6">
        <v>0</v>
      </c>
      <c r="L119" s="6">
        <v>0.311</v>
      </c>
      <c r="M119" s="6">
        <v>0.311</v>
      </c>
      <c r="N119" s="6">
        <v>0.311</v>
      </c>
      <c r="O119" s="6">
        <v>0.311</v>
      </c>
      <c r="P119" s="6">
        <v>0</v>
      </c>
      <c r="Q119" s="4" t="s">
        <v>26</v>
      </c>
      <c r="R119" s="4">
        <v>0</v>
      </c>
      <c r="S119" s="6">
        <v>0</v>
      </c>
      <c r="T119" s="6">
        <v>28</v>
      </c>
      <c r="U119" s="6">
        <v>65</v>
      </c>
      <c r="V119" s="6">
        <f>IF(ISERROR(VLOOKUP($S$119,'TAR FIN'!$A$1:$O$85,15,0)),0,VLOOKUP($S$119,'TAR FIN'!$A$1:$O$85,15,0))</f>
        <v>0</v>
      </c>
      <c r="W119" s="6">
        <f>IF(ISERROR(VLOOKUP($T$119,'TAR FIN'!$A$1:$O$85,15,0)),0,VLOOKUP($T$119,'TAR FIN'!$A$1:$O$85,15,0))</f>
        <v>268.26</v>
      </c>
      <c r="X119" s="6">
        <f>IF(ISERROR(VLOOKUP($U$119,'TAR FIN'!$A$1:$O$85,15,0)),0,VLOOKUP($U$119,'TAR FIN'!$A$1:$O$85,15,0))</f>
        <v>221.63</v>
      </c>
      <c r="Y119" s="6"/>
      <c r="Z119" s="6">
        <f ca="1">('TUSD BE'!$AM$32+'TUSD BF'!$AM$32+'TUSD CVA'!$AM$32)*(1-CUSTOS!$M$38)</f>
        <v>371.5935842549016</v>
      </c>
      <c r="AA119" s="6">
        <f>('TE BE'!$AA$23+'TE BF'!$AA$23+'TE CVA'!$AA$23)*(1-CUSTOS!$M$38)</f>
        <v>241.29063495745513</v>
      </c>
      <c r="AB119" s="6">
        <f>$K$119*$V$119</f>
        <v>0</v>
      </c>
      <c r="AC119" s="6">
        <f>$M$119*$W$119</f>
        <v>83.42886</v>
      </c>
      <c r="AD119" s="6">
        <f>$O$119*$X$119</f>
        <v>68.926929999999999</v>
      </c>
      <c r="AE119" s="6">
        <f>$K$119*$Y$119</f>
        <v>0</v>
      </c>
      <c r="AF119" s="6">
        <f ca="1">$M$119*$Z$119</f>
        <v>115.5656047032744</v>
      </c>
      <c r="AG119" s="6">
        <f>$O$119*$AA$119</f>
        <v>75.041387471768545</v>
      </c>
    </row>
    <row r="120" spans="1:33" ht="11.25" customHeight="1" x14ac:dyDescent="0.25">
      <c r="A120" s="4" t="s">
        <v>21</v>
      </c>
      <c r="B120" s="4" t="s">
        <v>41</v>
      </c>
      <c r="C120" s="4" t="s">
        <v>39</v>
      </c>
      <c r="D120" s="4" t="s">
        <v>42</v>
      </c>
      <c r="E120" s="4" t="s">
        <v>25</v>
      </c>
      <c r="F120" s="4" t="s">
        <v>25</v>
      </c>
      <c r="G120" s="4" t="s">
        <v>25</v>
      </c>
      <c r="H120" s="4" t="s">
        <v>37</v>
      </c>
      <c r="I120" s="5">
        <v>44378</v>
      </c>
      <c r="J120" s="6">
        <v>0</v>
      </c>
      <c r="K120" s="6">
        <v>0</v>
      </c>
      <c r="L120" s="6">
        <v>0.41899999999999998</v>
      </c>
      <c r="M120" s="6">
        <v>0.41899999999999998</v>
      </c>
      <c r="N120" s="6">
        <v>0.41899999999999998</v>
      </c>
      <c r="O120" s="6">
        <v>0.41899999999999998</v>
      </c>
      <c r="P120" s="6">
        <v>0</v>
      </c>
      <c r="Q120" s="4" t="s">
        <v>26</v>
      </c>
      <c r="R120" s="4">
        <v>0</v>
      </c>
      <c r="S120" s="6">
        <v>0</v>
      </c>
      <c r="T120" s="6">
        <v>28</v>
      </c>
      <c r="U120" s="6">
        <v>65</v>
      </c>
      <c r="V120" s="6">
        <f>IF(ISERROR(VLOOKUP($S$120,'TAR FIN'!$A$1:$O$85,15,0)),0,VLOOKUP($S$120,'TAR FIN'!$A$1:$O$85,15,0))</f>
        <v>0</v>
      </c>
      <c r="W120" s="6">
        <f>IF(ISERROR(VLOOKUP($T$120,'TAR FIN'!$A$1:$O$85,15,0)),0,VLOOKUP($T$120,'TAR FIN'!$A$1:$O$85,15,0))</f>
        <v>268.26</v>
      </c>
      <c r="X120" s="6">
        <f>IF(ISERROR(VLOOKUP($U$120,'TAR FIN'!$A$1:$O$85,15,0)),0,VLOOKUP($U$120,'TAR FIN'!$A$1:$O$85,15,0))</f>
        <v>221.63</v>
      </c>
      <c r="Y120" s="6"/>
      <c r="Z120" s="6">
        <f ca="1">('TUSD BE'!$AM$32+'TUSD BF'!$AM$32+'TUSD CVA'!$AM$32)*(1-CUSTOS!$M$38)</f>
        <v>371.5935842549016</v>
      </c>
      <c r="AA120" s="6">
        <f>('TE BE'!$AA$23+'TE BF'!$AA$23+'TE CVA'!$AA$23)*(1-CUSTOS!$M$38)</f>
        <v>241.29063495745513</v>
      </c>
      <c r="AB120" s="6">
        <f>$K$120*$V$120</f>
        <v>0</v>
      </c>
      <c r="AC120" s="6">
        <f>$M$120*$W$120</f>
        <v>112.40093999999999</v>
      </c>
      <c r="AD120" s="6">
        <f>$O$120*$X$120</f>
        <v>92.86296999999999</v>
      </c>
      <c r="AE120" s="6">
        <f>$K$120*$Y$120</f>
        <v>0</v>
      </c>
      <c r="AF120" s="6">
        <f ca="1">$M$120*$Z$120</f>
        <v>155.69771180280375</v>
      </c>
      <c r="AG120" s="6">
        <f>$O$120*$AA$120</f>
        <v>101.1007760471737</v>
      </c>
    </row>
    <row r="121" spans="1:33" ht="11.25" customHeight="1" x14ac:dyDescent="0.25">
      <c r="A121" s="4" t="s">
        <v>21</v>
      </c>
      <c r="B121" s="4" t="s">
        <v>41</v>
      </c>
      <c r="C121" s="4" t="s">
        <v>39</v>
      </c>
      <c r="D121" s="4" t="s">
        <v>42</v>
      </c>
      <c r="E121" s="4" t="s">
        <v>25</v>
      </c>
      <c r="F121" s="4" t="s">
        <v>25</v>
      </c>
      <c r="G121" s="4" t="s">
        <v>25</v>
      </c>
      <c r="H121" s="4" t="s">
        <v>37</v>
      </c>
      <c r="I121" s="5">
        <v>44409</v>
      </c>
      <c r="J121" s="6">
        <v>0</v>
      </c>
      <c r="K121" s="6">
        <v>0</v>
      </c>
      <c r="L121" s="6">
        <v>0.36899999999999999</v>
      </c>
      <c r="M121" s="6">
        <v>0.36899999999999999</v>
      </c>
      <c r="N121" s="6">
        <v>0.36899999999999999</v>
      </c>
      <c r="O121" s="6">
        <v>0.36899999999999999</v>
      </c>
      <c r="P121" s="6">
        <v>0</v>
      </c>
      <c r="Q121" s="4" t="s">
        <v>26</v>
      </c>
      <c r="R121" s="4">
        <v>0</v>
      </c>
      <c r="S121" s="6">
        <v>0</v>
      </c>
      <c r="T121" s="6">
        <v>28</v>
      </c>
      <c r="U121" s="6">
        <v>65</v>
      </c>
      <c r="V121" s="6">
        <f>IF(ISERROR(VLOOKUP($S$121,'TAR FIN'!$A$1:$O$85,15,0)),0,VLOOKUP($S$121,'TAR FIN'!$A$1:$O$85,15,0))</f>
        <v>0</v>
      </c>
      <c r="W121" s="6">
        <f>IF(ISERROR(VLOOKUP($T$121,'TAR FIN'!$A$1:$O$85,15,0)),0,VLOOKUP($T$121,'TAR FIN'!$A$1:$O$85,15,0))</f>
        <v>268.26</v>
      </c>
      <c r="X121" s="6">
        <f>IF(ISERROR(VLOOKUP($U$121,'TAR FIN'!$A$1:$O$85,15,0)),0,VLOOKUP($U$121,'TAR FIN'!$A$1:$O$85,15,0))</f>
        <v>221.63</v>
      </c>
      <c r="Y121" s="6"/>
      <c r="Z121" s="6">
        <f ca="1">('TUSD BE'!$AM$32+'TUSD BF'!$AM$32+'TUSD CVA'!$AM$32)*(1-CUSTOS!$M$38)</f>
        <v>371.5935842549016</v>
      </c>
      <c r="AA121" s="6">
        <f>('TE BE'!$AA$23+'TE BF'!$AA$23+'TE CVA'!$AA$23)*(1-CUSTOS!$M$38)</f>
        <v>241.29063495745513</v>
      </c>
      <c r="AB121" s="6">
        <f>$K$121*$V$121</f>
        <v>0</v>
      </c>
      <c r="AC121" s="6">
        <f>$M$121*$W$121</f>
        <v>98.987939999999995</v>
      </c>
      <c r="AD121" s="6">
        <f>$O$121*$X$121</f>
        <v>81.781469999999999</v>
      </c>
      <c r="AE121" s="6">
        <f>$K$121*$Y$121</f>
        <v>0</v>
      </c>
      <c r="AF121" s="6">
        <f ca="1">$M$121*$Z$121</f>
        <v>137.11803259005868</v>
      </c>
      <c r="AG121" s="6">
        <f>$O$121*$AA$121</f>
        <v>89.036244299300947</v>
      </c>
    </row>
    <row r="122" spans="1:33" ht="11.25" customHeight="1" x14ac:dyDescent="0.25">
      <c r="A122" s="4" t="s">
        <v>21</v>
      </c>
      <c r="B122" s="4" t="s">
        <v>41</v>
      </c>
      <c r="C122" s="4" t="s">
        <v>39</v>
      </c>
      <c r="D122" s="4" t="s">
        <v>42</v>
      </c>
      <c r="E122" s="4" t="s">
        <v>25</v>
      </c>
      <c r="F122" s="4" t="s">
        <v>25</v>
      </c>
      <c r="G122" s="4" t="s">
        <v>25</v>
      </c>
      <c r="H122" s="4" t="s">
        <v>37</v>
      </c>
      <c r="I122" s="5">
        <v>44440</v>
      </c>
      <c r="J122" s="6">
        <v>0</v>
      </c>
      <c r="K122" s="6">
        <v>0</v>
      </c>
      <c r="L122" s="6">
        <v>0.7</v>
      </c>
      <c r="M122" s="6">
        <v>0.7</v>
      </c>
      <c r="N122" s="6">
        <v>0.7</v>
      </c>
      <c r="O122" s="6">
        <v>0.7</v>
      </c>
      <c r="P122" s="6">
        <v>0</v>
      </c>
      <c r="Q122" s="4" t="s">
        <v>26</v>
      </c>
      <c r="R122" s="4">
        <v>0</v>
      </c>
      <c r="S122" s="6">
        <v>0</v>
      </c>
      <c r="T122" s="6">
        <v>28</v>
      </c>
      <c r="U122" s="6">
        <v>65</v>
      </c>
      <c r="V122" s="6">
        <f>IF(ISERROR(VLOOKUP($S$122,'TAR FIN'!$A$1:$O$85,15,0)),0,VLOOKUP($S$122,'TAR FIN'!$A$1:$O$85,15,0))</f>
        <v>0</v>
      </c>
      <c r="W122" s="6">
        <f>IF(ISERROR(VLOOKUP($T$122,'TAR FIN'!$A$1:$O$85,15,0)),0,VLOOKUP($T$122,'TAR FIN'!$A$1:$O$85,15,0))</f>
        <v>268.26</v>
      </c>
      <c r="X122" s="6">
        <f>IF(ISERROR(VLOOKUP($U$122,'TAR FIN'!$A$1:$O$85,15,0)),0,VLOOKUP($U$122,'TAR FIN'!$A$1:$O$85,15,0))</f>
        <v>221.63</v>
      </c>
      <c r="Y122" s="6"/>
      <c r="Z122" s="6">
        <f ca="1">('TUSD BE'!$AM$32+'TUSD BF'!$AM$32+'TUSD CVA'!$AM$32)*(1-CUSTOS!$M$38)</f>
        <v>371.5935842549016</v>
      </c>
      <c r="AA122" s="6">
        <f>('TE BE'!$AA$23+'TE BF'!$AA$23+'TE CVA'!$AA$23)*(1-CUSTOS!$M$38)</f>
        <v>241.29063495745513</v>
      </c>
      <c r="AB122" s="6">
        <f>$K$122*$V$122</f>
        <v>0</v>
      </c>
      <c r="AC122" s="6">
        <f>$M$122*$W$122</f>
        <v>187.78199999999998</v>
      </c>
      <c r="AD122" s="6">
        <f>$O$122*$X$122</f>
        <v>155.14099999999999</v>
      </c>
      <c r="AE122" s="6">
        <f>$K$122*$Y$122</f>
        <v>0</v>
      </c>
      <c r="AF122" s="6">
        <f ca="1">$M$122*$Z$122</f>
        <v>260.11550897843108</v>
      </c>
      <c r="AG122" s="6">
        <f>$O$122*$AA$122</f>
        <v>168.90344447021857</v>
      </c>
    </row>
    <row r="123" spans="1:33" ht="11.25" customHeight="1" x14ac:dyDescent="0.25">
      <c r="A123" s="4" t="s">
        <v>21</v>
      </c>
      <c r="B123" s="4" t="s">
        <v>41</v>
      </c>
      <c r="C123" s="4" t="s">
        <v>39</v>
      </c>
      <c r="D123" s="4" t="s">
        <v>42</v>
      </c>
      <c r="E123" s="4" t="s">
        <v>25</v>
      </c>
      <c r="F123" s="4" t="s">
        <v>25</v>
      </c>
      <c r="G123" s="4" t="s">
        <v>25</v>
      </c>
      <c r="H123" s="4" t="s">
        <v>37</v>
      </c>
      <c r="I123" s="5">
        <v>44470</v>
      </c>
      <c r="J123" s="6">
        <v>0</v>
      </c>
      <c r="K123" s="6">
        <v>0</v>
      </c>
      <c r="L123" s="6">
        <v>2.4430000000000001</v>
      </c>
      <c r="M123" s="6">
        <v>2.4430000000000001</v>
      </c>
      <c r="N123" s="6">
        <v>2.4430000000000001</v>
      </c>
      <c r="O123" s="6">
        <v>2.4430000000000001</v>
      </c>
      <c r="P123" s="6">
        <v>0</v>
      </c>
      <c r="Q123" s="4" t="s">
        <v>26</v>
      </c>
      <c r="R123" s="4">
        <v>0</v>
      </c>
      <c r="S123" s="6">
        <v>0</v>
      </c>
      <c r="T123" s="6">
        <v>28</v>
      </c>
      <c r="U123" s="6">
        <v>65</v>
      </c>
      <c r="V123" s="6">
        <f>IF(ISERROR(VLOOKUP($S$123,'TAR FIN'!$A$1:$O$85,15,0)),0,VLOOKUP($S$123,'TAR FIN'!$A$1:$O$85,15,0))</f>
        <v>0</v>
      </c>
      <c r="W123" s="6">
        <f>IF(ISERROR(VLOOKUP($T$123,'TAR FIN'!$A$1:$O$85,15,0)),0,VLOOKUP($T$123,'TAR FIN'!$A$1:$O$85,15,0))</f>
        <v>268.26</v>
      </c>
      <c r="X123" s="6">
        <f>IF(ISERROR(VLOOKUP($U$123,'TAR FIN'!$A$1:$O$85,15,0)),0,VLOOKUP($U$123,'TAR FIN'!$A$1:$O$85,15,0))</f>
        <v>221.63</v>
      </c>
      <c r="Y123" s="6"/>
      <c r="Z123" s="6">
        <f ca="1">('TUSD BE'!$AM$32+'TUSD BF'!$AM$32+'TUSD CVA'!$AM$32)*(1-CUSTOS!$M$38)</f>
        <v>371.5935842549016</v>
      </c>
      <c r="AA123" s="6">
        <f>('TE BE'!$AA$23+'TE BF'!$AA$23+'TE CVA'!$AA$23)*(1-CUSTOS!$M$38)</f>
        <v>241.29063495745513</v>
      </c>
      <c r="AB123" s="6">
        <f>$K$123*$V$123</f>
        <v>0</v>
      </c>
      <c r="AC123" s="6">
        <f>$M$123*$W$123</f>
        <v>655.35918000000004</v>
      </c>
      <c r="AD123" s="6">
        <f>$O$123*$X$123</f>
        <v>541.44209000000001</v>
      </c>
      <c r="AE123" s="6">
        <f>$K$123*$Y$123</f>
        <v>0</v>
      </c>
      <c r="AF123" s="6">
        <f ca="1">$M$123*$Z$123</f>
        <v>907.80312633472465</v>
      </c>
      <c r="AG123" s="6">
        <f>$O$123*$AA$123</f>
        <v>589.47302120106292</v>
      </c>
    </row>
    <row r="124" spans="1:33" ht="11.25" customHeight="1" x14ac:dyDescent="0.25">
      <c r="A124" s="4" t="s">
        <v>21</v>
      </c>
      <c r="B124" s="4" t="s">
        <v>41</v>
      </c>
      <c r="C124" s="4" t="s">
        <v>39</v>
      </c>
      <c r="D124" s="4" t="s">
        <v>42</v>
      </c>
      <c r="E124" s="4" t="s">
        <v>25</v>
      </c>
      <c r="F124" s="4" t="s">
        <v>25</v>
      </c>
      <c r="G124" s="4" t="s">
        <v>25</v>
      </c>
      <c r="H124" s="4" t="s">
        <v>37</v>
      </c>
      <c r="I124" s="5">
        <v>44501</v>
      </c>
      <c r="J124" s="6">
        <v>0</v>
      </c>
      <c r="K124" s="6">
        <v>0</v>
      </c>
      <c r="L124" s="6">
        <v>2.0289999999999999</v>
      </c>
      <c r="M124" s="6">
        <v>2.0289999999999999</v>
      </c>
      <c r="N124" s="6">
        <v>2.0289999999999999</v>
      </c>
      <c r="O124" s="6">
        <v>2.0289999999999999</v>
      </c>
      <c r="P124" s="6">
        <v>0</v>
      </c>
      <c r="Q124" s="4" t="s">
        <v>26</v>
      </c>
      <c r="R124" s="4">
        <v>0</v>
      </c>
      <c r="S124" s="6">
        <v>0</v>
      </c>
      <c r="T124" s="6">
        <v>28</v>
      </c>
      <c r="U124" s="6">
        <v>65</v>
      </c>
      <c r="V124" s="6">
        <f>IF(ISERROR(VLOOKUP($S$124,'TAR FIN'!$A$1:$O$85,15,0)),0,VLOOKUP($S$124,'TAR FIN'!$A$1:$O$85,15,0))</f>
        <v>0</v>
      </c>
      <c r="W124" s="6">
        <f>IF(ISERROR(VLOOKUP($T$124,'TAR FIN'!$A$1:$O$85,15,0)),0,VLOOKUP($T$124,'TAR FIN'!$A$1:$O$85,15,0))</f>
        <v>268.26</v>
      </c>
      <c r="X124" s="6">
        <f>IF(ISERROR(VLOOKUP($U$124,'TAR FIN'!$A$1:$O$85,15,0)),0,VLOOKUP($U$124,'TAR FIN'!$A$1:$O$85,15,0))</f>
        <v>221.63</v>
      </c>
      <c r="Y124" s="6"/>
      <c r="Z124" s="6">
        <f ca="1">('TUSD BE'!$AM$32+'TUSD BF'!$AM$32+'TUSD CVA'!$AM$32)*(1-CUSTOS!$M$38)</f>
        <v>371.5935842549016</v>
      </c>
      <c r="AA124" s="6">
        <f>('TE BE'!$AA$23+'TE BF'!$AA$23+'TE CVA'!$AA$23)*(1-CUSTOS!$M$38)</f>
        <v>241.29063495745513</v>
      </c>
      <c r="AB124" s="6">
        <f>$K$124*$V$124</f>
        <v>0</v>
      </c>
      <c r="AC124" s="6">
        <f>$M$124*$W$124</f>
        <v>544.29953999999998</v>
      </c>
      <c r="AD124" s="6">
        <f>$O$124*$X$124</f>
        <v>449.68726999999996</v>
      </c>
      <c r="AE124" s="6">
        <f>$K$124*$Y$124</f>
        <v>0</v>
      </c>
      <c r="AF124" s="6">
        <f ca="1">$M$124*$Z$124</f>
        <v>753.96338245319532</v>
      </c>
      <c r="AG124" s="6">
        <f>$O$124*$AA$124</f>
        <v>489.57869832867641</v>
      </c>
    </row>
    <row r="125" spans="1:33" ht="11.25" customHeight="1" x14ac:dyDescent="0.25">
      <c r="A125" s="4" t="s">
        <v>21</v>
      </c>
      <c r="B125" s="4" t="s">
        <v>41</v>
      </c>
      <c r="C125" s="4" t="s">
        <v>39</v>
      </c>
      <c r="D125" s="4" t="s">
        <v>42</v>
      </c>
      <c r="E125" s="4" t="s">
        <v>25</v>
      </c>
      <c r="F125" s="4" t="s">
        <v>25</v>
      </c>
      <c r="G125" s="4" t="s">
        <v>25</v>
      </c>
      <c r="H125" s="4" t="s">
        <v>37</v>
      </c>
      <c r="I125" s="5">
        <v>44531</v>
      </c>
      <c r="J125" s="6">
        <v>0</v>
      </c>
      <c r="K125" s="6">
        <v>0</v>
      </c>
      <c r="L125" s="6">
        <v>2.347</v>
      </c>
      <c r="M125" s="6">
        <v>2.347</v>
      </c>
      <c r="N125" s="6">
        <v>2.347</v>
      </c>
      <c r="O125" s="6">
        <v>2.347</v>
      </c>
      <c r="P125" s="6">
        <v>0</v>
      </c>
      <c r="Q125" s="4" t="s">
        <v>26</v>
      </c>
      <c r="R125" s="4">
        <v>0</v>
      </c>
      <c r="S125" s="6">
        <v>0</v>
      </c>
      <c r="T125" s="6">
        <v>28</v>
      </c>
      <c r="U125" s="6">
        <v>65</v>
      </c>
      <c r="V125" s="6">
        <f>IF(ISERROR(VLOOKUP($S$125,'TAR FIN'!$A$1:$O$85,15,0)),0,VLOOKUP($S$125,'TAR FIN'!$A$1:$O$85,15,0))</f>
        <v>0</v>
      </c>
      <c r="W125" s="6">
        <f>IF(ISERROR(VLOOKUP($T$125,'TAR FIN'!$A$1:$O$85,15,0)),0,VLOOKUP($T$125,'TAR FIN'!$A$1:$O$85,15,0))</f>
        <v>268.26</v>
      </c>
      <c r="X125" s="6">
        <f>IF(ISERROR(VLOOKUP($U$125,'TAR FIN'!$A$1:$O$85,15,0)),0,VLOOKUP($U$125,'TAR FIN'!$A$1:$O$85,15,0))</f>
        <v>221.63</v>
      </c>
      <c r="Y125" s="6"/>
      <c r="Z125" s="6">
        <f ca="1">('TUSD BE'!$AM$32+'TUSD BF'!$AM$32+'TUSD CVA'!$AM$32)*(1-CUSTOS!$M$38)</f>
        <v>371.5935842549016</v>
      </c>
      <c r="AA125" s="6">
        <f>('TE BE'!$AA$23+'TE BF'!$AA$23+'TE CVA'!$AA$23)*(1-CUSTOS!$M$38)</f>
        <v>241.29063495745513</v>
      </c>
      <c r="AB125" s="6">
        <f>$K$125*$V$125</f>
        <v>0</v>
      </c>
      <c r="AC125" s="6">
        <f>$M$125*$W$125</f>
        <v>629.60622000000001</v>
      </c>
      <c r="AD125" s="6">
        <f>$O$125*$X$125</f>
        <v>520.16561000000002</v>
      </c>
      <c r="AE125" s="6">
        <f>$K$125*$Y$125</f>
        <v>0</v>
      </c>
      <c r="AF125" s="6">
        <f ca="1">$M$125*$Z$125</f>
        <v>872.13014224625408</v>
      </c>
      <c r="AG125" s="6">
        <f>$O$125*$AA$125</f>
        <v>566.30912024514714</v>
      </c>
    </row>
    <row r="126" spans="1:33" ht="11.25" customHeight="1" x14ac:dyDescent="0.25">
      <c r="A126" s="4" t="s">
        <v>21</v>
      </c>
      <c r="B126" s="4" t="s">
        <v>41</v>
      </c>
      <c r="C126" s="4" t="s">
        <v>39</v>
      </c>
      <c r="D126" s="4" t="s">
        <v>42</v>
      </c>
      <c r="E126" s="4" t="s">
        <v>25</v>
      </c>
      <c r="F126" s="4" t="s">
        <v>25</v>
      </c>
      <c r="G126" s="4" t="s">
        <v>25</v>
      </c>
      <c r="H126" s="4" t="s">
        <v>37</v>
      </c>
      <c r="I126" s="5">
        <v>44562</v>
      </c>
      <c r="J126" s="6">
        <v>0</v>
      </c>
      <c r="K126" s="6">
        <v>0</v>
      </c>
      <c r="L126" s="6">
        <v>0.98799999999999999</v>
      </c>
      <c r="M126" s="6">
        <v>0.98799999999999999</v>
      </c>
      <c r="N126" s="6">
        <v>0.98799999999999999</v>
      </c>
      <c r="O126" s="6">
        <v>0.98799999999999999</v>
      </c>
      <c r="P126" s="6">
        <v>0</v>
      </c>
      <c r="Q126" s="4" t="s">
        <v>26</v>
      </c>
      <c r="R126" s="4">
        <v>0</v>
      </c>
      <c r="S126" s="6">
        <v>0</v>
      </c>
      <c r="T126" s="6">
        <v>28</v>
      </c>
      <c r="U126" s="6">
        <v>65</v>
      </c>
      <c r="V126" s="6">
        <f>IF(ISERROR(VLOOKUP($S$126,'TAR FIN'!$A$1:$O$85,15,0)),0,VLOOKUP($S$126,'TAR FIN'!$A$1:$O$85,15,0))</f>
        <v>0</v>
      </c>
      <c r="W126" s="6">
        <f>IF(ISERROR(VLOOKUP($T$126,'TAR FIN'!$A$1:$O$85,15,0)),0,VLOOKUP($T$126,'TAR FIN'!$A$1:$O$85,15,0))</f>
        <v>268.26</v>
      </c>
      <c r="X126" s="6">
        <f>IF(ISERROR(VLOOKUP($U$126,'TAR FIN'!$A$1:$O$85,15,0)),0,VLOOKUP($U$126,'TAR FIN'!$A$1:$O$85,15,0))</f>
        <v>221.63</v>
      </c>
      <c r="Y126" s="6"/>
      <c r="Z126" s="6">
        <f ca="1">('TUSD BE'!$AM$32+'TUSD BF'!$AM$32+'TUSD CVA'!$AM$32)*(1-CUSTOS!$M$38)</f>
        <v>371.5935842549016</v>
      </c>
      <c r="AA126" s="6">
        <f>('TE BE'!$AA$23+'TE BF'!$AA$23+'TE CVA'!$AA$23)*(1-CUSTOS!$M$38)</f>
        <v>241.29063495745513</v>
      </c>
      <c r="AB126" s="6">
        <f>$K$126*$V$126</f>
        <v>0</v>
      </c>
      <c r="AC126" s="6">
        <f>$M$126*$W$126</f>
        <v>265.04088000000002</v>
      </c>
      <c r="AD126" s="6">
        <f>$O$126*$X$126</f>
        <v>218.97044</v>
      </c>
      <c r="AE126" s="6">
        <f>$K$126*$Y$126</f>
        <v>0</v>
      </c>
      <c r="AF126" s="6">
        <f ca="1">$M$126*$Z$126</f>
        <v>367.13446124384279</v>
      </c>
      <c r="AG126" s="6">
        <f>$O$126*$AA$126</f>
        <v>238.39514733796565</v>
      </c>
    </row>
    <row r="127" spans="1:33" ht="11.25" customHeight="1" x14ac:dyDescent="0.25">
      <c r="A127" s="4" t="s">
        <v>21</v>
      </c>
      <c r="B127" s="4" t="s">
        <v>41</v>
      </c>
      <c r="C127" s="4" t="s">
        <v>39</v>
      </c>
      <c r="D127" s="4" t="s">
        <v>42</v>
      </c>
      <c r="E127" s="4" t="s">
        <v>25</v>
      </c>
      <c r="F127" s="4" t="s">
        <v>25</v>
      </c>
      <c r="G127" s="4" t="s">
        <v>25</v>
      </c>
      <c r="H127" s="4" t="s">
        <v>37</v>
      </c>
      <c r="I127" s="5">
        <v>44593</v>
      </c>
      <c r="J127" s="6">
        <v>0</v>
      </c>
      <c r="K127" s="6">
        <v>0</v>
      </c>
      <c r="L127" s="6">
        <v>2.86</v>
      </c>
      <c r="M127" s="6">
        <v>2.86</v>
      </c>
      <c r="N127" s="6">
        <v>2.86</v>
      </c>
      <c r="O127" s="6">
        <v>2.86</v>
      </c>
      <c r="P127" s="6">
        <v>0</v>
      </c>
      <c r="Q127" s="4" t="s">
        <v>26</v>
      </c>
      <c r="R127" s="4">
        <v>0</v>
      </c>
      <c r="S127" s="6">
        <v>0</v>
      </c>
      <c r="T127" s="6">
        <v>28</v>
      </c>
      <c r="U127" s="6">
        <v>65</v>
      </c>
      <c r="V127" s="6">
        <f>IF(ISERROR(VLOOKUP($S$127,'TAR FIN'!$A$1:$O$85,15,0)),0,VLOOKUP($S$127,'TAR FIN'!$A$1:$O$85,15,0))</f>
        <v>0</v>
      </c>
      <c r="W127" s="6">
        <f>IF(ISERROR(VLOOKUP($T$127,'TAR FIN'!$A$1:$O$85,15,0)),0,VLOOKUP($T$127,'TAR FIN'!$A$1:$O$85,15,0))</f>
        <v>268.26</v>
      </c>
      <c r="X127" s="6">
        <f>IF(ISERROR(VLOOKUP($U$127,'TAR FIN'!$A$1:$O$85,15,0)),0,VLOOKUP($U$127,'TAR FIN'!$A$1:$O$85,15,0))</f>
        <v>221.63</v>
      </c>
      <c r="Y127" s="6"/>
      <c r="Z127" s="6">
        <f ca="1">('TUSD BE'!$AM$32+'TUSD BF'!$AM$32+'TUSD CVA'!$AM$32)*(1-CUSTOS!$M$38)</f>
        <v>371.5935842549016</v>
      </c>
      <c r="AA127" s="6">
        <f>('TE BE'!$AA$23+'TE BF'!$AA$23+'TE CVA'!$AA$23)*(1-CUSTOS!$M$38)</f>
        <v>241.29063495745513</v>
      </c>
      <c r="AB127" s="6">
        <f>$K$127*$V$127</f>
        <v>0</v>
      </c>
      <c r="AC127" s="6">
        <f>$M$127*$W$127</f>
        <v>767.22359999999992</v>
      </c>
      <c r="AD127" s="6">
        <f>$O$127*$X$127</f>
        <v>633.8617999999999</v>
      </c>
      <c r="AE127" s="6">
        <f>$K$127*$Y$127</f>
        <v>0</v>
      </c>
      <c r="AF127" s="6">
        <f ca="1">$M$127*$Z$127</f>
        <v>1062.7576509690186</v>
      </c>
      <c r="AG127" s="6">
        <f>$O$127*$AA$127</f>
        <v>690.09121597832166</v>
      </c>
    </row>
    <row r="128" spans="1:33" ht="11.25" customHeight="1" x14ac:dyDescent="0.25">
      <c r="A128" s="4" t="s">
        <v>21</v>
      </c>
      <c r="B128" s="4" t="s">
        <v>41</v>
      </c>
      <c r="C128" s="4" t="s">
        <v>39</v>
      </c>
      <c r="D128" s="4" t="s">
        <v>42</v>
      </c>
      <c r="E128" s="4" t="s">
        <v>25</v>
      </c>
      <c r="F128" s="4" t="s">
        <v>25</v>
      </c>
      <c r="G128" s="4" t="s">
        <v>25</v>
      </c>
      <c r="H128" s="4" t="s">
        <v>37</v>
      </c>
      <c r="I128" s="5">
        <v>44621</v>
      </c>
      <c r="J128" s="6">
        <v>0</v>
      </c>
      <c r="K128" s="6">
        <v>0</v>
      </c>
      <c r="L128" s="6">
        <v>2.86</v>
      </c>
      <c r="M128" s="6">
        <v>2.86</v>
      </c>
      <c r="N128" s="6">
        <v>2.86</v>
      </c>
      <c r="O128" s="6">
        <v>2.86</v>
      </c>
      <c r="P128" s="6">
        <v>0</v>
      </c>
      <c r="Q128" s="4" t="s">
        <v>26</v>
      </c>
      <c r="R128" s="4">
        <v>0</v>
      </c>
      <c r="S128" s="6">
        <v>0</v>
      </c>
      <c r="T128" s="6">
        <v>28</v>
      </c>
      <c r="U128" s="6">
        <v>65</v>
      </c>
      <c r="V128" s="6">
        <f>IF(ISERROR(VLOOKUP($S$128,'TAR FIN'!$A$1:$O$85,15,0)),0,VLOOKUP($S$128,'TAR FIN'!$A$1:$O$85,15,0))</f>
        <v>0</v>
      </c>
      <c r="W128" s="6">
        <f>IF(ISERROR(VLOOKUP($T$128,'TAR FIN'!$A$1:$O$85,15,0)),0,VLOOKUP($T$128,'TAR FIN'!$A$1:$O$85,15,0))</f>
        <v>268.26</v>
      </c>
      <c r="X128" s="6">
        <f>IF(ISERROR(VLOOKUP($U$128,'TAR FIN'!$A$1:$O$85,15,0)),0,VLOOKUP($U$128,'TAR FIN'!$A$1:$O$85,15,0))</f>
        <v>221.63</v>
      </c>
      <c r="Y128" s="6"/>
      <c r="Z128" s="6">
        <f ca="1">('TUSD BE'!$AM$32+'TUSD BF'!$AM$32+'TUSD CVA'!$AM$32)*(1-CUSTOS!$M$38)</f>
        <v>371.5935842549016</v>
      </c>
      <c r="AA128" s="6">
        <f>('TE BE'!$AA$23+'TE BF'!$AA$23+'TE CVA'!$AA$23)*(1-CUSTOS!$M$38)</f>
        <v>241.29063495745513</v>
      </c>
      <c r="AB128" s="6">
        <f>$K$128*$V$128</f>
        <v>0</v>
      </c>
      <c r="AC128" s="6">
        <f>$M$128*$W$128</f>
        <v>767.22359999999992</v>
      </c>
      <c r="AD128" s="6">
        <f>$O$128*$X$128</f>
        <v>633.8617999999999</v>
      </c>
      <c r="AE128" s="6">
        <f>$K$128*$Y$128</f>
        <v>0</v>
      </c>
      <c r="AF128" s="6">
        <f ca="1">$M$128*$Z$128</f>
        <v>1062.7576509690186</v>
      </c>
      <c r="AG128" s="6">
        <f>$O$128*$AA$128</f>
        <v>690.09121597832166</v>
      </c>
    </row>
    <row r="129" spans="1:33" ht="11.25" customHeight="1" x14ac:dyDescent="0.25">
      <c r="A129" s="4" t="s">
        <v>21</v>
      </c>
      <c r="B129" s="4" t="s">
        <v>41</v>
      </c>
      <c r="C129" s="4" t="s">
        <v>39</v>
      </c>
      <c r="D129" s="4" t="s">
        <v>42</v>
      </c>
      <c r="E129" s="4" t="s">
        <v>25</v>
      </c>
      <c r="F129" s="4" t="s">
        <v>25</v>
      </c>
      <c r="G129" s="4" t="s">
        <v>25</v>
      </c>
      <c r="H129" s="4" t="s">
        <v>37</v>
      </c>
      <c r="I129" s="5">
        <v>44652</v>
      </c>
      <c r="J129" s="6">
        <v>0</v>
      </c>
      <c r="K129" s="6">
        <v>0</v>
      </c>
      <c r="L129" s="6">
        <v>0.88200000000000001</v>
      </c>
      <c r="M129" s="6">
        <v>0.88200000000000001</v>
      </c>
      <c r="N129" s="6">
        <v>0.88200000000000001</v>
      </c>
      <c r="O129" s="6">
        <v>0.88200000000000001</v>
      </c>
      <c r="P129" s="6">
        <v>0</v>
      </c>
      <c r="Q129" s="4" t="s">
        <v>26</v>
      </c>
      <c r="R129" s="4">
        <v>0</v>
      </c>
      <c r="S129" s="6">
        <v>0</v>
      </c>
      <c r="T129" s="6">
        <v>28</v>
      </c>
      <c r="U129" s="6">
        <v>65</v>
      </c>
      <c r="V129" s="6">
        <f>IF(ISERROR(VLOOKUP($S$129,'TAR FIN'!$A$1:$O$85,15,0)),0,VLOOKUP($S$129,'TAR FIN'!$A$1:$O$85,15,0))</f>
        <v>0</v>
      </c>
      <c r="W129" s="6">
        <f>IF(ISERROR(VLOOKUP($T$129,'TAR FIN'!$A$1:$O$85,15,0)),0,VLOOKUP($T$129,'TAR FIN'!$A$1:$O$85,15,0))</f>
        <v>268.26</v>
      </c>
      <c r="X129" s="6">
        <f>IF(ISERROR(VLOOKUP($U$129,'TAR FIN'!$A$1:$O$85,15,0)),0,VLOOKUP($U$129,'TAR FIN'!$A$1:$O$85,15,0))</f>
        <v>221.63</v>
      </c>
      <c r="Y129" s="6"/>
      <c r="Z129" s="6">
        <f ca="1">('TUSD BE'!$AM$32+'TUSD BF'!$AM$32+'TUSD CVA'!$AM$32)*(1-CUSTOS!$M$38)</f>
        <v>371.5935842549016</v>
      </c>
      <c r="AA129" s="6">
        <f>('TE BE'!$AA$23+'TE BF'!$AA$23+'TE CVA'!$AA$23)*(1-CUSTOS!$M$38)</f>
        <v>241.29063495745513</v>
      </c>
      <c r="AB129" s="6">
        <f>$K$129*$V$129</f>
        <v>0</v>
      </c>
      <c r="AC129" s="6">
        <f>$M$129*$W$129</f>
        <v>236.60532000000001</v>
      </c>
      <c r="AD129" s="6">
        <f>$O$129*$X$129</f>
        <v>195.47765999999999</v>
      </c>
      <c r="AE129" s="6">
        <f>$K$129*$Y$129</f>
        <v>0</v>
      </c>
      <c r="AF129" s="6">
        <f ca="1">$M$129*$Z$129</f>
        <v>327.74554131282321</v>
      </c>
      <c r="AG129" s="6">
        <f>$O$129*$AA$129</f>
        <v>212.81834003247542</v>
      </c>
    </row>
    <row r="130" spans="1:33" ht="11.25" customHeight="1" x14ac:dyDescent="0.25">
      <c r="A130" s="4" t="s">
        <v>21</v>
      </c>
      <c r="B130" s="4" t="s">
        <v>41</v>
      </c>
      <c r="C130" s="4" t="s">
        <v>39</v>
      </c>
      <c r="D130" s="4" t="s">
        <v>42</v>
      </c>
      <c r="E130" s="4" t="s">
        <v>25</v>
      </c>
      <c r="F130" s="4" t="s">
        <v>25</v>
      </c>
      <c r="G130" s="4" t="s">
        <v>25</v>
      </c>
      <c r="H130" s="4" t="s">
        <v>40</v>
      </c>
      <c r="I130" s="5">
        <v>44317</v>
      </c>
      <c r="J130" s="6">
        <v>0</v>
      </c>
      <c r="K130" s="6">
        <v>0</v>
      </c>
      <c r="L130" s="6">
        <v>0.02</v>
      </c>
      <c r="M130" s="6">
        <v>0.02</v>
      </c>
      <c r="N130" s="6">
        <v>0.02</v>
      </c>
      <c r="O130" s="6">
        <v>0.02</v>
      </c>
      <c r="P130" s="6">
        <v>0</v>
      </c>
      <c r="Q130" s="4" t="s">
        <v>26</v>
      </c>
      <c r="R130" s="4">
        <v>0</v>
      </c>
      <c r="S130" s="6">
        <v>0</v>
      </c>
      <c r="T130" s="6">
        <v>27</v>
      </c>
      <c r="U130" s="6">
        <v>64</v>
      </c>
      <c r="V130" s="6">
        <f>IF(ISERROR(VLOOKUP($S$130,'TAR FIN'!$A$1:$O$85,15,0)),0,VLOOKUP($S$130,'TAR FIN'!$A$1:$O$85,15,0))</f>
        <v>0</v>
      </c>
      <c r="W130" s="6">
        <f>IF(ISERROR(VLOOKUP($T$130,'TAR FIN'!$A$1:$O$85,15,0)),0,VLOOKUP($T$130,'TAR FIN'!$A$1:$O$85,15,0))</f>
        <v>679.72</v>
      </c>
      <c r="X130" s="6">
        <f>IF(ISERROR(VLOOKUP($U$130,'TAR FIN'!$A$1:$O$85,15,0)),0,VLOOKUP($U$130,'TAR FIN'!$A$1:$O$85,15,0))</f>
        <v>221.63</v>
      </c>
      <c r="Y130" s="6"/>
      <c r="Z130" s="6">
        <f ca="1">('TUSD BE'!$AM$31+'TUSD BF'!$AM$31+'TUSD CVA'!$AM$31)*(1-CUSTOS!$M$38)</f>
        <v>935.82001389693187</v>
      </c>
      <c r="AA130" s="6">
        <f>('TE BE'!$AA$22+'TE BF'!$AA$22+'TE CVA'!$AA$22)*(1-CUSTOS!$M$38)</f>
        <v>241.29063495745513</v>
      </c>
      <c r="AB130" s="6">
        <f>$K$130*$V$130</f>
        <v>0</v>
      </c>
      <c r="AC130" s="6">
        <f>$M$130*$W$130</f>
        <v>13.5944</v>
      </c>
      <c r="AD130" s="6">
        <f>$O$130*$X$130</f>
        <v>4.4325999999999999</v>
      </c>
      <c r="AE130" s="6">
        <f>$K$130*$Y$130</f>
        <v>0</v>
      </c>
      <c r="AF130" s="6">
        <f ca="1">$M$130*$Z$130</f>
        <v>18.716400277938639</v>
      </c>
      <c r="AG130" s="6">
        <f>$O$130*$AA$130</f>
        <v>4.825812699149103</v>
      </c>
    </row>
    <row r="131" spans="1:33" ht="11.25" customHeight="1" x14ac:dyDescent="0.25">
      <c r="A131" s="4" t="s">
        <v>21</v>
      </c>
      <c r="B131" s="4" t="s">
        <v>41</v>
      </c>
      <c r="C131" s="4" t="s">
        <v>39</v>
      </c>
      <c r="D131" s="4" t="s">
        <v>42</v>
      </c>
      <c r="E131" s="4" t="s">
        <v>25</v>
      </c>
      <c r="F131" s="4" t="s">
        <v>25</v>
      </c>
      <c r="G131" s="4" t="s">
        <v>25</v>
      </c>
      <c r="H131" s="4" t="s">
        <v>40</v>
      </c>
      <c r="I131" s="5">
        <v>44348</v>
      </c>
      <c r="J131" s="6">
        <v>0</v>
      </c>
      <c r="K131" s="6">
        <v>0</v>
      </c>
      <c r="L131" s="6">
        <v>0.02</v>
      </c>
      <c r="M131" s="6">
        <v>0.02</v>
      </c>
      <c r="N131" s="6">
        <v>0.02</v>
      </c>
      <c r="O131" s="6">
        <v>0.02</v>
      </c>
      <c r="P131" s="6">
        <v>0</v>
      </c>
      <c r="Q131" s="4" t="s">
        <v>26</v>
      </c>
      <c r="R131" s="4">
        <v>0</v>
      </c>
      <c r="S131" s="6">
        <v>0</v>
      </c>
      <c r="T131" s="6">
        <v>27</v>
      </c>
      <c r="U131" s="6">
        <v>64</v>
      </c>
      <c r="V131" s="6">
        <f>IF(ISERROR(VLOOKUP($S$131,'TAR FIN'!$A$1:$O$85,15,0)),0,VLOOKUP($S$131,'TAR FIN'!$A$1:$O$85,15,0))</f>
        <v>0</v>
      </c>
      <c r="W131" s="6">
        <f>IF(ISERROR(VLOOKUP($T$131,'TAR FIN'!$A$1:$O$85,15,0)),0,VLOOKUP($T$131,'TAR FIN'!$A$1:$O$85,15,0))</f>
        <v>679.72</v>
      </c>
      <c r="X131" s="6">
        <f>IF(ISERROR(VLOOKUP($U$131,'TAR FIN'!$A$1:$O$85,15,0)),0,VLOOKUP($U$131,'TAR FIN'!$A$1:$O$85,15,0))</f>
        <v>221.63</v>
      </c>
      <c r="Y131" s="6"/>
      <c r="Z131" s="6">
        <f ca="1">('TUSD BE'!$AM$31+'TUSD BF'!$AM$31+'TUSD CVA'!$AM$31)*(1-CUSTOS!$M$38)</f>
        <v>935.82001389693187</v>
      </c>
      <c r="AA131" s="6">
        <f>('TE BE'!$AA$22+'TE BF'!$AA$22+'TE CVA'!$AA$22)*(1-CUSTOS!$M$38)</f>
        <v>241.29063495745513</v>
      </c>
      <c r="AB131" s="6">
        <f>$K$131*$V$131</f>
        <v>0</v>
      </c>
      <c r="AC131" s="6">
        <f>$M$131*$W$131</f>
        <v>13.5944</v>
      </c>
      <c r="AD131" s="6">
        <f>$O$131*$X$131</f>
        <v>4.4325999999999999</v>
      </c>
      <c r="AE131" s="6">
        <f>$K$131*$Y$131</f>
        <v>0</v>
      </c>
      <c r="AF131" s="6">
        <f ca="1">$M$131*$Z$131</f>
        <v>18.716400277938639</v>
      </c>
      <c r="AG131" s="6">
        <f>$O$131*$AA$131</f>
        <v>4.825812699149103</v>
      </c>
    </row>
    <row r="132" spans="1:33" ht="11.25" customHeight="1" x14ac:dyDescent="0.25">
      <c r="A132" s="4" t="s">
        <v>21</v>
      </c>
      <c r="B132" s="4" t="s">
        <v>41</v>
      </c>
      <c r="C132" s="4" t="s">
        <v>39</v>
      </c>
      <c r="D132" s="4" t="s">
        <v>42</v>
      </c>
      <c r="E132" s="4" t="s">
        <v>25</v>
      </c>
      <c r="F132" s="4" t="s">
        <v>25</v>
      </c>
      <c r="G132" s="4" t="s">
        <v>25</v>
      </c>
      <c r="H132" s="4" t="s">
        <v>40</v>
      </c>
      <c r="I132" s="5">
        <v>44378</v>
      </c>
      <c r="J132" s="6">
        <v>0</v>
      </c>
      <c r="K132" s="6">
        <v>0</v>
      </c>
      <c r="L132" s="6">
        <v>1.9E-2</v>
      </c>
      <c r="M132" s="6">
        <v>1.9E-2</v>
      </c>
      <c r="N132" s="6">
        <v>1.9E-2</v>
      </c>
      <c r="O132" s="6">
        <v>1.9E-2</v>
      </c>
      <c r="P132" s="6">
        <v>0</v>
      </c>
      <c r="Q132" s="4" t="s">
        <v>26</v>
      </c>
      <c r="R132" s="4">
        <v>0</v>
      </c>
      <c r="S132" s="6">
        <v>0</v>
      </c>
      <c r="T132" s="6">
        <v>27</v>
      </c>
      <c r="U132" s="6">
        <v>64</v>
      </c>
      <c r="V132" s="6">
        <f>IF(ISERROR(VLOOKUP($S$132,'TAR FIN'!$A$1:$O$85,15,0)),0,VLOOKUP($S$132,'TAR FIN'!$A$1:$O$85,15,0))</f>
        <v>0</v>
      </c>
      <c r="W132" s="6">
        <f>IF(ISERROR(VLOOKUP($T$132,'TAR FIN'!$A$1:$O$85,15,0)),0,VLOOKUP($T$132,'TAR FIN'!$A$1:$O$85,15,0))</f>
        <v>679.72</v>
      </c>
      <c r="X132" s="6">
        <f>IF(ISERROR(VLOOKUP($U$132,'TAR FIN'!$A$1:$O$85,15,0)),0,VLOOKUP($U$132,'TAR FIN'!$A$1:$O$85,15,0))</f>
        <v>221.63</v>
      </c>
      <c r="Y132" s="6"/>
      <c r="Z132" s="6">
        <f ca="1">('TUSD BE'!$AM$31+'TUSD BF'!$AM$31+'TUSD CVA'!$AM$31)*(1-CUSTOS!$M$38)</f>
        <v>935.82001389693187</v>
      </c>
      <c r="AA132" s="6">
        <f>('TE BE'!$AA$22+'TE BF'!$AA$22+'TE CVA'!$AA$22)*(1-CUSTOS!$M$38)</f>
        <v>241.29063495745513</v>
      </c>
      <c r="AB132" s="6">
        <f>$K$132*$V$132</f>
        <v>0</v>
      </c>
      <c r="AC132" s="6">
        <f>$M$132*$W$132</f>
        <v>12.914680000000001</v>
      </c>
      <c r="AD132" s="6">
        <f>$O$132*$X$132</f>
        <v>4.2109699999999997</v>
      </c>
      <c r="AE132" s="6">
        <f>$K$132*$Y$132</f>
        <v>0</v>
      </c>
      <c r="AF132" s="6">
        <f ca="1">$M$132*$Z$132</f>
        <v>17.780580264041706</v>
      </c>
      <c r="AG132" s="6">
        <f>$O$132*$AA$132</f>
        <v>4.5845220641916473</v>
      </c>
    </row>
    <row r="133" spans="1:33" ht="11.25" customHeight="1" x14ac:dyDescent="0.25">
      <c r="A133" s="4" t="s">
        <v>21</v>
      </c>
      <c r="B133" s="4" t="s">
        <v>41</v>
      </c>
      <c r="C133" s="4" t="s">
        <v>39</v>
      </c>
      <c r="D133" s="4" t="s">
        <v>42</v>
      </c>
      <c r="E133" s="4" t="s">
        <v>25</v>
      </c>
      <c r="F133" s="4" t="s">
        <v>25</v>
      </c>
      <c r="G133" s="4" t="s">
        <v>25</v>
      </c>
      <c r="H133" s="4" t="s">
        <v>40</v>
      </c>
      <c r="I133" s="5">
        <v>44409</v>
      </c>
      <c r="J133" s="6">
        <v>0</v>
      </c>
      <c r="K133" s="6">
        <v>0</v>
      </c>
      <c r="L133" s="6">
        <v>2.1000000000000001E-2</v>
      </c>
      <c r="M133" s="6">
        <v>2.1000000000000001E-2</v>
      </c>
      <c r="N133" s="6">
        <v>2.1000000000000001E-2</v>
      </c>
      <c r="O133" s="6">
        <v>2.1000000000000001E-2</v>
      </c>
      <c r="P133" s="6">
        <v>0</v>
      </c>
      <c r="Q133" s="4" t="s">
        <v>26</v>
      </c>
      <c r="R133" s="4">
        <v>0</v>
      </c>
      <c r="S133" s="6">
        <v>0</v>
      </c>
      <c r="T133" s="6">
        <v>27</v>
      </c>
      <c r="U133" s="6">
        <v>64</v>
      </c>
      <c r="V133" s="6">
        <f>IF(ISERROR(VLOOKUP($S$133,'TAR FIN'!$A$1:$O$85,15,0)),0,VLOOKUP($S$133,'TAR FIN'!$A$1:$O$85,15,0))</f>
        <v>0</v>
      </c>
      <c r="W133" s="6">
        <f>IF(ISERROR(VLOOKUP($T$133,'TAR FIN'!$A$1:$O$85,15,0)),0,VLOOKUP($T$133,'TAR FIN'!$A$1:$O$85,15,0))</f>
        <v>679.72</v>
      </c>
      <c r="X133" s="6">
        <f>IF(ISERROR(VLOOKUP($U$133,'TAR FIN'!$A$1:$O$85,15,0)),0,VLOOKUP($U$133,'TAR FIN'!$A$1:$O$85,15,0))</f>
        <v>221.63</v>
      </c>
      <c r="Y133" s="6"/>
      <c r="Z133" s="6">
        <f ca="1">('TUSD BE'!$AM$31+'TUSD BF'!$AM$31+'TUSD CVA'!$AM$31)*(1-CUSTOS!$M$38)</f>
        <v>935.82001389693187</v>
      </c>
      <c r="AA133" s="6">
        <f>('TE BE'!$AA$22+'TE BF'!$AA$22+'TE CVA'!$AA$22)*(1-CUSTOS!$M$38)</f>
        <v>241.29063495745513</v>
      </c>
      <c r="AB133" s="6">
        <f>$K$133*$V$133</f>
        <v>0</v>
      </c>
      <c r="AC133" s="6">
        <f>$M$133*$W$133</f>
        <v>14.274120000000002</v>
      </c>
      <c r="AD133" s="6">
        <f>$O$133*$X$133</f>
        <v>4.6542300000000001</v>
      </c>
      <c r="AE133" s="6">
        <f>$K$133*$Y$133</f>
        <v>0</v>
      </c>
      <c r="AF133" s="6">
        <f ca="1">$M$133*$Z$133</f>
        <v>19.652220291835569</v>
      </c>
      <c r="AG133" s="6">
        <f>$O$133*$AA$133</f>
        <v>5.0671033341065579</v>
      </c>
    </row>
    <row r="134" spans="1:33" ht="11.25" customHeight="1" x14ac:dyDescent="0.25">
      <c r="A134" s="4" t="s">
        <v>21</v>
      </c>
      <c r="B134" s="4" t="s">
        <v>41</v>
      </c>
      <c r="C134" s="4" t="s">
        <v>39</v>
      </c>
      <c r="D134" s="4" t="s">
        <v>42</v>
      </c>
      <c r="E134" s="4" t="s">
        <v>25</v>
      </c>
      <c r="F134" s="4" t="s">
        <v>25</v>
      </c>
      <c r="G134" s="4" t="s">
        <v>25</v>
      </c>
      <c r="H134" s="4" t="s">
        <v>40</v>
      </c>
      <c r="I134" s="5">
        <v>44440</v>
      </c>
      <c r="J134" s="6">
        <v>0</v>
      </c>
      <c r="K134" s="6">
        <v>0</v>
      </c>
      <c r="L134" s="6">
        <v>2.5000000000000001E-2</v>
      </c>
      <c r="M134" s="6">
        <v>2.5000000000000001E-2</v>
      </c>
      <c r="N134" s="6">
        <v>2.5000000000000001E-2</v>
      </c>
      <c r="O134" s="6">
        <v>2.5000000000000001E-2</v>
      </c>
      <c r="P134" s="6">
        <v>0</v>
      </c>
      <c r="Q134" s="4" t="s">
        <v>26</v>
      </c>
      <c r="R134" s="4">
        <v>0</v>
      </c>
      <c r="S134" s="6">
        <v>0</v>
      </c>
      <c r="T134" s="6">
        <v>27</v>
      </c>
      <c r="U134" s="6">
        <v>64</v>
      </c>
      <c r="V134" s="6">
        <f>IF(ISERROR(VLOOKUP($S$134,'TAR FIN'!$A$1:$O$85,15,0)),0,VLOOKUP($S$134,'TAR FIN'!$A$1:$O$85,15,0))</f>
        <v>0</v>
      </c>
      <c r="W134" s="6">
        <f>IF(ISERROR(VLOOKUP($T$134,'TAR FIN'!$A$1:$O$85,15,0)),0,VLOOKUP($T$134,'TAR FIN'!$A$1:$O$85,15,0))</f>
        <v>679.72</v>
      </c>
      <c r="X134" s="6">
        <f>IF(ISERROR(VLOOKUP($U$134,'TAR FIN'!$A$1:$O$85,15,0)),0,VLOOKUP($U$134,'TAR FIN'!$A$1:$O$85,15,0))</f>
        <v>221.63</v>
      </c>
      <c r="Y134" s="6"/>
      <c r="Z134" s="6">
        <f ca="1">('TUSD BE'!$AM$31+'TUSD BF'!$AM$31+'TUSD CVA'!$AM$31)*(1-CUSTOS!$M$38)</f>
        <v>935.82001389693187</v>
      </c>
      <c r="AA134" s="6">
        <f>('TE BE'!$AA$22+'TE BF'!$AA$22+'TE CVA'!$AA$22)*(1-CUSTOS!$M$38)</f>
        <v>241.29063495745513</v>
      </c>
      <c r="AB134" s="6">
        <f>$K$134*$V$134</f>
        <v>0</v>
      </c>
      <c r="AC134" s="6">
        <f>$M$134*$W$134</f>
        <v>16.993000000000002</v>
      </c>
      <c r="AD134" s="6">
        <f>$O$134*$X$134</f>
        <v>5.5407500000000001</v>
      </c>
      <c r="AE134" s="6">
        <f>$K$134*$Y$134</f>
        <v>0</v>
      </c>
      <c r="AF134" s="6">
        <f ca="1">$M$134*$Z$134</f>
        <v>23.395500347423297</v>
      </c>
      <c r="AG134" s="6">
        <f>$O$134*$AA$134</f>
        <v>6.0322658739363781</v>
      </c>
    </row>
    <row r="135" spans="1:33" ht="11.25" customHeight="1" x14ac:dyDescent="0.25">
      <c r="A135" s="4" t="s">
        <v>21</v>
      </c>
      <c r="B135" s="4" t="s">
        <v>41</v>
      </c>
      <c r="C135" s="4" t="s">
        <v>39</v>
      </c>
      <c r="D135" s="4" t="s">
        <v>42</v>
      </c>
      <c r="E135" s="4" t="s">
        <v>25</v>
      </c>
      <c r="F135" s="4" t="s">
        <v>25</v>
      </c>
      <c r="G135" s="4" t="s">
        <v>25</v>
      </c>
      <c r="H135" s="4" t="s">
        <v>40</v>
      </c>
      <c r="I135" s="5">
        <v>44470</v>
      </c>
      <c r="J135" s="6">
        <v>0</v>
      </c>
      <c r="K135" s="6">
        <v>0</v>
      </c>
      <c r="L135" s="6">
        <v>3.9E-2</v>
      </c>
      <c r="M135" s="6">
        <v>3.9E-2</v>
      </c>
      <c r="N135" s="6">
        <v>3.9E-2</v>
      </c>
      <c r="O135" s="6">
        <v>3.9E-2</v>
      </c>
      <c r="P135" s="6">
        <v>0</v>
      </c>
      <c r="Q135" s="4" t="s">
        <v>26</v>
      </c>
      <c r="R135" s="4">
        <v>0</v>
      </c>
      <c r="S135" s="6">
        <v>0</v>
      </c>
      <c r="T135" s="6">
        <v>27</v>
      </c>
      <c r="U135" s="6">
        <v>64</v>
      </c>
      <c r="V135" s="6">
        <f>IF(ISERROR(VLOOKUP($S$135,'TAR FIN'!$A$1:$O$85,15,0)),0,VLOOKUP($S$135,'TAR FIN'!$A$1:$O$85,15,0))</f>
        <v>0</v>
      </c>
      <c r="W135" s="6">
        <f>IF(ISERROR(VLOOKUP($T$135,'TAR FIN'!$A$1:$O$85,15,0)),0,VLOOKUP($T$135,'TAR FIN'!$A$1:$O$85,15,0))</f>
        <v>679.72</v>
      </c>
      <c r="X135" s="6">
        <f>IF(ISERROR(VLOOKUP($U$135,'TAR FIN'!$A$1:$O$85,15,0)),0,VLOOKUP($U$135,'TAR FIN'!$A$1:$O$85,15,0))</f>
        <v>221.63</v>
      </c>
      <c r="Y135" s="6"/>
      <c r="Z135" s="6">
        <f ca="1">('TUSD BE'!$AM$31+'TUSD BF'!$AM$31+'TUSD CVA'!$AM$31)*(1-CUSTOS!$M$38)</f>
        <v>935.82001389693187</v>
      </c>
      <c r="AA135" s="6">
        <f>('TE BE'!$AA$22+'TE BF'!$AA$22+'TE CVA'!$AA$22)*(1-CUSTOS!$M$38)</f>
        <v>241.29063495745513</v>
      </c>
      <c r="AB135" s="6">
        <f>$K$135*$V$135</f>
        <v>0</v>
      </c>
      <c r="AC135" s="6">
        <f>$M$135*$W$135</f>
        <v>26.509080000000001</v>
      </c>
      <c r="AD135" s="6">
        <f>$O$135*$X$135</f>
        <v>8.6435700000000004</v>
      </c>
      <c r="AE135" s="6">
        <f>$K$135*$Y$135</f>
        <v>0</v>
      </c>
      <c r="AF135" s="6">
        <f ca="1">$M$135*$Z$135</f>
        <v>36.496980541980342</v>
      </c>
      <c r="AG135" s="6">
        <f>$O$135*$AA$135</f>
        <v>9.4103347633407495</v>
      </c>
    </row>
    <row r="136" spans="1:33" ht="11.25" customHeight="1" x14ac:dyDescent="0.25">
      <c r="A136" s="4" t="s">
        <v>21</v>
      </c>
      <c r="B136" s="4" t="s">
        <v>41</v>
      </c>
      <c r="C136" s="4" t="s">
        <v>39</v>
      </c>
      <c r="D136" s="4" t="s">
        <v>42</v>
      </c>
      <c r="E136" s="4" t="s">
        <v>25</v>
      </c>
      <c r="F136" s="4" t="s">
        <v>25</v>
      </c>
      <c r="G136" s="4" t="s">
        <v>25</v>
      </c>
      <c r="H136" s="4" t="s">
        <v>40</v>
      </c>
      <c r="I136" s="5">
        <v>44501</v>
      </c>
      <c r="J136" s="6">
        <v>0</v>
      </c>
      <c r="K136" s="6">
        <v>0</v>
      </c>
      <c r="L136" s="6">
        <v>5.1999999999999998E-2</v>
      </c>
      <c r="M136" s="6">
        <v>5.1999999999999998E-2</v>
      </c>
      <c r="N136" s="6">
        <v>5.1999999999999998E-2</v>
      </c>
      <c r="O136" s="6">
        <v>5.1999999999999998E-2</v>
      </c>
      <c r="P136" s="6">
        <v>0</v>
      </c>
      <c r="Q136" s="4" t="s">
        <v>26</v>
      </c>
      <c r="R136" s="4">
        <v>0</v>
      </c>
      <c r="S136" s="6">
        <v>0</v>
      </c>
      <c r="T136" s="6">
        <v>27</v>
      </c>
      <c r="U136" s="6">
        <v>64</v>
      </c>
      <c r="V136" s="6">
        <f>IF(ISERROR(VLOOKUP($S$136,'TAR FIN'!$A$1:$O$85,15,0)),0,VLOOKUP($S$136,'TAR FIN'!$A$1:$O$85,15,0))</f>
        <v>0</v>
      </c>
      <c r="W136" s="6">
        <f>IF(ISERROR(VLOOKUP($T$136,'TAR FIN'!$A$1:$O$85,15,0)),0,VLOOKUP($T$136,'TAR FIN'!$A$1:$O$85,15,0))</f>
        <v>679.72</v>
      </c>
      <c r="X136" s="6">
        <f>IF(ISERROR(VLOOKUP($U$136,'TAR FIN'!$A$1:$O$85,15,0)),0,VLOOKUP($U$136,'TAR FIN'!$A$1:$O$85,15,0))</f>
        <v>221.63</v>
      </c>
      <c r="Y136" s="6"/>
      <c r="Z136" s="6">
        <f ca="1">('TUSD BE'!$AM$31+'TUSD BF'!$AM$31+'TUSD CVA'!$AM$31)*(1-CUSTOS!$M$38)</f>
        <v>935.82001389693187</v>
      </c>
      <c r="AA136" s="6">
        <f>('TE BE'!$AA$22+'TE BF'!$AA$22+'TE CVA'!$AA$22)*(1-CUSTOS!$M$38)</f>
        <v>241.29063495745513</v>
      </c>
      <c r="AB136" s="6">
        <f>$K$136*$V$136</f>
        <v>0</v>
      </c>
      <c r="AC136" s="6">
        <f>$M$136*$W$136</f>
        <v>35.345439999999996</v>
      </c>
      <c r="AD136" s="6">
        <f>$O$136*$X$136</f>
        <v>11.524759999999999</v>
      </c>
      <c r="AE136" s="6">
        <f>$K$136*$Y$136</f>
        <v>0</v>
      </c>
      <c r="AF136" s="6">
        <f ca="1">$M$136*$Z$136</f>
        <v>48.662640722640454</v>
      </c>
      <c r="AG136" s="6">
        <f>$O$136*$AA$136</f>
        <v>12.547113017787666</v>
      </c>
    </row>
    <row r="137" spans="1:33" ht="11.25" customHeight="1" x14ac:dyDescent="0.25">
      <c r="A137" s="4" t="s">
        <v>21</v>
      </c>
      <c r="B137" s="4" t="s">
        <v>41</v>
      </c>
      <c r="C137" s="4" t="s">
        <v>39</v>
      </c>
      <c r="D137" s="4" t="s">
        <v>42</v>
      </c>
      <c r="E137" s="4" t="s">
        <v>25</v>
      </c>
      <c r="F137" s="4" t="s">
        <v>25</v>
      </c>
      <c r="G137" s="4" t="s">
        <v>25</v>
      </c>
      <c r="H137" s="4" t="s">
        <v>40</v>
      </c>
      <c r="I137" s="5">
        <v>44531</v>
      </c>
      <c r="J137" s="6">
        <v>0</v>
      </c>
      <c r="K137" s="6">
        <v>0</v>
      </c>
      <c r="L137" s="6">
        <v>0.1</v>
      </c>
      <c r="M137" s="6">
        <v>0.1</v>
      </c>
      <c r="N137" s="6">
        <v>0.1</v>
      </c>
      <c r="O137" s="6">
        <v>0.1</v>
      </c>
      <c r="P137" s="6">
        <v>0</v>
      </c>
      <c r="Q137" s="4" t="s">
        <v>26</v>
      </c>
      <c r="R137" s="4">
        <v>0</v>
      </c>
      <c r="S137" s="6">
        <v>0</v>
      </c>
      <c r="T137" s="6">
        <v>27</v>
      </c>
      <c r="U137" s="6">
        <v>64</v>
      </c>
      <c r="V137" s="6">
        <f>IF(ISERROR(VLOOKUP($S$137,'TAR FIN'!$A$1:$O$85,15,0)),0,VLOOKUP($S$137,'TAR FIN'!$A$1:$O$85,15,0))</f>
        <v>0</v>
      </c>
      <c r="W137" s="6">
        <f>IF(ISERROR(VLOOKUP($T$137,'TAR FIN'!$A$1:$O$85,15,0)),0,VLOOKUP($T$137,'TAR FIN'!$A$1:$O$85,15,0))</f>
        <v>679.72</v>
      </c>
      <c r="X137" s="6">
        <f>IF(ISERROR(VLOOKUP($U$137,'TAR FIN'!$A$1:$O$85,15,0)),0,VLOOKUP($U$137,'TAR FIN'!$A$1:$O$85,15,0))</f>
        <v>221.63</v>
      </c>
      <c r="Y137" s="6"/>
      <c r="Z137" s="6">
        <f ca="1">('TUSD BE'!$AM$31+'TUSD BF'!$AM$31+'TUSD CVA'!$AM$31)*(1-CUSTOS!$M$38)</f>
        <v>935.82001389693187</v>
      </c>
      <c r="AA137" s="6">
        <f>('TE BE'!$AA$22+'TE BF'!$AA$22+'TE CVA'!$AA$22)*(1-CUSTOS!$M$38)</f>
        <v>241.29063495745513</v>
      </c>
      <c r="AB137" s="6">
        <f>$K$137*$V$137</f>
        <v>0</v>
      </c>
      <c r="AC137" s="6">
        <f>$M$137*$W$137</f>
        <v>67.972000000000008</v>
      </c>
      <c r="AD137" s="6">
        <f>$O$137*$X$137</f>
        <v>22.163</v>
      </c>
      <c r="AE137" s="6">
        <f>$K$137*$Y$137</f>
        <v>0</v>
      </c>
      <c r="AF137" s="6">
        <f ca="1">$M$137*$Z$137</f>
        <v>93.58200138969319</v>
      </c>
      <c r="AG137" s="6">
        <f>$O$137*$AA$137</f>
        <v>24.129063495745513</v>
      </c>
    </row>
    <row r="138" spans="1:33" ht="11.25" customHeight="1" x14ac:dyDescent="0.25">
      <c r="A138" s="4" t="s">
        <v>21</v>
      </c>
      <c r="B138" s="4" t="s">
        <v>41</v>
      </c>
      <c r="C138" s="4" t="s">
        <v>39</v>
      </c>
      <c r="D138" s="4" t="s">
        <v>42</v>
      </c>
      <c r="E138" s="4" t="s">
        <v>25</v>
      </c>
      <c r="F138" s="4" t="s">
        <v>25</v>
      </c>
      <c r="G138" s="4" t="s">
        <v>25</v>
      </c>
      <c r="H138" s="4" t="s">
        <v>40</v>
      </c>
      <c r="I138" s="5">
        <v>44562</v>
      </c>
      <c r="J138" s="6">
        <v>0</v>
      </c>
      <c r="K138" s="6">
        <v>0</v>
      </c>
      <c r="L138" s="6">
        <v>4.2000000000000003E-2</v>
      </c>
      <c r="M138" s="6">
        <v>4.2000000000000003E-2</v>
      </c>
      <c r="N138" s="6">
        <v>4.2000000000000003E-2</v>
      </c>
      <c r="O138" s="6">
        <v>4.2000000000000003E-2</v>
      </c>
      <c r="P138" s="6">
        <v>0</v>
      </c>
      <c r="Q138" s="4" t="s">
        <v>26</v>
      </c>
      <c r="R138" s="4">
        <v>0</v>
      </c>
      <c r="S138" s="6">
        <v>0</v>
      </c>
      <c r="T138" s="6">
        <v>27</v>
      </c>
      <c r="U138" s="6">
        <v>64</v>
      </c>
      <c r="V138" s="6">
        <f>IF(ISERROR(VLOOKUP($S$138,'TAR FIN'!$A$1:$O$85,15,0)),0,VLOOKUP($S$138,'TAR FIN'!$A$1:$O$85,15,0))</f>
        <v>0</v>
      </c>
      <c r="W138" s="6">
        <f>IF(ISERROR(VLOOKUP($T$138,'TAR FIN'!$A$1:$O$85,15,0)),0,VLOOKUP($T$138,'TAR FIN'!$A$1:$O$85,15,0))</f>
        <v>679.72</v>
      </c>
      <c r="X138" s="6">
        <f>IF(ISERROR(VLOOKUP($U$138,'TAR FIN'!$A$1:$O$85,15,0)),0,VLOOKUP($U$138,'TAR FIN'!$A$1:$O$85,15,0))</f>
        <v>221.63</v>
      </c>
      <c r="Y138" s="6"/>
      <c r="Z138" s="6">
        <f ca="1">('TUSD BE'!$AM$31+'TUSD BF'!$AM$31+'TUSD CVA'!$AM$31)*(1-CUSTOS!$M$38)</f>
        <v>935.82001389693187</v>
      </c>
      <c r="AA138" s="6">
        <f>('TE BE'!$AA$22+'TE BF'!$AA$22+'TE CVA'!$AA$22)*(1-CUSTOS!$M$38)</f>
        <v>241.29063495745513</v>
      </c>
      <c r="AB138" s="6">
        <f>$K$138*$V$138</f>
        <v>0</v>
      </c>
      <c r="AC138" s="6">
        <f>$M$138*$W$138</f>
        <v>28.548240000000003</v>
      </c>
      <c r="AD138" s="6">
        <f>$O$138*$X$138</f>
        <v>9.3084600000000002</v>
      </c>
      <c r="AE138" s="6">
        <f>$K$138*$Y$138</f>
        <v>0</v>
      </c>
      <c r="AF138" s="6">
        <f ca="1">$M$138*$Z$138</f>
        <v>39.304440583671138</v>
      </c>
      <c r="AG138" s="6">
        <f>$O$138*$AA$138</f>
        <v>10.134206668213116</v>
      </c>
    </row>
    <row r="139" spans="1:33" ht="11.25" customHeight="1" x14ac:dyDescent="0.25">
      <c r="A139" s="4" t="s">
        <v>21</v>
      </c>
      <c r="B139" s="4" t="s">
        <v>41</v>
      </c>
      <c r="C139" s="4" t="s">
        <v>39</v>
      </c>
      <c r="D139" s="4" t="s">
        <v>42</v>
      </c>
      <c r="E139" s="4" t="s">
        <v>25</v>
      </c>
      <c r="F139" s="4" t="s">
        <v>25</v>
      </c>
      <c r="G139" s="4" t="s">
        <v>25</v>
      </c>
      <c r="H139" s="4" t="s">
        <v>40</v>
      </c>
      <c r="I139" s="5">
        <v>44593</v>
      </c>
      <c r="J139" s="6">
        <v>0</v>
      </c>
      <c r="K139" s="6">
        <v>0</v>
      </c>
      <c r="L139" s="6">
        <v>0.105</v>
      </c>
      <c r="M139" s="6">
        <v>0.105</v>
      </c>
      <c r="N139" s="6">
        <v>0.105</v>
      </c>
      <c r="O139" s="6">
        <v>0.105</v>
      </c>
      <c r="P139" s="6">
        <v>0</v>
      </c>
      <c r="Q139" s="4" t="s">
        <v>26</v>
      </c>
      <c r="R139" s="4">
        <v>0</v>
      </c>
      <c r="S139" s="6">
        <v>0</v>
      </c>
      <c r="T139" s="6">
        <v>27</v>
      </c>
      <c r="U139" s="6">
        <v>64</v>
      </c>
      <c r="V139" s="6">
        <f>IF(ISERROR(VLOOKUP($S$139,'TAR FIN'!$A$1:$O$85,15,0)),0,VLOOKUP($S$139,'TAR FIN'!$A$1:$O$85,15,0))</f>
        <v>0</v>
      </c>
      <c r="W139" s="6">
        <f>IF(ISERROR(VLOOKUP($T$139,'TAR FIN'!$A$1:$O$85,15,0)),0,VLOOKUP($T$139,'TAR FIN'!$A$1:$O$85,15,0))</f>
        <v>679.72</v>
      </c>
      <c r="X139" s="6">
        <f>IF(ISERROR(VLOOKUP($U$139,'TAR FIN'!$A$1:$O$85,15,0)),0,VLOOKUP($U$139,'TAR FIN'!$A$1:$O$85,15,0))</f>
        <v>221.63</v>
      </c>
      <c r="Y139" s="6"/>
      <c r="Z139" s="6">
        <f ca="1">('TUSD BE'!$AM$31+'TUSD BF'!$AM$31+'TUSD CVA'!$AM$31)*(1-CUSTOS!$M$38)</f>
        <v>935.82001389693187</v>
      </c>
      <c r="AA139" s="6">
        <f>('TE BE'!$AA$22+'TE BF'!$AA$22+'TE CVA'!$AA$22)*(1-CUSTOS!$M$38)</f>
        <v>241.29063495745513</v>
      </c>
      <c r="AB139" s="6">
        <f>$K$139*$V$139</f>
        <v>0</v>
      </c>
      <c r="AC139" s="6">
        <f>$M$139*$W$139</f>
        <v>71.370599999999996</v>
      </c>
      <c r="AD139" s="6">
        <f>$O$139*$X$139</f>
        <v>23.271149999999999</v>
      </c>
      <c r="AE139" s="6">
        <f>$K$139*$Y$139</f>
        <v>0</v>
      </c>
      <c r="AF139" s="6">
        <f ca="1">$M$139*$Z$139</f>
        <v>98.261101459177837</v>
      </c>
      <c r="AG139" s="6">
        <f>$O$139*$AA$139</f>
        <v>25.335516670532787</v>
      </c>
    </row>
    <row r="140" spans="1:33" ht="11.25" customHeight="1" x14ac:dyDescent="0.25">
      <c r="A140" s="4" t="s">
        <v>21</v>
      </c>
      <c r="B140" s="4" t="s">
        <v>41</v>
      </c>
      <c r="C140" s="4" t="s">
        <v>39</v>
      </c>
      <c r="D140" s="4" t="s">
        <v>42</v>
      </c>
      <c r="E140" s="4" t="s">
        <v>25</v>
      </c>
      <c r="F140" s="4" t="s">
        <v>25</v>
      </c>
      <c r="G140" s="4" t="s">
        <v>25</v>
      </c>
      <c r="H140" s="4" t="s">
        <v>40</v>
      </c>
      <c r="I140" s="5">
        <v>44621</v>
      </c>
      <c r="J140" s="6">
        <v>0</v>
      </c>
      <c r="K140" s="6">
        <v>0</v>
      </c>
      <c r="L140" s="6">
        <v>8.5000000000000006E-2</v>
      </c>
      <c r="M140" s="6">
        <v>8.5000000000000006E-2</v>
      </c>
      <c r="N140" s="6">
        <v>8.5000000000000006E-2</v>
      </c>
      <c r="O140" s="6">
        <v>8.5000000000000006E-2</v>
      </c>
      <c r="P140" s="6">
        <v>0</v>
      </c>
      <c r="Q140" s="4" t="s">
        <v>26</v>
      </c>
      <c r="R140" s="4">
        <v>0</v>
      </c>
      <c r="S140" s="6">
        <v>0</v>
      </c>
      <c r="T140" s="6">
        <v>27</v>
      </c>
      <c r="U140" s="6">
        <v>64</v>
      </c>
      <c r="V140" s="6">
        <f>IF(ISERROR(VLOOKUP($S$140,'TAR FIN'!$A$1:$O$85,15,0)),0,VLOOKUP($S$140,'TAR FIN'!$A$1:$O$85,15,0))</f>
        <v>0</v>
      </c>
      <c r="W140" s="6">
        <f>IF(ISERROR(VLOOKUP($T$140,'TAR FIN'!$A$1:$O$85,15,0)),0,VLOOKUP($T$140,'TAR FIN'!$A$1:$O$85,15,0))</f>
        <v>679.72</v>
      </c>
      <c r="X140" s="6">
        <f>IF(ISERROR(VLOOKUP($U$140,'TAR FIN'!$A$1:$O$85,15,0)),0,VLOOKUP($U$140,'TAR FIN'!$A$1:$O$85,15,0))</f>
        <v>221.63</v>
      </c>
      <c r="Y140" s="6"/>
      <c r="Z140" s="6">
        <f ca="1">('TUSD BE'!$AM$31+'TUSD BF'!$AM$31+'TUSD CVA'!$AM$31)*(1-CUSTOS!$M$38)</f>
        <v>935.82001389693187</v>
      </c>
      <c r="AA140" s="6">
        <f>('TE BE'!$AA$22+'TE BF'!$AA$22+'TE CVA'!$AA$22)*(1-CUSTOS!$M$38)</f>
        <v>241.29063495745513</v>
      </c>
      <c r="AB140" s="6">
        <f>$K$140*$V$140</f>
        <v>0</v>
      </c>
      <c r="AC140" s="6">
        <f>$M$140*$W$140</f>
        <v>57.77620000000001</v>
      </c>
      <c r="AD140" s="6">
        <f>$O$140*$X$140</f>
        <v>18.838550000000001</v>
      </c>
      <c r="AE140" s="6">
        <f>$K$140*$Y$140</f>
        <v>0</v>
      </c>
      <c r="AF140" s="6">
        <f ca="1">$M$140*$Z$140</f>
        <v>79.544701181239219</v>
      </c>
      <c r="AG140" s="6">
        <f>$O$140*$AA$140</f>
        <v>20.509703971383686</v>
      </c>
    </row>
    <row r="141" spans="1:33" ht="11.25" customHeight="1" x14ac:dyDescent="0.25">
      <c r="A141" s="4" t="s">
        <v>21</v>
      </c>
      <c r="B141" s="4" t="s">
        <v>41</v>
      </c>
      <c r="C141" s="4" t="s">
        <v>39</v>
      </c>
      <c r="D141" s="4" t="s">
        <v>42</v>
      </c>
      <c r="E141" s="4" t="s">
        <v>25</v>
      </c>
      <c r="F141" s="4" t="s">
        <v>25</v>
      </c>
      <c r="G141" s="4" t="s">
        <v>25</v>
      </c>
      <c r="H141" s="4" t="s">
        <v>40</v>
      </c>
      <c r="I141" s="5">
        <v>44652</v>
      </c>
      <c r="J141" s="6">
        <v>0</v>
      </c>
      <c r="K141" s="6">
        <v>0</v>
      </c>
      <c r="L141" s="6">
        <v>2.7E-2</v>
      </c>
      <c r="M141" s="6">
        <v>2.7E-2</v>
      </c>
      <c r="N141" s="6">
        <v>2.7E-2</v>
      </c>
      <c r="O141" s="6">
        <v>2.7E-2</v>
      </c>
      <c r="P141" s="6">
        <v>0</v>
      </c>
      <c r="Q141" s="4" t="s">
        <v>26</v>
      </c>
      <c r="R141" s="4">
        <v>0</v>
      </c>
      <c r="S141" s="6">
        <v>0</v>
      </c>
      <c r="T141" s="6">
        <v>27</v>
      </c>
      <c r="U141" s="6">
        <v>64</v>
      </c>
      <c r="V141" s="6">
        <f>IF(ISERROR(VLOOKUP($S$141,'TAR FIN'!$A$1:$O$85,15,0)),0,VLOOKUP($S$141,'TAR FIN'!$A$1:$O$85,15,0))</f>
        <v>0</v>
      </c>
      <c r="W141" s="6">
        <f>IF(ISERROR(VLOOKUP($T$141,'TAR FIN'!$A$1:$O$85,15,0)),0,VLOOKUP($T$141,'TAR FIN'!$A$1:$O$85,15,0))</f>
        <v>679.72</v>
      </c>
      <c r="X141" s="6">
        <f>IF(ISERROR(VLOOKUP($U$141,'TAR FIN'!$A$1:$O$85,15,0)),0,VLOOKUP($U$141,'TAR FIN'!$A$1:$O$85,15,0))</f>
        <v>221.63</v>
      </c>
      <c r="Y141" s="6"/>
      <c r="Z141" s="6">
        <f ca="1">('TUSD BE'!$AM$31+'TUSD BF'!$AM$31+'TUSD CVA'!$AM$31)*(1-CUSTOS!$M$38)</f>
        <v>935.82001389693187</v>
      </c>
      <c r="AA141" s="6">
        <f>('TE BE'!$AA$22+'TE BF'!$AA$22+'TE CVA'!$AA$22)*(1-CUSTOS!$M$38)</f>
        <v>241.29063495745513</v>
      </c>
      <c r="AB141" s="6">
        <f>$K$141*$V$141</f>
        <v>0</v>
      </c>
      <c r="AC141" s="6">
        <f>$M$141*$W$141</f>
        <v>18.352440000000001</v>
      </c>
      <c r="AD141" s="6">
        <f>$O$141*$X$141</f>
        <v>5.9840099999999996</v>
      </c>
      <c r="AE141" s="6">
        <f>$K$141*$Y$141</f>
        <v>0</v>
      </c>
      <c r="AF141" s="6">
        <f ca="1">$M$141*$Z$141</f>
        <v>25.26714037521716</v>
      </c>
      <c r="AG141" s="6">
        <f>$O$141*$AA$141</f>
        <v>6.5148471438512887</v>
      </c>
    </row>
    <row r="142" spans="1:33" ht="11.25" customHeight="1" x14ac:dyDescent="0.25">
      <c r="A142" s="4" t="s">
        <v>21</v>
      </c>
      <c r="B142" s="4" t="s">
        <v>41</v>
      </c>
      <c r="C142" s="4" t="s">
        <v>39</v>
      </c>
      <c r="D142" s="4" t="s">
        <v>42</v>
      </c>
      <c r="E142" s="4" t="s">
        <v>25</v>
      </c>
      <c r="F142" s="4" t="s">
        <v>25</v>
      </c>
      <c r="G142" s="4" t="s">
        <v>25</v>
      </c>
      <c r="H142" s="4" t="s">
        <v>25</v>
      </c>
      <c r="I142" s="5">
        <v>44317</v>
      </c>
      <c r="J142" s="6">
        <v>0</v>
      </c>
      <c r="K142" s="6">
        <v>0</v>
      </c>
      <c r="L142" s="6">
        <v>0.33700000000000002</v>
      </c>
      <c r="M142" s="6">
        <v>0.33700000000000002</v>
      </c>
      <c r="N142" s="6">
        <v>0.33700000000000002</v>
      </c>
      <c r="O142" s="6">
        <v>0.33700000000000002</v>
      </c>
      <c r="P142" s="6">
        <v>5</v>
      </c>
      <c r="Q142" s="4" t="s">
        <v>26</v>
      </c>
      <c r="R142" s="4">
        <v>0</v>
      </c>
      <c r="S142" s="6">
        <v>0</v>
      </c>
      <c r="T142" s="6">
        <v>29</v>
      </c>
      <c r="U142" s="6">
        <v>66</v>
      </c>
      <c r="V142" s="6">
        <f>IF(ISERROR(VLOOKUP($S$142,'TAR FIN'!$A$1:$O$85,15,0)),0,VLOOKUP($S$142,'TAR FIN'!$A$1:$O$85,15,0))</f>
        <v>0</v>
      </c>
      <c r="W142" s="6">
        <f>IF(ISERROR(VLOOKUP($T$142,'TAR FIN'!$A$1:$O$85,15,0)),0,VLOOKUP($T$142,'TAR FIN'!$A$1:$O$85,15,0))</f>
        <v>448.29</v>
      </c>
      <c r="X142" s="6">
        <f>IF(ISERROR(VLOOKUP($U$142,'TAR FIN'!$A$1:$O$85,15,0)),0,VLOOKUP($U$142,'TAR FIN'!$A$1:$O$85,15,0))</f>
        <v>221.63</v>
      </c>
      <c r="Y142" s="6"/>
      <c r="Z142" s="6">
        <f ca="1">('TUSD BE'!$AM$33+'TUSD BF'!$AM$33+'TUSD CVA'!$AM$33)*(1-CUSTOS!$M$38)</f>
        <v>618.4724353141047</v>
      </c>
      <c r="AA142" s="6">
        <f>('TE BE'!$AA$24+'TE BF'!$AA$24+'TE CVA'!$AA$24)*(1-CUSTOS!$M$38)</f>
        <v>241.29063495745513</v>
      </c>
      <c r="AB142" s="6">
        <f>$K$142*$V$142</f>
        <v>0</v>
      </c>
      <c r="AC142" s="6">
        <f>$M$142*$W$142</f>
        <v>151.07373000000001</v>
      </c>
      <c r="AD142" s="6">
        <f>$O$142*$X$142</f>
        <v>74.689310000000006</v>
      </c>
      <c r="AE142" s="6">
        <f>$K$142*$Y$142</f>
        <v>0</v>
      </c>
      <c r="AF142" s="6">
        <f ca="1">$M$142*$Z$142</f>
        <v>208.42521070085328</v>
      </c>
      <c r="AG142" s="6">
        <f>$O$142*$AA$142</f>
        <v>81.314943980662377</v>
      </c>
    </row>
    <row r="143" spans="1:33" ht="11.25" customHeight="1" x14ac:dyDescent="0.25">
      <c r="A143" s="4" t="s">
        <v>21</v>
      </c>
      <c r="B143" s="4" t="s">
        <v>41</v>
      </c>
      <c r="C143" s="4" t="s">
        <v>39</v>
      </c>
      <c r="D143" s="4" t="s">
        <v>42</v>
      </c>
      <c r="E143" s="4" t="s">
        <v>25</v>
      </c>
      <c r="F143" s="4" t="s">
        <v>25</v>
      </c>
      <c r="G143" s="4" t="s">
        <v>25</v>
      </c>
      <c r="H143" s="4" t="s">
        <v>25</v>
      </c>
      <c r="I143" s="5">
        <v>44348</v>
      </c>
      <c r="J143" s="6">
        <v>0</v>
      </c>
      <c r="K143" s="6">
        <v>0</v>
      </c>
      <c r="L143" s="6">
        <v>0.36699999999999999</v>
      </c>
      <c r="M143" s="6">
        <v>0.36699999999999999</v>
      </c>
      <c r="N143" s="6">
        <v>0.36699999999999999</v>
      </c>
      <c r="O143" s="6">
        <v>0.36699999999999999</v>
      </c>
      <c r="P143" s="6">
        <v>5</v>
      </c>
      <c r="Q143" s="4" t="s">
        <v>26</v>
      </c>
      <c r="R143" s="4">
        <v>0</v>
      </c>
      <c r="S143" s="6">
        <v>0</v>
      </c>
      <c r="T143" s="6">
        <v>29</v>
      </c>
      <c r="U143" s="6">
        <v>66</v>
      </c>
      <c r="V143" s="6">
        <f>IF(ISERROR(VLOOKUP($S$143,'TAR FIN'!$A$1:$O$85,15,0)),0,VLOOKUP($S$143,'TAR FIN'!$A$1:$O$85,15,0))</f>
        <v>0</v>
      </c>
      <c r="W143" s="6">
        <f>IF(ISERROR(VLOOKUP($T$143,'TAR FIN'!$A$1:$O$85,15,0)),0,VLOOKUP($T$143,'TAR FIN'!$A$1:$O$85,15,0))</f>
        <v>448.29</v>
      </c>
      <c r="X143" s="6">
        <f>IF(ISERROR(VLOOKUP($U$143,'TAR FIN'!$A$1:$O$85,15,0)),0,VLOOKUP($U$143,'TAR FIN'!$A$1:$O$85,15,0))</f>
        <v>221.63</v>
      </c>
      <c r="Y143" s="6"/>
      <c r="Z143" s="6">
        <f ca="1">('TUSD BE'!$AM$33+'TUSD BF'!$AM$33+'TUSD CVA'!$AM$33)*(1-CUSTOS!$M$38)</f>
        <v>618.4724353141047</v>
      </c>
      <c r="AA143" s="6">
        <f>('TE BE'!$AA$24+'TE BF'!$AA$24+'TE CVA'!$AA$24)*(1-CUSTOS!$M$38)</f>
        <v>241.29063495745513</v>
      </c>
      <c r="AB143" s="6">
        <f>$K$143*$V$143</f>
        <v>0</v>
      </c>
      <c r="AC143" s="6">
        <f>$M$143*$W$143</f>
        <v>164.52243000000001</v>
      </c>
      <c r="AD143" s="6">
        <f>$O$143*$X$143</f>
        <v>81.338210000000004</v>
      </c>
      <c r="AE143" s="6">
        <f>$K$143*$Y$143</f>
        <v>0</v>
      </c>
      <c r="AF143" s="6">
        <f ca="1">$M$143*$Z$143</f>
        <v>226.97938376027642</v>
      </c>
      <c r="AG143" s="6">
        <f>$O$143*$AA$143</f>
        <v>88.55366302938603</v>
      </c>
    </row>
    <row r="144" spans="1:33" ht="11.25" customHeight="1" x14ac:dyDescent="0.25">
      <c r="A144" s="4" t="s">
        <v>21</v>
      </c>
      <c r="B144" s="4" t="s">
        <v>41</v>
      </c>
      <c r="C144" s="4" t="s">
        <v>39</v>
      </c>
      <c r="D144" s="4" t="s">
        <v>42</v>
      </c>
      <c r="E144" s="4" t="s">
        <v>25</v>
      </c>
      <c r="F144" s="4" t="s">
        <v>25</v>
      </c>
      <c r="G144" s="4" t="s">
        <v>25</v>
      </c>
      <c r="H144" s="4" t="s">
        <v>25</v>
      </c>
      <c r="I144" s="5">
        <v>44378</v>
      </c>
      <c r="J144" s="6">
        <v>0</v>
      </c>
      <c r="K144" s="6">
        <v>0</v>
      </c>
      <c r="L144" s="6">
        <v>0.27700000000000002</v>
      </c>
      <c r="M144" s="6">
        <v>0.27700000000000002</v>
      </c>
      <c r="N144" s="6">
        <v>0.27700000000000002</v>
      </c>
      <c r="O144" s="6">
        <v>0.27700000000000002</v>
      </c>
      <c r="P144" s="6">
        <v>5</v>
      </c>
      <c r="Q144" s="4" t="s">
        <v>26</v>
      </c>
      <c r="R144" s="4">
        <v>0</v>
      </c>
      <c r="S144" s="6">
        <v>0</v>
      </c>
      <c r="T144" s="6">
        <v>29</v>
      </c>
      <c r="U144" s="6">
        <v>66</v>
      </c>
      <c r="V144" s="6">
        <f>IF(ISERROR(VLOOKUP($S$144,'TAR FIN'!$A$1:$O$85,15,0)),0,VLOOKUP($S$144,'TAR FIN'!$A$1:$O$85,15,0))</f>
        <v>0</v>
      </c>
      <c r="W144" s="6">
        <f>IF(ISERROR(VLOOKUP($T$144,'TAR FIN'!$A$1:$O$85,15,0)),0,VLOOKUP($T$144,'TAR FIN'!$A$1:$O$85,15,0))</f>
        <v>448.29</v>
      </c>
      <c r="X144" s="6">
        <f>IF(ISERROR(VLOOKUP($U$144,'TAR FIN'!$A$1:$O$85,15,0)),0,VLOOKUP($U$144,'TAR FIN'!$A$1:$O$85,15,0))</f>
        <v>221.63</v>
      </c>
      <c r="Y144" s="6"/>
      <c r="Z144" s="6">
        <f ca="1">('TUSD BE'!$AM$33+'TUSD BF'!$AM$33+'TUSD CVA'!$AM$33)*(1-CUSTOS!$M$38)</f>
        <v>618.4724353141047</v>
      </c>
      <c r="AA144" s="6">
        <f>('TE BE'!$AA$24+'TE BF'!$AA$24+'TE CVA'!$AA$24)*(1-CUSTOS!$M$38)</f>
        <v>241.29063495745513</v>
      </c>
      <c r="AB144" s="6">
        <f>$K$144*$V$144</f>
        <v>0</v>
      </c>
      <c r="AC144" s="6">
        <f>$M$144*$W$144</f>
        <v>124.17633000000002</v>
      </c>
      <c r="AD144" s="6">
        <f>$O$144*$X$144</f>
        <v>61.391510000000004</v>
      </c>
      <c r="AE144" s="6">
        <f>$K$144*$Y$144</f>
        <v>0</v>
      </c>
      <c r="AF144" s="6">
        <f ca="1">$M$144*$Z$144</f>
        <v>171.31686458200701</v>
      </c>
      <c r="AG144" s="6">
        <f>$O$144*$AA$144</f>
        <v>66.837505883215073</v>
      </c>
    </row>
    <row r="145" spans="1:33" ht="11.25" customHeight="1" x14ac:dyDescent="0.25">
      <c r="A145" s="4" t="s">
        <v>21</v>
      </c>
      <c r="B145" s="4" t="s">
        <v>41</v>
      </c>
      <c r="C145" s="4" t="s">
        <v>39</v>
      </c>
      <c r="D145" s="4" t="s">
        <v>42</v>
      </c>
      <c r="E145" s="4" t="s">
        <v>25</v>
      </c>
      <c r="F145" s="4" t="s">
        <v>25</v>
      </c>
      <c r="G145" s="4" t="s">
        <v>25</v>
      </c>
      <c r="H145" s="4" t="s">
        <v>25</v>
      </c>
      <c r="I145" s="5">
        <v>44409</v>
      </c>
      <c r="J145" s="6">
        <v>0</v>
      </c>
      <c r="K145" s="6">
        <v>0</v>
      </c>
      <c r="L145" s="6">
        <v>0.27</v>
      </c>
      <c r="M145" s="6">
        <v>0.27</v>
      </c>
      <c r="N145" s="6">
        <v>0.27</v>
      </c>
      <c r="O145" s="6">
        <v>0.27</v>
      </c>
      <c r="P145" s="6">
        <v>5</v>
      </c>
      <c r="Q145" s="4" t="s">
        <v>26</v>
      </c>
      <c r="R145" s="4">
        <v>0</v>
      </c>
      <c r="S145" s="6">
        <v>0</v>
      </c>
      <c r="T145" s="6">
        <v>29</v>
      </c>
      <c r="U145" s="6">
        <v>66</v>
      </c>
      <c r="V145" s="6">
        <f>IF(ISERROR(VLOOKUP($S$145,'TAR FIN'!$A$1:$O$85,15,0)),0,VLOOKUP($S$145,'TAR FIN'!$A$1:$O$85,15,0))</f>
        <v>0</v>
      </c>
      <c r="W145" s="6">
        <f>IF(ISERROR(VLOOKUP($T$145,'TAR FIN'!$A$1:$O$85,15,0)),0,VLOOKUP($T$145,'TAR FIN'!$A$1:$O$85,15,0))</f>
        <v>448.29</v>
      </c>
      <c r="X145" s="6">
        <f>IF(ISERROR(VLOOKUP($U$145,'TAR FIN'!$A$1:$O$85,15,0)),0,VLOOKUP($U$145,'TAR FIN'!$A$1:$O$85,15,0))</f>
        <v>221.63</v>
      </c>
      <c r="Y145" s="6"/>
      <c r="Z145" s="6">
        <f ca="1">('TUSD BE'!$AM$33+'TUSD BF'!$AM$33+'TUSD CVA'!$AM$33)*(1-CUSTOS!$M$38)</f>
        <v>618.4724353141047</v>
      </c>
      <c r="AA145" s="6">
        <f>('TE BE'!$AA$24+'TE BF'!$AA$24+'TE CVA'!$AA$24)*(1-CUSTOS!$M$38)</f>
        <v>241.29063495745513</v>
      </c>
      <c r="AB145" s="6">
        <f>$K$145*$V$145</f>
        <v>0</v>
      </c>
      <c r="AC145" s="6">
        <f>$M$145*$W$145</f>
        <v>121.03830000000001</v>
      </c>
      <c r="AD145" s="6">
        <f>$O$145*$X$145</f>
        <v>59.8401</v>
      </c>
      <c r="AE145" s="6">
        <f>$K$145*$Y$145</f>
        <v>0</v>
      </c>
      <c r="AF145" s="6">
        <f ca="1">$M$145*$Z$145</f>
        <v>166.98755753480827</v>
      </c>
      <c r="AG145" s="6">
        <f>$O$145*$AA$145</f>
        <v>65.148471438512885</v>
      </c>
    </row>
    <row r="146" spans="1:33" ht="11.25" customHeight="1" x14ac:dyDescent="0.25">
      <c r="A146" s="4" t="s">
        <v>21</v>
      </c>
      <c r="B146" s="4" t="s">
        <v>41</v>
      </c>
      <c r="C146" s="4" t="s">
        <v>39</v>
      </c>
      <c r="D146" s="4" t="s">
        <v>42</v>
      </c>
      <c r="E146" s="4" t="s">
        <v>25</v>
      </c>
      <c r="F146" s="4" t="s">
        <v>25</v>
      </c>
      <c r="G146" s="4" t="s">
        <v>25</v>
      </c>
      <c r="H146" s="4" t="s">
        <v>25</v>
      </c>
      <c r="I146" s="5">
        <v>44440</v>
      </c>
      <c r="J146" s="6">
        <v>0</v>
      </c>
      <c r="K146" s="6">
        <v>0</v>
      </c>
      <c r="L146" s="6">
        <v>0.154</v>
      </c>
      <c r="M146" s="6">
        <v>0.154</v>
      </c>
      <c r="N146" s="6">
        <v>0.154</v>
      </c>
      <c r="O146" s="6">
        <v>0.154</v>
      </c>
      <c r="P146" s="6">
        <v>6</v>
      </c>
      <c r="Q146" s="4" t="s">
        <v>26</v>
      </c>
      <c r="R146" s="4">
        <v>0</v>
      </c>
      <c r="S146" s="6">
        <v>0</v>
      </c>
      <c r="T146" s="6">
        <v>29</v>
      </c>
      <c r="U146" s="6">
        <v>66</v>
      </c>
      <c r="V146" s="6">
        <f>IF(ISERROR(VLOOKUP($S$146,'TAR FIN'!$A$1:$O$85,15,0)),0,VLOOKUP($S$146,'TAR FIN'!$A$1:$O$85,15,0))</f>
        <v>0</v>
      </c>
      <c r="W146" s="6">
        <f>IF(ISERROR(VLOOKUP($T$146,'TAR FIN'!$A$1:$O$85,15,0)),0,VLOOKUP($T$146,'TAR FIN'!$A$1:$O$85,15,0))</f>
        <v>448.29</v>
      </c>
      <c r="X146" s="6">
        <f>IF(ISERROR(VLOOKUP($U$146,'TAR FIN'!$A$1:$O$85,15,0)),0,VLOOKUP($U$146,'TAR FIN'!$A$1:$O$85,15,0))</f>
        <v>221.63</v>
      </c>
      <c r="Y146" s="6"/>
      <c r="Z146" s="6">
        <f ca="1">('TUSD BE'!$AM$33+'TUSD BF'!$AM$33+'TUSD CVA'!$AM$33)*(1-CUSTOS!$M$38)</f>
        <v>618.4724353141047</v>
      </c>
      <c r="AA146" s="6">
        <f>('TE BE'!$AA$24+'TE BF'!$AA$24+'TE CVA'!$AA$24)*(1-CUSTOS!$M$38)</f>
        <v>241.29063495745513</v>
      </c>
      <c r="AB146" s="6">
        <f>$K$146*$V$146</f>
        <v>0</v>
      </c>
      <c r="AC146" s="6">
        <f>$M$146*$W$146</f>
        <v>69.036659999999998</v>
      </c>
      <c r="AD146" s="6">
        <f>$O$146*$X$146</f>
        <v>34.131019999999999</v>
      </c>
      <c r="AE146" s="6">
        <f>$K$146*$Y$146</f>
        <v>0</v>
      </c>
      <c r="AF146" s="6">
        <f ca="1">$M$146*$Z$146</f>
        <v>95.244755038372119</v>
      </c>
      <c r="AG146" s="6">
        <f>$O$146*$AA$146</f>
        <v>37.158757783448088</v>
      </c>
    </row>
    <row r="147" spans="1:33" ht="11.25" customHeight="1" x14ac:dyDescent="0.25">
      <c r="A147" s="4" t="s">
        <v>21</v>
      </c>
      <c r="B147" s="4" t="s">
        <v>41</v>
      </c>
      <c r="C147" s="4" t="s">
        <v>39</v>
      </c>
      <c r="D147" s="4" t="s">
        <v>42</v>
      </c>
      <c r="E147" s="4" t="s">
        <v>25</v>
      </c>
      <c r="F147" s="4" t="s">
        <v>25</v>
      </c>
      <c r="G147" s="4" t="s">
        <v>25</v>
      </c>
      <c r="H147" s="4" t="s">
        <v>25</v>
      </c>
      <c r="I147" s="5">
        <v>44470</v>
      </c>
      <c r="J147" s="6">
        <v>0</v>
      </c>
      <c r="K147" s="6">
        <v>0</v>
      </c>
      <c r="L147" s="6">
        <v>8.8999999999999996E-2</v>
      </c>
      <c r="M147" s="6">
        <v>8.8999999999999996E-2</v>
      </c>
      <c r="N147" s="6">
        <v>8.8999999999999996E-2</v>
      </c>
      <c r="O147" s="6">
        <v>8.8999999999999996E-2</v>
      </c>
      <c r="P147" s="6">
        <v>6</v>
      </c>
      <c r="Q147" s="4" t="s">
        <v>26</v>
      </c>
      <c r="R147" s="4">
        <v>0</v>
      </c>
      <c r="S147" s="6">
        <v>0</v>
      </c>
      <c r="T147" s="6">
        <v>29</v>
      </c>
      <c r="U147" s="6">
        <v>66</v>
      </c>
      <c r="V147" s="6">
        <f>IF(ISERROR(VLOOKUP($S$147,'TAR FIN'!$A$1:$O$85,15,0)),0,VLOOKUP($S$147,'TAR FIN'!$A$1:$O$85,15,0))</f>
        <v>0</v>
      </c>
      <c r="W147" s="6">
        <f>IF(ISERROR(VLOOKUP($T$147,'TAR FIN'!$A$1:$O$85,15,0)),0,VLOOKUP($T$147,'TAR FIN'!$A$1:$O$85,15,0))</f>
        <v>448.29</v>
      </c>
      <c r="X147" s="6">
        <f>IF(ISERROR(VLOOKUP($U$147,'TAR FIN'!$A$1:$O$85,15,0)),0,VLOOKUP($U$147,'TAR FIN'!$A$1:$O$85,15,0))</f>
        <v>221.63</v>
      </c>
      <c r="Y147" s="6"/>
      <c r="Z147" s="6">
        <f ca="1">('TUSD BE'!$AM$33+'TUSD BF'!$AM$33+'TUSD CVA'!$AM$33)*(1-CUSTOS!$M$38)</f>
        <v>618.4724353141047</v>
      </c>
      <c r="AA147" s="6">
        <f>('TE BE'!$AA$24+'TE BF'!$AA$24+'TE CVA'!$AA$24)*(1-CUSTOS!$M$38)</f>
        <v>241.29063495745513</v>
      </c>
      <c r="AB147" s="6">
        <f>$K$147*$V$147</f>
        <v>0</v>
      </c>
      <c r="AC147" s="6">
        <f>$M$147*$W$147</f>
        <v>39.89781</v>
      </c>
      <c r="AD147" s="6">
        <f>$O$147*$X$147</f>
        <v>19.725069999999999</v>
      </c>
      <c r="AE147" s="6">
        <f>$K$147*$Y$147</f>
        <v>0</v>
      </c>
      <c r="AF147" s="6">
        <f ca="1">$M$147*$Z$147</f>
        <v>55.044046742955317</v>
      </c>
      <c r="AG147" s="6">
        <f>$O$147*$AA$147</f>
        <v>21.474866511213506</v>
      </c>
    </row>
    <row r="148" spans="1:33" ht="11.25" customHeight="1" x14ac:dyDescent="0.25">
      <c r="A148" s="4" t="s">
        <v>21</v>
      </c>
      <c r="B148" s="4" t="s">
        <v>41</v>
      </c>
      <c r="C148" s="4" t="s">
        <v>39</v>
      </c>
      <c r="D148" s="4" t="s">
        <v>42</v>
      </c>
      <c r="E148" s="4" t="s">
        <v>25</v>
      </c>
      <c r="F148" s="4" t="s">
        <v>25</v>
      </c>
      <c r="G148" s="4" t="s">
        <v>25</v>
      </c>
      <c r="H148" s="4" t="s">
        <v>25</v>
      </c>
      <c r="I148" s="5">
        <v>44501</v>
      </c>
      <c r="J148" s="6">
        <v>0</v>
      </c>
      <c r="K148" s="6">
        <v>0</v>
      </c>
      <c r="L148" s="6">
        <v>0.128</v>
      </c>
      <c r="M148" s="6">
        <v>0.128</v>
      </c>
      <c r="N148" s="6">
        <v>0.128</v>
      </c>
      <c r="O148" s="6">
        <v>0.128</v>
      </c>
      <c r="P148" s="6">
        <v>6</v>
      </c>
      <c r="Q148" s="4" t="s">
        <v>26</v>
      </c>
      <c r="R148" s="4">
        <v>0</v>
      </c>
      <c r="S148" s="6">
        <v>0</v>
      </c>
      <c r="T148" s="6">
        <v>29</v>
      </c>
      <c r="U148" s="6">
        <v>66</v>
      </c>
      <c r="V148" s="6">
        <f>IF(ISERROR(VLOOKUP($S$148,'TAR FIN'!$A$1:$O$85,15,0)),0,VLOOKUP($S$148,'TAR FIN'!$A$1:$O$85,15,0))</f>
        <v>0</v>
      </c>
      <c r="W148" s="6">
        <f>IF(ISERROR(VLOOKUP($T$148,'TAR FIN'!$A$1:$O$85,15,0)),0,VLOOKUP($T$148,'TAR FIN'!$A$1:$O$85,15,0))</f>
        <v>448.29</v>
      </c>
      <c r="X148" s="6">
        <f>IF(ISERROR(VLOOKUP($U$148,'TAR FIN'!$A$1:$O$85,15,0)),0,VLOOKUP($U$148,'TAR FIN'!$A$1:$O$85,15,0))</f>
        <v>221.63</v>
      </c>
      <c r="Y148" s="6"/>
      <c r="Z148" s="6">
        <f ca="1">('TUSD BE'!$AM$33+'TUSD BF'!$AM$33+'TUSD CVA'!$AM$33)*(1-CUSTOS!$M$38)</f>
        <v>618.4724353141047</v>
      </c>
      <c r="AA148" s="6">
        <f>('TE BE'!$AA$24+'TE BF'!$AA$24+'TE CVA'!$AA$24)*(1-CUSTOS!$M$38)</f>
        <v>241.29063495745513</v>
      </c>
      <c r="AB148" s="6">
        <f>$K$148*$V$148</f>
        <v>0</v>
      </c>
      <c r="AC148" s="6">
        <f>$M$148*$W$148</f>
        <v>57.381120000000003</v>
      </c>
      <c r="AD148" s="6">
        <f>$O$148*$X$148</f>
        <v>28.368639999999999</v>
      </c>
      <c r="AE148" s="6">
        <f>$K$148*$Y$148</f>
        <v>0</v>
      </c>
      <c r="AF148" s="6">
        <f ca="1">$M$148*$Z$148</f>
        <v>79.164471720205398</v>
      </c>
      <c r="AG148" s="6">
        <f>$O$148*$AA$148</f>
        <v>30.885201274554255</v>
      </c>
    </row>
    <row r="149" spans="1:33" ht="11.25" customHeight="1" x14ac:dyDescent="0.25">
      <c r="A149" s="4" t="s">
        <v>21</v>
      </c>
      <c r="B149" s="4" t="s">
        <v>41</v>
      </c>
      <c r="C149" s="4" t="s">
        <v>39</v>
      </c>
      <c r="D149" s="4" t="s">
        <v>42</v>
      </c>
      <c r="E149" s="4" t="s">
        <v>25</v>
      </c>
      <c r="F149" s="4" t="s">
        <v>25</v>
      </c>
      <c r="G149" s="4" t="s">
        <v>25</v>
      </c>
      <c r="H149" s="4" t="s">
        <v>25</v>
      </c>
      <c r="I149" s="5">
        <v>44531</v>
      </c>
      <c r="J149" s="6">
        <v>0</v>
      </c>
      <c r="K149" s="6">
        <v>0</v>
      </c>
      <c r="L149" s="6">
        <v>5.7000000000000002E-2</v>
      </c>
      <c r="M149" s="6">
        <v>5.7000000000000002E-2</v>
      </c>
      <c r="N149" s="6">
        <v>5.7000000000000002E-2</v>
      </c>
      <c r="O149" s="6">
        <v>5.7000000000000002E-2</v>
      </c>
      <c r="P149" s="6">
        <v>7</v>
      </c>
      <c r="Q149" s="4" t="s">
        <v>26</v>
      </c>
      <c r="R149" s="4">
        <v>0</v>
      </c>
      <c r="S149" s="6">
        <v>0</v>
      </c>
      <c r="T149" s="6">
        <v>29</v>
      </c>
      <c r="U149" s="6">
        <v>66</v>
      </c>
      <c r="V149" s="6">
        <f>IF(ISERROR(VLOOKUP($S$149,'TAR FIN'!$A$1:$O$85,15,0)),0,VLOOKUP($S$149,'TAR FIN'!$A$1:$O$85,15,0))</f>
        <v>0</v>
      </c>
      <c r="W149" s="6">
        <f>IF(ISERROR(VLOOKUP($T$149,'TAR FIN'!$A$1:$O$85,15,0)),0,VLOOKUP($T$149,'TAR FIN'!$A$1:$O$85,15,0))</f>
        <v>448.29</v>
      </c>
      <c r="X149" s="6">
        <f>IF(ISERROR(VLOOKUP($U$149,'TAR FIN'!$A$1:$O$85,15,0)),0,VLOOKUP($U$149,'TAR FIN'!$A$1:$O$85,15,0))</f>
        <v>221.63</v>
      </c>
      <c r="Y149" s="6"/>
      <c r="Z149" s="6">
        <f ca="1">('TUSD BE'!$AM$33+'TUSD BF'!$AM$33+'TUSD CVA'!$AM$33)*(1-CUSTOS!$M$38)</f>
        <v>618.4724353141047</v>
      </c>
      <c r="AA149" s="6">
        <f>('TE BE'!$AA$24+'TE BF'!$AA$24+'TE CVA'!$AA$24)*(1-CUSTOS!$M$38)</f>
        <v>241.29063495745513</v>
      </c>
      <c r="AB149" s="6">
        <f>$K$149*$V$149</f>
        <v>0</v>
      </c>
      <c r="AC149" s="6">
        <f>$M$149*$W$149</f>
        <v>25.552530000000001</v>
      </c>
      <c r="AD149" s="6">
        <f>$O$149*$X$149</f>
        <v>12.632910000000001</v>
      </c>
      <c r="AE149" s="6">
        <f>$K$149*$Y$149</f>
        <v>0</v>
      </c>
      <c r="AF149" s="6">
        <f ca="1">$M$149*$Z$149</f>
        <v>35.252928812903967</v>
      </c>
      <c r="AG149" s="6">
        <f>$O$149*$AA$149</f>
        <v>13.753566192574942</v>
      </c>
    </row>
    <row r="150" spans="1:33" ht="11.25" customHeight="1" x14ac:dyDescent="0.25">
      <c r="A150" s="4" t="s">
        <v>21</v>
      </c>
      <c r="B150" s="4" t="s">
        <v>41</v>
      </c>
      <c r="C150" s="4" t="s">
        <v>39</v>
      </c>
      <c r="D150" s="4" t="s">
        <v>42</v>
      </c>
      <c r="E150" s="4" t="s">
        <v>25</v>
      </c>
      <c r="F150" s="4" t="s">
        <v>25</v>
      </c>
      <c r="G150" s="4" t="s">
        <v>25</v>
      </c>
      <c r="H150" s="4" t="s">
        <v>25</v>
      </c>
      <c r="I150" s="5">
        <v>44562</v>
      </c>
      <c r="J150" s="6">
        <v>0</v>
      </c>
      <c r="K150" s="6">
        <v>0</v>
      </c>
      <c r="L150" s="6">
        <v>0.14799999999999999</v>
      </c>
      <c r="M150" s="6">
        <v>0.14799999999999999</v>
      </c>
      <c r="N150" s="6">
        <v>0.14799999999999999</v>
      </c>
      <c r="O150" s="6">
        <v>0.14799999999999999</v>
      </c>
      <c r="P150" s="6">
        <v>8</v>
      </c>
      <c r="Q150" s="4" t="s">
        <v>26</v>
      </c>
      <c r="R150" s="4">
        <v>0</v>
      </c>
      <c r="S150" s="6">
        <v>0</v>
      </c>
      <c r="T150" s="6">
        <v>29</v>
      </c>
      <c r="U150" s="6">
        <v>66</v>
      </c>
      <c r="V150" s="6">
        <f>IF(ISERROR(VLOOKUP($S$150,'TAR FIN'!$A$1:$O$85,15,0)),0,VLOOKUP($S$150,'TAR FIN'!$A$1:$O$85,15,0))</f>
        <v>0</v>
      </c>
      <c r="W150" s="6">
        <f>IF(ISERROR(VLOOKUP($T$150,'TAR FIN'!$A$1:$O$85,15,0)),0,VLOOKUP($T$150,'TAR FIN'!$A$1:$O$85,15,0))</f>
        <v>448.29</v>
      </c>
      <c r="X150" s="6">
        <f>IF(ISERROR(VLOOKUP($U$150,'TAR FIN'!$A$1:$O$85,15,0)),0,VLOOKUP($U$150,'TAR FIN'!$A$1:$O$85,15,0))</f>
        <v>221.63</v>
      </c>
      <c r="Y150" s="6"/>
      <c r="Z150" s="6">
        <f ca="1">('TUSD BE'!$AM$33+'TUSD BF'!$AM$33+'TUSD CVA'!$AM$33)*(1-CUSTOS!$M$38)</f>
        <v>618.4724353141047</v>
      </c>
      <c r="AA150" s="6">
        <f>('TE BE'!$AA$24+'TE BF'!$AA$24+'TE CVA'!$AA$24)*(1-CUSTOS!$M$38)</f>
        <v>241.29063495745513</v>
      </c>
      <c r="AB150" s="6">
        <f>$K$150*$V$150</f>
        <v>0</v>
      </c>
      <c r="AC150" s="6">
        <f>$M$150*$W$150</f>
        <v>66.346919999999997</v>
      </c>
      <c r="AD150" s="6">
        <f>$O$150*$X$150</f>
        <v>32.80124</v>
      </c>
      <c r="AE150" s="6">
        <f>$K$150*$Y$150</f>
        <v>0</v>
      </c>
      <c r="AF150" s="6">
        <f ca="1">$M$150*$Z$150</f>
        <v>91.533920426487498</v>
      </c>
      <c r="AG150" s="6">
        <f>$O$150*$AA$150</f>
        <v>35.711013973703359</v>
      </c>
    </row>
    <row r="151" spans="1:33" ht="11.25" customHeight="1" x14ac:dyDescent="0.25">
      <c r="A151" s="4" t="s">
        <v>21</v>
      </c>
      <c r="B151" s="4" t="s">
        <v>41</v>
      </c>
      <c r="C151" s="4" t="s">
        <v>39</v>
      </c>
      <c r="D151" s="4" t="s">
        <v>42</v>
      </c>
      <c r="E151" s="4" t="s">
        <v>25</v>
      </c>
      <c r="F151" s="4" t="s">
        <v>25</v>
      </c>
      <c r="G151" s="4" t="s">
        <v>25</v>
      </c>
      <c r="H151" s="4" t="s">
        <v>25</v>
      </c>
      <c r="I151" s="5">
        <v>44593</v>
      </c>
      <c r="J151" s="6">
        <v>0</v>
      </c>
      <c r="K151" s="6">
        <v>0</v>
      </c>
      <c r="L151" s="6">
        <v>9.9000000000000005E-2</v>
      </c>
      <c r="M151" s="6">
        <v>9.9000000000000005E-2</v>
      </c>
      <c r="N151" s="6">
        <v>9.9000000000000005E-2</v>
      </c>
      <c r="O151" s="6">
        <v>9.9000000000000005E-2</v>
      </c>
      <c r="P151" s="6">
        <v>8</v>
      </c>
      <c r="Q151" s="4" t="s">
        <v>26</v>
      </c>
      <c r="R151" s="4">
        <v>0</v>
      </c>
      <c r="S151" s="6">
        <v>0</v>
      </c>
      <c r="T151" s="6">
        <v>29</v>
      </c>
      <c r="U151" s="6">
        <v>66</v>
      </c>
      <c r="V151" s="6">
        <f>IF(ISERROR(VLOOKUP($S$151,'TAR FIN'!$A$1:$O$85,15,0)),0,VLOOKUP($S$151,'TAR FIN'!$A$1:$O$85,15,0))</f>
        <v>0</v>
      </c>
      <c r="W151" s="6">
        <f>IF(ISERROR(VLOOKUP($T$151,'TAR FIN'!$A$1:$O$85,15,0)),0,VLOOKUP($T$151,'TAR FIN'!$A$1:$O$85,15,0))</f>
        <v>448.29</v>
      </c>
      <c r="X151" s="6">
        <f>IF(ISERROR(VLOOKUP($U$151,'TAR FIN'!$A$1:$O$85,15,0)),0,VLOOKUP($U$151,'TAR FIN'!$A$1:$O$85,15,0))</f>
        <v>221.63</v>
      </c>
      <c r="Y151" s="6"/>
      <c r="Z151" s="6">
        <f ca="1">('TUSD BE'!$AM$33+'TUSD BF'!$AM$33+'TUSD CVA'!$AM$33)*(1-CUSTOS!$M$38)</f>
        <v>618.4724353141047</v>
      </c>
      <c r="AA151" s="6">
        <f>('TE BE'!$AA$24+'TE BF'!$AA$24+'TE CVA'!$AA$24)*(1-CUSTOS!$M$38)</f>
        <v>241.29063495745513</v>
      </c>
      <c r="AB151" s="6">
        <f>$K$151*$V$151</f>
        <v>0</v>
      </c>
      <c r="AC151" s="6">
        <f>$M$151*$W$151</f>
        <v>44.380710000000008</v>
      </c>
      <c r="AD151" s="6">
        <f>$O$151*$X$151</f>
        <v>21.941369999999999</v>
      </c>
      <c r="AE151" s="6">
        <f>$K$151*$Y$151</f>
        <v>0</v>
      </c>
      <c r="AF151" s="6">
        <f ca="1">$M$151*$Z$151</f>
        <v>61.228771096096366</v>
      </c>
      <c r="AG151" s="6">
        <f>$O$151*$AA$151</f>
        <v>23.887772860788058</v>
      </c>
    </row>
    <row r="152" spans="1:33" ht="11.25" customHeight="1" x14ac:dyDescent="0.25">
      <c r="A152" s="4" t="s">
        <v>21</v>
      </c>
      <c r="B152" s="4" t="s">
        <v>41</v>
      </c>
      <c r="C152" s="4" t="s">
        <v>39</v>
      </c>
      <c r="D152" s="4" t="s">
        <v>42</v>
      </c>
      <c r="E152" s="4" t="s">
        <v>25</v>
      </c>
      <c r="F152" s="4" t="s">
        <v>25</v>
      </c>
      <c r="G152" s="4" t="s">
        <v>25</v>
      </c>
      <c r="H152" s="4" t="s">
        <v>25</v>
      </c>
      <c r="I152" s="5">
        <v>44621</v>
      </c>
      <c r="J152" s="6">
        <v>0</v>
      </c>
      <c r="K152" s="6">
        <v>0</v>
      </c>
      <c r="L152" s="6">
        <v>0.106</v>
      </c>
      <c r="M152" s="6">
        <v>0.106</v>
      </c>
      <c r="N152" s="6">
        <v>0.106</v>
      </c>
      <c r="O152" s="6">
        <v>0.106</v>
      </c>
      <c r="P152" s="6">
        <v>8</v>
      </c>
      <c r="Q152" s="4" t="s">
        <v>26</v>
      </c>
      <c r="R152" s="4">
        <v>0</v>
      </c>
      <c r="S152" s="6">
        <v>0</v>
      </c>
      <c r="T152" s="6">
        <v>29</v>
      </c>
      <c r="U152" s="6">
        <v>66</v>
      </c>
      <c r="V152" s="6">
        <f>IF(ISERROR(VLOOKUP($S$152,'TAR FIN'!$A$1:$O$85,15,0)),0,VLOOKUP($S$152,'TAR FIN'!$A$1:$O$85,15,0))</f>
        <v>0</v>
      </c>
      <c r="W152" s="6">
        <f>IF(ISERROR(VLOOKUP($T$152,'TAR FIN'!$A$1:$O$85,15,0)),0,VLOOKUP($T$152,'TAR FIN'!$A$1:$O$85,15,0))</f>
        <v>448.29</v>
      </c>
      <c r="X152" s="6">
        <f>IF(ISERROR(VLOOKUP($U$152,'TAR FIN'!$A$1:$O$85,15,0)),0,VLOOKUP($U$152,'TAR FIN'!$A$1:$O$85,15,0))</f>
        <v>221.63</v>
      </c>
      <c r="Y152" s="6"/>
      <c r="Z152" s="6">
        <f ca="1">('TUSD BE'!$AM$33+'TUSD BF'!$AM$33+'TUSD CVA'!$AM$33)*(1-CUSTOS!$M$38)</f>
        <v>618.4724353141047</v>
      </c>
      <c r="AA152" s="6">
        <f>('TE BE'!$AA$24+'TE BF'!$AA$24+'TE CVA'!$AA$24)*(1-CUSTOS!$M$38)</f>
        <v>241.29063495745513</v>
      </c>
      <c r="AB152" s="6">
        <f>$K$152*$V$152</f>
        <v>0</v>
      </c>
      <c r="AC152" s="6">
        <f>$M$152*$W$152</f>
        <v>47.518740000000001</v>
      </c>
      <c r="AD152" s="6">
        <f>$O$152*$X$152</f>
        <v>23.49278</v>
      </c>
      <c r="AE152" s="6">
        <f>$K$152*$Y$152</f>
        <v>0</v>
      </c>
      <c r="AF152" s="6">
        <f ca="1">$M$152*$Z$152</f>
        <v>65.558078143295091</v>
      </c>
      <c r="AG152" s="6">
        <f>$O$152*$AA$152</f>
        <v>25.576807305490242</v>
      </c>
    </row>
    <row r="153" spans="1:33" ht="11.25" customHeight="1" x14ac:dyDescent="0.25">
      <c r="A153" s="4" t="s">
        <v>21</v>
      </c>
      <c r="B153" s="4" t="s">
        <v>41</v>
      </c>
      <c r="C153" s="4" t="s">
        <v>39</v>
      </c>
      <c r="D153" s="4" t="s">
        <v>42</v>
      </c>
      <c r="E153" s="4" t="s">
        <v>25</v>
      </c>
      <c r="F153" s="4" t="s">
        <v>25</v>
      </c>
      <c r="G153" s="4" t="s">
        <v>25</v>
      </c>
      <c r="H153" s="4" t="s">
        <v>25</v>
      </c>
      <c r="I153" s="5">
        <v>44652</v>
      </c>
      <c r="J153" s="6">
        <v>0</v>
      </c>
      <c r="K153" s="6">
        <v>0</v>
      </c>
      <c r="L153" s="6">
        <v>0.184</v>
      </c>
      <c r="M153" s="6">
        <v>0.184</v>
      </c>
      <c r="N153" s="6">
        <v>0.184</v>
      </c>
      <c r="O153" s="6">
        <v>0.184</v>
      </c>
      <c r="P153" s="6">
        <v>8</v>
      </c>
      <c r="Q153" s="4" t="s">
        <v>26</v>
      </c>
      <c r="R153" s="4">
        <v>0</v>
      </c>
      <c r="S153" s="6">
        <v>0</v>
      </c>
      <c r="T153" s="6">
        <v>29</v>
      </c>
      <c r="U153" s="6">
        <v>66</v>
      </c>
      <c r="V153" s="6">
        <f>IF(ISERROR(VLOOKUP($S$153,'TAR FIN'!$A$1:$O$85,15,0)),0,VLOOKUP($S$153,'TAR FIN'!$A$1:$O$85,15,0))</f>
        <v>0</v>
      </c>
      <c r="W153" s="6">
        <f>IF(ISERROR(VLOOKUP($T$153,'TAR FIN'!$A$1:$O$85,15,0)),0,VLOOKUP($T$153,'TAR FIN'!$A$1:$O$85,15,0))</f>
        <v>448.29</v>
      </c>
      <c r="X153" s="6">
        <f>IF(ISERROR(VLOOKUP($U$153,'TAR FIN'!$A$1:$O$85,15,0)),0,VLOOKUP($U$153,'TAR FIN'!$A$1:$O$85,15,0))</f>
        <v>221.63</v>
      </c>
      <c r="Y153" s="6"/>
      <c r="Z153" s="6">
        <f ca="1">('TUSD BE'!$AM$33+'TUSD BF'!$AM$33+'TUSD CVA'!$AM$33)*(1-CUSTOS!$M$38)</f>
        <v>618.4724353141047</v>
      </c>
      <c r="AA153" s="6">
        <f>('TE BE'!$AA$24+'TE BF'!$AA$24+'TE CVA'!$AA$24)*(1-CUSTOS!$M$38)</f>
        <v>241.29063495745513</v>
      </c>
      <c r="AB153" s="6">
        <f>$K$153*$V$153</f>
        <v>0</v>
      </c>
      <c r="AC153" s="6">
        <f>$M$153*$W$153</f>
        <v>82.48536</v>
      </c>
      <c r="AD153" s="6">
        <f>$O$153*$X$153</f>
        <v>40.779919999999997</v>
      </c>
      <c r="AE153" s="6">
        <f>$K$153*$Y$153</f>
        <v>0</v>
      </c>
      <c r="AF153" s="6">
        <f ca="1">$M$153*$Z$153</f>
        <v>113.79892809779527</v>
      </c>
      <c r="AG153" s="6">
        <f>$O$153*$AA$153</f>
        <v>44.397476832171741</v>
      </c>
    </row>
    <row r="154" spans="1:33" ht="11.25" customHeight="1" x14ac:dyDescent="0.25">
      <c r="A154" s="4" t="s">
        <v>21</v>
      </c>
      <c r="B154" s="4" t="s">
        <v>41</v>
      </c>
      <c r="C154" s="4" t="s">
        <v>39</v>
      </c>
      <c r="D154" s="4" t="s">
        <v>42</v>
      </c>
      <c r="E154" s="4" t="s">
        <v>25</v>
      </c>
      <c r="F154" s="4" t="s">
        <v>25</v>
      </c>
      <c r="G154" s="4" t="s">
        <v>25</v>
      </c>
      <c r="H154" s="4" t="s">
        <v>36</v>
      </c>
      <c r="I154" s="5">
        <v>44317</v>
      </c>
      <c r="J154" s="6">
        <v>0</v>
      </c>
      <c r="K154" s="6">
        <v>0</v>
      </c>
      <c r="L154" s="6">
        <v>0.03</v>
      </c>
      <c r="M154" s="6">
        <v>0.03</v>
      </c>
      <c r="N154" s="6">
        <v>0.03</v>
      </c>
      <c r="O154" s="6">
        <v>0.03</v>
      </c>
      <c r="P154" s="6">
        <v>0</v>
      </c>
      <c r="Q154" s="4" t="s">
        <v>26</v>
      </c>
      <c r="R154" s="4">
        <v>0</v>
      </c>
      <c r="S154" s="6">
        <v>0</v>
      </c>
      <c r="T154" s="6">
        <v>26</v>
      </c>
      <c r="U154" s="6">
        <v>63</v>
      </c>
      <c r="V154" s="6">
        <f>IF(ISERROR(VLOOKUP($S$154,'TAR FIN'!$A$1:$O$85,15,0)),0,VLOOKUP($S$154,'TAR FIN'!$A$1:$O$85,15,0))</f>
        <v>0</v>
      </c>
      <c r="W154" s="6">
        <f>IF(ISERROR(VLOOKUP($T$154,'TAR FIN'!$A$1:$O$85,15,0)),0,VLOOKUP($T$154,'TAR FIN'!$A$1:$O$85,15,0))</f>
        <v>1091.18</v>
      </c>
      <c r="X154" s="6">
        <f>IF(ISERROR(VLOOKUP($U$154,'TAR FIN'!$A$1:$O$85,15,0)),0,VLOOKUP($U$154,'TAR FIN'!$A$1:$O$85,15,0))</f>
        <v>221.63</v>
      </c>
      <c r="Y154" s="6"/>
      <c r="Z154" s="6">
        <f ca="1">('TUSD BE'!$AM$30+'TUSD BF'!$AM$30+'TUSD CVA'!$AM$30)*(1-CUSTOS!$M$38)</f>
        <v>1500.0471359540827</v>
      </c>
      <c r="AA154" s="6">
        <f>('TE BE'!$AA$21+'TE BF'!$AA$21+'TE CVA'!$AA$21)*(1-CUSTOS!$M$38)</f>
        <v>241.29063495745513</v>
      </c>
      <c r="AB154" s="6">
        <f>$K$154*$V$154</f>
        <v>0</v>
      </c>
      <c r="AC154" s="6">
        <f>$M$154*$W$154</f>
        <v>32.735399999999998</v>
      </c>
      <c r="AD154" s="6">
        <f>$O$154*$X$154</f>
        <v>6.6488999999999994</v>
      </c>
      <c r="AE154" s="6">
        <f>$K$154*$Y$154</f>
        <v>0</v>
      </c>
      <c r="AF154" s="6">
        <f ca="1">$M$154*$Z$154</f>
        <v>45.001414078622481</v>
      </c>
      <c r="AG154" s="6">
        <f>$O$154*$AA$154</f>
        <v>7.2387190487236532</v>
      </c>
    </row>
    <row r="155" spans="1:33" ht="11.25" customHeight="1" x14ac:dyDescent="0.25">
      <c r="A155" s="4" t="s">
        <v>21</v>
      </c>
      <c r="B155" s="4" t="s">
        <v>41</v>
      </c>
      <c r="C155" s="4" t="s">
        <v>39</v>
      </c>
      <c r="D155" s="4" t="s">
        <v>42</v>
      </c>
      <c r="E155" s="4" t="s">
        <v>25</v>
      </c>
      <c r="F155" s="4" t="s">
        <v>25</v>
      </c>
      <c r="G155" s="4" t="s">
        <v>25</v>
      </c>
      <c r="H155" s="4" t="s">
        <v>36</v>
      </c>
      <c r="I155" s="5">
        <v>44348</v>
      </c>
      <c r="J155" s="6">
        <v>0</v>
      </c>
      <c r="K155" s="6">
        <v>0</v>
      </c>
      <c r="L155" s="6">
        <v>0.03</v>
      </c>
      <c r="M155" s="6">
        <v>0.03</v>
      </c>
      <c r="N155" s="6">
        <v>0.03</v>
      </c>
      <c r="O155" s="6">
        <v>0.03</v>
      </c>
      <c r="P155" s="6">
        <v>0</v>
      </c>
      <c r="Q155" s="4" t="s">
        <v>26</v>
      </c>
      <c r="R155" s="4">
        <v>0</v>
      </c>
      <c r="S155" s="6">
        <v>0</v>
      </c>
      <c r="T155" s="6">
        <v>26</v>
      </c>
      <c r="U155" s="6">
        <v>63</v>
      </c>
      <c r="V155" s="6">
        <f>IF(ISERROR(VLOOKUP($S$155,'TAR FIN'!$A$1:$O$85,15,0)),0,VLOOKUP($S$155,'TAR FIN'!$A$1:$O$85,15,0))</f>
        <v>0</v>
      </c>
      <c r="W155" s="6">
        <f>IF(ISERROR(VLOOKUP($T$155,'TAR FIN'!$A$1:$O$85,15,0)),0,VLOOKUP($T$155,'TAR FIN'!$A$1:$O$85,15,0))</f>
        <v>1091.18</v>
      </c>
      <c r="X155" s="6">
        <f>IF(ISERROR(VLOOKUP($U$155,'TAR FIN'!$A$1:$O$85,15,0)),0,VLOOKUP($U$155,'TAR FIN'!$A$1:$O$85,15,0))</f>
        <v>221.63</v>
      </c>
      <c r="Y155" s="6"/>
      <c r="Z155" s="6">
        <f ca="1">('TUSD BE'!$AM$30+'TUSD BF'!$AM$30+'TUSD CVA'!$AM$30)*(1-CUSTOS!$M$38)</f>
        <v>1500.0471359540827</v>
      </c>
      <c r="AA155" s="6">
        <f>('TE BE'!$AA$21+'TE BF'!$AA$21+'TE CVA'!$AA$21)*(1-CUSTOS!$M$38)</f>
        <v>241.29063495745513</v>
      </c>
      <c r="AB155" s="6">
        <f>$K$155*$V$155</f>
        <v>0</v>
      </c>
      <c r="AC155" s="6">
        <f>$M$155*$W$155</f>
        <v>32.735399999999998</v>
      </c>
      <c r="AD155" s="6">
        <f>$O$155*$X$155</f>
        <v>6.6488999999999994</v>
      </c>
      <c r="AE155" s="6">
        <f>$K$155*$Y$155</f>
        <v>0</v>
      </c>
      <c r="AF155" s="6">
        <f ca="1">$M$155*$Z$155</f>
        <v>45.001414078622481</v>
      </c>
      <c r="AG155" s="6">
        <f>$O$155*$AA$155</f>
        <v>7.2387190487236532</v>
      </c>
    </row>
    <row r="156" spans="1:33" ht="11.25" customHeight="1" x14ac:dyDescent="0.25">
      <c r="A156" s="4" t="s">
        <v>21</v>
      </c>
      <c r="B156" s="4" t="s">
        <v>41</v>
      </c>
      <c r="C156" s="4" t="s">
        <v>39</v>
      </c>
      <c r="D156" s="4" t="s">
        <v>42</v>
      </c>
      <c r="E156" s="4" t="s">
        <v>25</v>
      </c>
      <c r="F156" s="4" t="s">
        <v>25</v>
      </c>
      <c r="G156" s="4" t="s">
        <v>25</v>
      </c>
      <c r="H156" s="4" t="s">
        <v>36</v>
      </c>
      <c r="I156" s="5">
        <v>44378</v>
      </c>
      <c r="J156" s="6">
        <v>0</v>
      </c>
      <c r="K156" s="6">
        <v>0</v>
      </c>
      <c r="L156" s="6">
        <v>2.9000000000000001E-2</v>
      </c>
      <c r="M156" s="6">
        <v>2.9000000000000001E-2</v>
      </c>
      <c r="N156" s="6">
        <v>2.9000000000000001E-2</v>
      </c>
      <c r="O156" s="6">
        <v>2.9000000000000001E-2</v>
      </c>
      <c r="P156" s="6">
        <v>0</v>
      </c>
      <c r="Q156" s="4" t="s">
        <v>26</v>
      </c>
      <c r="R156" s="4">
        <v>0</v>
      </c>
      <c r="S156" s="6">
        <v>0</v>
      </c>
      <c r="T156" s="6">
        <v>26</v>
      </c>
      <c r="U156" s="6">
        <v>63</v>
      </c>
      <c r="V156" s="6">
        <f>IF(ISERROR(VLOOKUP($S$156,'TAR FIN'!$A$1:$O$85,15,0)),0,VLOOKUP($S$156,'TAR FIN'!$A$1:$O$85,15,0))</f>
        <v>0</v>
      </c>
      <c r="W156" s="6">
        <f>IF(ISERROR(VLOOKUP($T$156,'TAR FIN'!$A$1:$O$85,15,0)),0,VLOOKUP($T$156,'TAR FIN'!$A$1:$O$85,15,0))</f>
        <v>1091.18</v>
      </c>
      <c r="X156" s="6">
        <f>IF(ISERROR(VLOOKUP($U$156,'TAR FIN'!$A$1:$O$85,15,0)),0,VLOOKUP($U$156,'TAR FIN'!$A$1:$O$85,15,0))</f>
        <v>221.63</v>
      </c>
      <c r="Y156" s="6"/>
      <c r="Z156" s="6">
        <f ca="1">('TUSD BE'!$AM$30+'TUSD BF'!$AM$30+'TUSD CVA'!$AM$30)*(1-CUSTOS!$M$38)</f>
        <v>1500.0471359540827</v>
      </c>
      <c r="AA156" s="6">
        <f>('TE BE'!$AA$21+'TE BF'!$AA$21+'TE CVA'!$AA$21)*(1-CUSTOS!$M$38)</f>
        <v>241.29063495745513</v>
      </c>
      <c r="AB156" s="6">
        <f>$K$156*$V$156</f>
        <v>0</v>
      </c>
      <c r="AC156" s="6">
        <f>$M$156*$W$156</f>
        <v>31.644220000000004</v>
      </c>
      <c r="AD156" s="6">
        <f>$O$156*$X$156</f>
        <v>6.42727</v>
      </c>
      <c r="AE156" s="6">
        <f>$K$156*$Y$156</f>
        <v>0</v>
      </c>
      <c r="AF156" s="6">
        <f ca="1">$M$156*$Z$156</f>
        <v>43.501366942668398</v>
      </c>
      <c r="AG156" s="6">
        <f>$O$156*$AA$156</f>
        <v>6.9974284137661993</v>
      </c>
    </row>
    <row r="157" spans="1:33" ht="11.25" customHeight="1" x14ac:dyDescent="0.25">
      <c r="A157" s="4" t="s">
        <v>21</v>
      </c>
      <c r="B157" s="4" t="s">
        <v>41</v>
      </c>
      <c r="C157" s="4" t="s">
        <v>39</v>
      </c>
      <c r="D157" s="4" t="s">
        <v>42</v>
      </c>
      <c r="E157" s="4" t="s">
        <v>25</v>
      </c>
      <c r="F157" s="4" t="s">
        <v>25</v>
      </c>
      <c r="G157" s="4" t="s">
        <v>25</v>
      </c>
      <c r="H157" s="4" t="s">
        <v>36</v>
      </c>
      <c r="I157" s="5">
        <v>44409</v>
      </c>
      <c r="J157" s="6">
        <v>0</v>
      </c>
      <c r="K157" s="6">
        <v>0</v>
      </c>
      <c r="L157" s="6">
        <v>0.03</v>
      </c>
      <c r="M157" s="6">
        <v>0.03</v>
      </c>
      <c r="N157" s="6">
        <v>0.03</v>
      </c>
      <c r="O157" s="6">
        <v>0.03</v>
      </c>
      <c r="P157" s="6">
        <v>0</v>
      </c>
      <c r="Q157" s="4" t="s">
        <v>26</v>
      </c>
      <c r="R157" s="4">
        <v>0</v>
      </c>
      <c r="S157" s="6">
        <v>0</v>
      </c>
      <c r="T157" s="6">
        <v>26</v>
      </c>
      <c r="U157" s="6">
        <v>63</v>
      </c>
      <c r="V157" s="6">
        <f>IF(ISERROR(VLOOKUP($S$157,'TAR FIN'!$A$1:$O$85,15,0)),0,VLOOKUP($S$157,'TAR FIN'!$A$1:$O$85,15,0))</f>
        <v>0</v>
      </c>
      <c r="W157" s="6">
        <f>IF(ISERROR(VLOOKUP($T$157,'TAR FIN'!$A$1:$O$85,15,0)),0,VLOOKUP($T$157,'TAR FIN'!$A$1:$O$85,15,0))</f>
        <v>1091.18</v>
      </c>
      <c r="X157" s="6">
        <f>IF(ISERROR(VLOOKUP($U$157,'TAR FIN'!$A$1:$O$85,15,0)),0,VLOOKUP($U$157,'TAR FIN'!$A$1:$O$85,15,0))</f>
        <v>221.63</v>
      </c>
      <c r="Y157" s="6"/>
      <c r="Z157" s="6">
        <f ca="1">('TUSD BE'!$AM$30+'TUSD BF'!$AM$30+'TUSD CVA'!$AM$30)*(1-CUSTOS!$M$38)</f>
        <v>1500.0471359540827</v>
      </c>
      <c r="AA157" s="6">
        <f>('TE BE'!$AA$21+'TE BF'!$AA$21+'TE CVA'!$AA$21)*(1-CUSTOS!$M$38)</f>
        <v>241.29063495745513</v>
      </c>
      <c r="AB157" s="6">
        <f>$K$157*$V$157</f>
        <v>0</v>
      </c>
      <c r="AC157" s="6">
        <f>$M$157*$W$157</f>
        <v>32.735399999999998</v>
      </c>
      <c r="AD157" s="6">
        <f>$O$157*$X$157</f>
        <v>6.6488999999999994</v>
      </c>
      <c r="AE157" s="6">
        <f>$K$157*$Y$157</f>
        <v>0</v>
      </c>
      <c r="AF157" s="6">
        <f ca="1">$M$157*$Z$157</f>
        <v>45.001414078622481</v>
      </c>
      <c r="AG157" s="6">
        <f>$O$157*$AA$157</f>
        <v>7.2387190487236532</v>
      </c>
    </row>
    <row r="158" spans="1:33" ht="11.25" customHeight="1" x14ac:dyDescent="0.25">
      <c r="A158" s="4" t="s">
        <v>21</v>
      </c>
      <c r="B158" s="4" t="s">
        <v>41</v>
      </c>
      <c r="C158" s="4" t="s">
        <v>39</v>
      </c>
      <c r="D158" s="4" t="s">
        <v>42</v>
      </c>
      <c r="E158" s="4" t="s">
        <v>25</v>
      </c>
      <c r="F158" s="4" t="s">
        <v>25</v>
      </c>
      <c r="G158" s="4" t="s">
        <v>25</v>
      </c>
      <c r="H158" s="4" t="s">
        <v>36</v>
      </c>
      <c r="I158" s="5">
        <v>44440</v>
      </c>
      <c r="J158" s="6">
        <v>0</v>
      </c>
      <c r="K158" s="6">
        <v>0</v>
      </c>
      <c r="L158" s="6">
        <v>2.8000000000000001E-2</v>
      </c>
      <c r="M158" s="6">
        <v>2.8000000000000001E-2</v>
      </c>
      <c r="N158" s="6">
        <v>2.8000000000000001E-2</v>
      </c>
      <c r="O158" s="6">
        <v>2.8000000000000001E-2</v>
      </c>
      <c r="P158" s="6">
        <v>0</v>
      </c>
      <c r="Q158" s="4" t="s">
        <v>26</v>
      </c>
      <c r="R158" s="4">
        <v>0</v>
      </c>
      <c r="S158" s="6">
        <v>0</v>
      </c>
      <c r="T158" s="6">
        <v>26</v>
      </c>
      <c r="U158" s="6">
        <v>63</v>
      </c>
      <c r="V158" s="6">
        <f>IF(ISERROR(VLOOKUP($S$158,'TAR FIN'!$A$1:$O$85,15,0)),0,VLOOKUP($S$158,'TAR FIN'!$A$1:$O$85,15,0))</f>
        <v>0</v>
      </c>
      <c r="W158" s="6">
        <f>IF(ISERROR(VLOOKUP($T$158,'TAR FIN'!$A$1:$O$85,15,0)),0,VLOOKUP($T$158,'TAR FIN'!$A$1:$O$85,15,0))</f>
        <v>1091.18</v>
      </c>
      <c r="X158" s="6">
        <f>IF(ISERROR(VLOOKUP($U$158,'TAR FIN'!$A$1:$O$85,15,0)),0,VLOOKUP($U$158,'TAR FIN'!$A$1:$O$85,15,0))</f>
        <v>221.63</v>
      </c>
      <c r="Y158" s="6"/>
      <c r="Z158" s="6">
        <f ca="1">('TUSD BE'!$AM$30+'TUSD BF'!$AM$30+'TUSD CVA'!$AM$30)*(1-CUSTOS!$M$38)</f>
        <v>1500.0471359540827</v>
      </c>
      <c r="AA158" s="6">
        <f>('TE BE'!$AA$21+'TE BF'!$AA$21+'TE CVA'!$AA$21)*(1-CUSTOS!$M$38)</f>
        <v>241.29063495745513</v>
      </c>
      <c r="AB158" s="6">
        <f>$K$158*$V$158</f>
        <v>0</v>
      </c>
      <c r="AC158" s="6">
        <f>$M$158*$W$158</f>
        <v>30.553040000000003</v>
      </c>
      <c r="AD158" s="6">
        <f>$O$158*$X$158</f>
        <v>6.2056399999999998</v>
      </c>
      <c r="AE158" s="6">
        <f>$K$158*$Y$158</f>
        <v>0</v>
      </c>
      <c r="AF158" s="6">
        <f ca="1">$M$158*$Z$158</f>
        <v>42.001319806714314</v>
      </c>
      <c r="AG158" s="6">
        <f>$O$158*$AA$158</f>
        <v>6.7561377788087436</v>
      </c>
    </row>
    <row r="159" spans="1:33" ht="11.25" customHeight="1" x14ac:dyDescent="0.25">
      <c r="A159" s="4" t="s">
        <v>21</v>
      </c>
      <c r="B159" s="4" t="s">
        <v>41</v>
      </c>
      <c r="C159" s="4" t="s">
        <v>39</v>
      </c>
      <c r="D159" s="4" t="s">
        <v>42</v>
      </c>
      <c r="E159" s="4" t="s">
        <v>25</v>
      </c>
      <c r="F159" s="4" t="s">
        <v>25</v>
      </c>
      <c r="G159" s="4" t="s">
        <v>25</v>
      </c>
      <c r="H159" s="4" t="s">
        <v>36</v>
      </c>
      <c r="I159" s="5">
        <v>44470</v>
      </c>
      <c r="J159" s="6">
        <v>0</v>
      </c>
      <c r="K159" s="6">
        <v>0</v>
      </c>
      <c r="L159" s="6">
        <v>1.4E-2</v>
      </c>
      <c r="M159" s="6">
        <v>1.4E-2</v>
      </c>
      <c r="N159" s="6">
        <v>1.4E-2</v>
      </c>
      <c r="O159" s="6">
        <v>1.4E-2</v>
      </c>
      <c r="P159" s="6">
        <v>0</v>
      </c>
      <c r="Q159" s="4" t="s">
        <v>26</v>
      </c>
      <c r="R159" s="4">
        <v>0</v>
      </c>
      <c r="S159" s="6">
        <v>0</v>
      </c>
      <c r="T159" s="6">
        <v>26</v>
      </c>
      <c r="U159" s="6">
        <v>63</v>
      </c>
      <c r="V159" s="6">
        <f>IF(ISERROR(VLOOKUP($S$159,'TAR FIN'!$A$1:$O$85,15,0)),0,VLOOKUP($S$159,'TAR FIN'!$A$1:$O$85,15,0))</f>
        <v>0</v>
      </c>
      <c r="W159" s="6">
        <f>IF(ISERROR(VLOOKUP($T$159,'TAR FIN'!$A$1:$O$85,15,0)),0,VLOOKUP($T$159,'TAR FIN'!$A$1:$O$85,15,0))</f>
        <v>1091.18</v>
      </c>
      <c r="X159" s="6">
        <f>IF(ISERROR(VLOOKUP($U$159,'TAR FIN'!$A$1:$O$85,15,0)),0,VLOOKUP($U$159,'TAR FIN'!$A$1:$O$85,15,0))</f>
        <v>221.63</v>
      </c>
      <c r="Y159" s="6"/>
      <c r="Z159" s="6">
        <f ca="1">('TUSD BE'!$AM$30+'TUSD BF'!$AM$30+'TUSD CVA'!$AM$30)*(1-CUSTOS!$M$38)</f>
        <v>1500.0471359540827</v>
      </c>
      <c r="AA159" s="6">
        <f>('TE BE'!$AA$21+'TE BF'!$AA$21+'TE CVA'!$AA$21)*(1-CUSTOS!$M$38)</f>
        <v>241.29063495745513</v>
      </c>
      <c r="AB159" s="6">
        <f>$K$159*$V$159</f>
        <v>0</v>
      </c>
      <c r="AC159" s="6">
        <f>$M$159*$W$159</f>
        <v>15.276520000000001</v>
      </c>
      <c r="AD159" s="6">
        <f>$O$159*$X$159</f>
        <v>3.1028199999999999</v>
      </c>
      <c r="AE159" s="6">
        <f>$K$159*$Y$159</f>
        <v>0</v>
      </c>
      <c r="AF159" s="6">
        <f ca="1">$M$159*$Z$159</f>
        <v>21.000659903357157</v>
      </c>
      <c r="AG159" s="6">
        <f>$O$159*$AA$159</f>
        <v>3.3780688894043718</v>
      </c>
    </row>
    <row r="160" spans="1:33" ht="11.25" customHeight="1" x14ac:dyDescent="0.25">
      <c r="A160" s="4" t="s">
        <v>21</v>
      </c>
      <c r="B160" s="4" t="s">
        <v>41</v>
      </c>
      <c r="C160" s="4" t="s">
        <v>39</v>
      </c>
      <c r="D160" s="4" t="s">
        <v>42</v>
      </c>
      <c r="E160" s="4" t="s">
        <v>25</v>
      </c>
      <c r="F160" s="4" t="s">
        <v>25</v>
      </c>
      <c r="G160" s="4" t="s">
        <v>25</v>
      </c>
      <c r="H160" s="4" t="s">
        <v>36</v>
      </c>
      <c r="I160" s="5">
        <v>44501</v>
      </c>
      <c r="J160" s="6">
        <v>0</v>
      </c>
      <c r="K160" s="6">
        <v>0</v>
      </c>
      <c r="L160" s="6">
        <v>0.01</v>
      </c>
      <c r="M160" s="6">
        <v>0.01</v>
      </c>
      <c r="N160" s="6">
        <v>0.01</v>
      </c>
      <c r="O160" s="6">
        <v>0.01</v>
      </c>
      <c r="P160" s="6">
        <v>0</v>
      </c>
      <c r="Q160" s="4" t="s">
        <v>26</v>
      </c>
      <c r="R160" s="4">
        <v>0</v>
      </c>
      <c r="S160" s="6">
        <v>0</v>
      </c>
      <c r="T160" s="6">
        <v>26</v>
      </c>
      <c r="U160" s="6">
        <v>63</v>
      </c>
      <c r="V160" s="6">
        <f>IF(ISERROR(VLOOKUP($S$160,'TAR FIN'!$A$1:$O$85,15,0)),0,VLOOKUP($S$160,'TAR FIN'!$A$1:$O$85,15,0))</f>
        <v>0</v>
      </c>
      <c r="W160" s="6">
        <f>IF(ISERROR(VLOOKUP($T$160,'TAR FIN'!$A$1:$O$85,15,0)),0,VLOOKUP($T$160,'TAR FIN'!$A$1:$O$85,15,0))</f>
        <v>1091.18</v>
      </c>
      <c r="X160" s="6">
        <f>IF(ISERROR(VLOOKUP($U$160,'TAR FIN'!$A$1:$O$85,15,0)),0,VLOOKUP($U$160,'TAR FIN'!$A$1:$O$85,15,0))</f>
        <v>221.63</v>
      </c>
      <c r="Y160" s="6"/>
      <c r="Z160" s="6">
        <f ca="1">('TUSD BE'!$AM$30+'TUSD BF'!$AM$30+'TUSD CVA'!$AM$30)*(1-CUSTOS!$M$38)</f>
        <v>1500.0471359540827</v>
      </c>
      <c r="AA160" s="6">
        <f>('TE BE'!$AA$21+'TE BF'!$AA$21+'TE CVA'!$AA$21)*(1-CUSTOS!$M$38)</f>
        <v>241.29063495745513</v>
      </c>
      <c r="AB160" s="6">
        <f>$K$160*$V$160</f>
        <v>0</v>
      </c>
      <c r="AC160" s="6">
        <f>$M$160*$W$160</f>
        <v>10.911800000000001</v>
      </c>
      <c r="AD160" s="6">
        <f>$O$160*$X$160</f>
        <v>2.2162999999999999</v>
      </c>
      <c r="AE160" s="6">
        <f>$K$160*$Y$160</f>
        <v>0</v>
      </c>
      <c r="AF160" s="6">
        <f ca="1">$M$160*$Z$160</f>
        <v>15.000471359540827</v>
      </c>
      <c r="AG160" s="6">
        <f>$O$160*$AA$160</f>
        <v>2.4129063495745515</v>
      </c>
    </row>
    <row r="161" spans="1:33" ht="11.25" customHeight="1" x14ac:dyDescent="0.25">
      <c r="A161" s="4" t="s">
        <v>21</v>
      </c>
      <c r="B161" s="4" t="s">
        <v>41</v>
      </c>
      <c r="C161" s="4" t="s">
        <v>39</v>
      </c>
      <c r="D161" s="4" t="s">
        <v>42</v>
      </c>
      <c r="E161" s="4" t="s">
        <v>25</v>
      </c>
      <c r="F161" s="4" t="s">
        <v>25</v>
      </c>
      <c r="G161" s="4" t="s">
        <v>25</v>
      </c>
      <c r="H161" s="4" t="s">
        <v>36</v>
      </c>
      <c r="I161" s="5">
        <v>44531</v>
      </c>
      <c r="J161" s="6">
        <v>0</v>
      </c>
      <c r="K161" s="6">
        <v>0</v>
      </c>
      <c r="L161" s="6">
        <v>2.7E-2</v>
      </c>
      <c r="M161" s="6">
        <v>2.7E-2</v>
      </c>
      <c r="N161" s="6">
        <v>2.7E-2</v>
      </c>
      <c r="O161" s="6">
        <v>2.7E-2</v>
      </c>
      <c r="P161" s="6">
        <v>0</v>
      </c>
      <c r="Q161" s="4" t="s">
        <v>26</v>
      </c>
      <c r="R161" s="4">
        <v>0</v>
      </c>
      <c r="S161" s="6">
        <v>0</v>
      </c>
      <c r="T161" s="6">
        <v>26</v>
      </c>
      <c r="U161" s="6">
        <v>63</v>
      </c>
      <c r="V161" s="6">
        <f>IF(ISERROR(VLOOKUP($S$161,'TAR FIN'!$A$1:$O$85,15,0)),0,VLOOKUP($S$161,'TAR FIN'!$A$1:$O$85,15,0))</f>
        <v>0</v>
      </c>
      <c r="W161" s="6">
        <f>IF(ISERROR(VLOOKUP($T$161,'TAR FIN'!$A$1:$O$85,15,0)),0,VLOOKUP($T$161,'TAR FIN'!$A$1:$O$85,15,0))</f>
        <v>1091.18</v>
      </c>
      <c r="X161" s="6">
        <f>IF(ISERROR(VLOOKUP($U$161,'TAR FIN'!$A$1:$O$85,15,0)),0,VLOOKUP($U$161,'TAR FIN'!$A$1:$O$85,15,0))</f>
        <v>221.63</v>
      </c>
      <c r="Y161" s="6"/>
      <c r="Z161" s="6">
        <f ca="1">('TUSD BE'!$AM$30+'TUSD BF'!$AM$30+'TUSD CVA'!$AM$30)*(1-CUSTOS!$M$38)</f>
        <v>1500.0471359540827</v>
      </c>
      <c r="AA161" s="6">
        <f>('TE BE'!$AA$21+'TE BF'!$AA$21+'TE CVA'!$AA$21)*(1-CUSTOS!$M$38)</f>
        <v>241.29063495745513</v>
      </c>
      <c r="AB161" s="6">
        <f>$K$161*$V$161</f>
        <v>0</v>
      </c>
      <c r="AC161" s="6">
        <f>$M$161*$W$161</f>
        <v>29.461860000000001</v>
      </c>
      <c r="AD161" s="6">
        <f>$O$161*$X$161</f>
        <v>5.9840099999999996</v>
      </c>
      <c r="AE161" s="6">
        <f>$K$161*$Y$161</f>
        <v>0</v>
      </c>
      <c r="AF161" s="6">
        <f ca="1">$M$161*$Z$161</f>
        <v>40.50127267076023</v>
      </c>
      <c r="AG161" s="6">
        <f>$O$161*$AA$161</f>
        <v>6.5148471438512887</v>
      </c>
    </row>
    <row r="162" spans="1:33" ht="11.25" customHeight="1" x14ac:dyDescent="0.25">
      <c r="A162" s="4" t="s">
        <v>21</v>
      </c>
      <c r="B162" s="4" t="s">
        <v>41</v>
      </c>
      <c r="C162" s="4" t="s">
        <v>39</v>
      </c>
      <c r="D162" s="4" t="s">
        <v>42</v>
      </c>
      <c r="E162" s="4" t="s">
        <v>25</v>
      </c>
      <c r="F162" s="4" t="s">
        <v>25</v>
      </c>
      <c r="G162" s="4" t="s">
        <v>25</v>
      </c>
      <c r="H162" s="4" t="s">
        <v>36</v>
      </c>
      <c r="I162" s="5">
        <v>44562</v>
      </c>
      <c r="J162" s="6">
        <v>0</v>
      </c>
      <c r="K162" s="6">
        <v>0</v>
      </c>
      <c r="L162" s="6">
        <v>4.2000000000000003E-2</v>
      </c>
      <c r="M162" s="6">
        <v>4.2000000000000003E-2</v>
      </c>
      <c r="N162" s="6">
        <v>4.2000000000000003E-2</v>
      </c>
      <c r="O162" s="6">
        <v>4.2000000000000003E-2</v>
      </c>
      <c r="P162" s="6">
        <v>0</v>
      </c>
      <c r="Q162" s="4" t="s">
        <v>26</v>
      </c>
      <c r="R162" s="4">
        <v>0</v>
      </c>
      <c r="S162" s="6">
        <v>0</v>
      </c>
      <c r="T162" s="6">
        <v>26</v>
      </c>
      <c r="U162" s="6">
        <v>63</v>
      </c>
      <c r="V162" s="6">
        <f>IF(ISERROR(VLOOKUP($S$162,'TAR FIN'!$A$1:$O$85,15,0)),0,VLOOKUP($S$162,'TAR FIN'!$A$1:$O$85,15,0))</f>
        <v>0</v>
      </c>
      <c r="W162" s="6">
        <f>IF(ISERROR(VLOOKUP($T$162,'TAR FIN'!$A$1:$O$85,15,0)),0,VLOOKUP($T$162,'TAR FIN'!$A$1:$O$85,15,0))</f>
        <v>1091.18</v>
      </c>
      <c r="X162" s="6">
        <f>IF(ISERROR(VLOOKUP($U$162,'TAR FIN'!$A$1:$O$85,15,0)),0,VLOOKUP($U$162,'TAR FIN'!$A$1:$O$85,15,0))</f>
        <v>221.63</v>
      </c>
      <c r="Y162" s="6"/>
      <c r="Z162" s="6">
        <f ca="1">('TUSD BE'!$AM$30+'TUSD BF'!$AM$30+'TUSD CVA'!$AM$30)*(1-CUSTOS!$M$38)</f>
        <v>1500.0471359540827</v>
      </c>
      <c r="AA162" s="6">
        <f>('TE BE'!$AA$21+'TE BF'!$AA$21+'TE CVA'!$AA$21)*(1-CUSTOS!$M$38)</f>
        <v>241.29063495745513</v>
      </c>
      <c r="AB162" s="6">
        <f>$K$162*$V$162</f>
        <v>0</v>
      </c>
      <c r="AC162" s="6">
        <f>$M$162*$W$162</f>
        <v>45.829560000000008</v>
      </c>
      <c r="AD162" s="6">
        <f>$O$162*$X$162</f>
        <v>9.3084600000000002</v>
      </c>
      <c r="AE162" s="6">
        <f>$K$162*$Y$162</f>
        <v>0</v>
      </c>
      <c r="AF162" s="6">
        <f ca="1">$M$162*$Z$162</f>
        <v>63.001979710071474</v>
      </c>
      <c r="AG162" s="6">
        <f>$O$162*$AA$162</f>
        <v>10.134206668213116</v>
      </c>
    </row>
    <row r="163" spans="1:33" ht="11.25" customHeight="1" x14ac:dyDescent="0.25">
      <c r="A163" s="4" t="s">
        <v>21</v>
      </c>
      <c r="B163" s="4" t="s">
        <v>41</v>
      </c>
      <c r="C163" s="4" t="s">
        <v>39</v>
      </c>
      <c r="D163" s="4" t="s">
        <v>42</v>
      </c>
      <c r="E163" s="4" t="s">
        <v>25</v>
      </c>
      <c r="F163" s="4" t="s">
        <v>25</v>
      </c>
      <c r="G163" s="4" t="s">
        <v>25</v>
      </c>
      <c r="H163" s="4" t="s">
        <v>36</v>
      </c>
      <c r="I163" s="5">
        <v>44593</v>
      </c>
      <c r="J163" s="6">
        <v>0</v>
      </c>
      <c r="K163" s="6">
        <v>0</v>
      </c>
      <c r="L163" s="6">
        <v>3.6999999999999998E-2</v>
      </c>
      <c r="M163" s="6">
        <v>3.6999999999999998E-2</v>
      </c>
      <c r="N163" s="6">
        <v>3.6999999999999998E-2</v>
      </c>
      <c r="O163" s="6">
        <v>3.6999999999999998E-2</v>
      </c>
      <c r="P163" s="6">
        <v>0</v>
      </c>
      <c r="Q163" s="4" t="s">
        <v>26</v>
      </c>
      <c r="R163" s="4">
        <v>0</v>
      </c>
      <c r="S163" s="6">
        <v>0</v>
      </c>
      <c r="T163" s="6">
        <v>26</v>
      </c>
      <c r="U163" s="6">
        <v>63</v>
      </c>
      <c r="V163" s="6">
        <f>IF(ISERROR(VLOOKUP($S$163,'TAR FIN'!$A$1:$O$85,15,0)),0,VLOOKUP($S$163,'TAR FIN'!$A$1:$O$85,15,0))</f>
        <v>0</v>
      </c>
      <c r="W163" s="6">
        <f>IF(ISERROR(VLOOKUP($T$163,'TAR FIN'!$A$1:$O$85,15,0)),0,VLOOKUP($T$163,'TAR FIN'!$A$1:$O$85,15,0))</f>
        <v>1091.18</v>
      </c>
      <c r="X163" s="6">
        <f>IF(ISERROR(VLOOKUP($U$163,'TAR FIN'!$A$1:$O$85,15,0)),0,VLOOKUP($U$163,'TAR FIN'!$A$1:$O$85,15,0))</f>
        <v>221.63</v>
      </c>
      <c r="Y163" s="6"/>
      <c r="Z163" s="6">
        <f ca="1">('TUSD BE'!$AM$30+'TUSD BF'!$AM$30+'TUSD CVA'!$AM$30)*(1-CUSTOS!$M$38)</f>
        <v>1500.0471359540827</v>
      </c>
      <c r="AA163" s="6">
        <f>('TE BE'!$AA$21+'TE BF'!$AA$21+'TE CVA'!$AA$21)*(1-CUSTOS!$M$38)</f>
        <v>241.29063495745513</v>
      </c>
      <c r="AB163" s="6">
        <f>$K$163*$V$163</f>
        <v>0</v>
      </c>
      <c r="AC163" s="6">
        <f>$M$163*$W$163</f>
        <v>40.373660000000001</v>
      </c>
      <c r="AD163" s="6">
        <f>$O$163*$X$163</f>
        <v>8.20031</v>
      </c>
      <c r="AE163" s="6">
        <f>$K$163*$Y$163</f>
        <v>0</v>
      </c>
      <c r="AF163" s="6">
        <f ca="1">$M$163*$Z$163</f>
        <v>55.501744030301055</v>
      </c>
      <c r="AG163" s="6">
        <f>$O$163*$AA$163</f>
        <v>8.9277534934258398</v>
      </c>
    </row>
    <row r="164" spans="1:33" ht="11.25" customHeight="1" x14ac:dyDescent="0.25">
      <c r="A164" s="4" t="s">
        <v>21</v>
      </c>
      <c r="B164" s="4" t="s">
        <v>41</v>
      </c>
      <c r="C164" s="4" t="s">
        <v>39</v>
      </c>
      <c r="D164" s="4" t="s">
        <v>42</v>
      </c>
      <c r="E164" s="4" t="s">
        <v>25</v>
      </c>
      <c r="F164" s="4" t="s">
        <v>25</v>
      </c>
      <c r="G164" s="4" t="s">
        <v>25</v>
      </c>
      <c r="H164" s="4" t="s">
        <v>36</v>
      </c>
      <c r="I164" s="5">
        <v>44621</v>
      </c>
      <c r="J164" s="6">
        <v>0</v>
      </c>
      <c r="K164" s="6">
        <v>0</v>
      </c>
      <c r="L164" s="6">
        <v>3.6999999999999998E-2</v>
      </c>
      <c r="M164" s="6">
        <v>3.6999999999999998E-2</v>
      </c>
      <c r="N164" s="6">
        <v>3.6999999999999998E-2</v>
      </c>
      <c r="O164" s="6">
        <v>3.6999999999999998E-2</v>
      </c>
      <c r="P164" s="6">
        <v>0</v>
      </c>
      <c r="Q164" s="4" t="s">
        <v>26</v>
      </c>
      <c r="R164" s="4">
        <v>0</v>
      </c>
      <c r="S164" s="6">
        <v>0</v>
      </c>
      <c r="T164" s="6">
        <v>26</v>
      </c>
      <c r="U164" s="6">
        <v>63</v>
      </c>
      <c r="V164" s="6">
        <f>IF(ISERROR(VLOOKUP($S$164,'TAR FIN'!$A$1:$O$85,15,0)),0,VLOOKUP($S$164,'TAR FIN'!$A$1:$O$85,15,0))</f>
        <v>0</v>
      </c>
      <c r="W164" s="6">
        <f>IF(ISERROR(VLOOKUP($T$164,'TAR FIN'!$A$1:$O$85,15,0)),0,VLOOKUP($T$164,'TAR FIN'!$A$1:$O$85,15,0))</f>
        <v>1091.18</v>
      </c>
      <c r="X164" s="6">
        <f>IF(ISERROR(VLOOKUP($U$164,'TAR FIN'!$A$1:$O$85,15,0)),0,VLOOKUP($U$164,'TAR FIN'!$A$1:$O$85,15,0))</f>
        <v>221.63</v>
      </c>
      <c r="Y164" s="6"/>
      <c r="Z164" s="6">
        <f ca="1">('TUSD BE'!$AM$30+'TUSD BF'!$AM$30+'TUSD CVA'!$AM$30)*(1-CUSTOS!$M$38)</f>
        <v>1500.0471359540827</v>
      </c>
      <c r="AA164" s="6">
        <f>('TE BE'!$AA$21+'TE BF'!$AA$21+'TE CVA'!$AA$21)*(1-CUSTOS!$M$38)</f>
        <v>241.29063495745513</v>
      </c>
      <c r="AB164" s="6">
        <f>$K$164*$V$164</f>
        <v>0</v>
      </c>
      <c r="AC164" s="6">
        <f>$M$164*$W$164</f>
        <v>40.373660000000001</v>
      </c>
      <c r="AD164" s="6">
        <f>$O$164*$X$164</f>
        <v>8.20031</v>
      </c>
      <c r="AE164" s="6">
        <f>$K$164*$Y$164</f>
        <v>0</v>
      </c>
      <c r="AF164" s="6">
        <f ca="1">$M$164*$Z$164</f>
        <v>55.501744030301055</v>
      </c>
      <c r="AG164" s="6">
        <f>$O$164*$AA$164</f>
        <v>8.9277534934258398</v>
      </c>
    </row>
    <row r="165" spans="1:33" ht="11.25" customHeight="1" x14ac:dyDescent="0.25">
      <c r="A165" s="4" t="s">
        <v>21</v>
      </c>
      <c r="B165" s="4" t="s">
        <v>41</v>
      </c>
      <c r="C165" s="4" t="s">
        <v>39</v>
      </c>
      <c r="D165" s="4" t="s">
        <v>42</v>
      </c>
      <c r="E165" s="4" t="s">
        <v>25</v>
      </c>
      <c r="F165" s="4" t="s">
        <v>25</v>
      </c>
      <c r="G165" s="4" t="s">
        <v>25</v>
      </c>
      <c r="H165" s="4" t="s">
        <v>36</v>
      </c>
      <c r="I165" s="5">
        <v>44652</v>
      </c>
      <c r="J165" s="6">
        <v>0</v>
      </c>
      <c r="K165" s="6">
        <v>0</v>
      </c>
      <c r="L165" s="6">
        <v>2.7E-2</v>
      </c>
      <c r="M165" s="6">
        <v>2.7E-2</v>
      </c>
      <c r="N165" s="6">
        <v>2.7E-2</v>
      </c>
      <c r="O165" s="6">
        <v>2.7E-2</v>
      </c>
      <c r="P165" s="6">
        <v>0</v>
      </c>
      <c r="Q165" s="4" t="s">
        <v>26</v>
      </c>
      <c r="R165" s="4">
        <v>0</v>
      </c>
      <c r="S165" s="6">
        <v>0</v>
      </c>
      <c r="T165" s="6">
        <v>26</v>
      </c>
      <c r="U165" s="6">
        <v>63</v>
      </c>
      <c r="V165" s="6">
        <f>IF(ISERROR(VLOOKUP($S$165,'TAR FIN'!$A$1:$O$85,15,0)),0,VLOOKUP($S$165,'TAR FIN'!$A$1:$O$85,15,0))</f>
        <v>0</v>
      </c>
      <c r="W165" s="6">
        <f>IF(ISERROR(VLOOKUP($T$165,'TAR FIN'!$A$1:$O$85,15,0)),0,VLOOKUP($T$165,'TAR FIN'!$A$1:$O$85,15,0))</f>
        <v>1091.18</v>
      </c>
      <c r="X165" s="6">
        <f>IF(ISERROR(VLOOKUP($U$165,'TAR FIN'!$A$1:$O$85,15,0)),0,VLOOKUP($U$165,'TAR FIN'!$A$1:$O$85,15,0))</f>
        <v>221.63</v>
      </c>
      <c r="Y165" s="6"/>
      <c r="Z165" s="6">
        <f ca="1">('TUSD BE'!$AM$30+'TUSD BF'!$AM$30+'TUSD CVA'!$AM$30)*(1-CUSTOS!$M$38)</f>
        <v>1500.0471359540827</v>
      </c>
      <c r="AA165" s="6">
        <f>('TE BE'!$AA$21+'TE BF'!$AA$21+'TE CVA'!$AA$21)*(1-CUSTOS!$M$38)</f>
        <v>241.29063495745513</v>
      </c>
      <c r="AB165" s="6">
        <f>$K$165*$V$165</f>
        <v>0</v>
      </c>
      <c r="AC165" s="6">
        <f>$M$165*$W$165</f>
        <v>29.461860000000001</v>
      </c>
      <c r="AD165" s="6">
        <f>$O$165*$X$165</f>
        <v>5.9840099999999996</v>
      </c>
      <c r="AE165" s="6">
        <f>$K$165*$Y$165</f>
        <v>0</v>
      </c>
      <c r="AF165" s="6">
        <f ca="1">$M$165*$Z$165</f>
        <v>40.50127267076023</v>
      </c>
      <c r="AG165" s="6">
        <f>$O$165*$AA$165</f>
        <v>6.5148471438512887</v>
      </c>
    </row>
    <row r="166" spans="1:33" ht="11.25" customHeight="1" x14ac:dyDescent="0.25">
      <c r="A166" s="4" t="s">
        <v>21</v>
      </c>
      <c r="B166" s="4" t="s">
        <v>41</v>
      </c>
      <c r="C166" s="4" t="s">
        <v>23</v>
      </c>
      <c r="D166" s="4" t="s">
        <v>42</v>
      </c>
      <c r="E166" s="4" t="s">
        <v>50</v>
      </c>
      <c r="F166" s="4" t="s">
        <v>51</v>
      </c>
      <c r="G166" s="4" t="s">
        <v>25</v>
      </c>
      <c r="H166" s="4" t="s">
        <v>25</v>
      </c>
      <c r="I166" s="5">
        <v>44317</v>
      </c>
      <c r="J166" s="6">
        <v>0</v>
      </c>
      <c r="K166" s="6">
        <v>0</v>
      </c>
      <c r="L166" s="6">
        <v>1.0669999999999999</v>
      </c>
      <c r="M166" s="6">
        <v>1.0669999999999999</v>
      </c>
      <c r="N166" s="6">
        <v>1.0669999999999999</v>
      </c>
      <c r="O166" s="6">
        <v>1.0669999999999999</v>
      </c>
      <c r="P166" s="6">
        <v>0</v>
      </c>
      <c r="Q166" s="4" t="s">
        <v>26</v>
      </c>
      <c r="R166" s="4">
        <v>0</v>
      </c>
      <c r="S166" s="6">
        <v>0</v>
      </c>
      <c r="T166" s="6">
        <v>29</v>
      </c>
      <c r="U166" s="6">
        <v>66</v>
      </c>
      <c r="V166" s="6">
        <f>IF(ISERROR(VLOOKUP($S$166,'TAR FIN'!$A$1:$O$85,15,0)),0,VLOOKUP($S$166,'TAR FIN'!$A$1:$O$85,15,0))</f>
        <v>0</v>
      </c>
      <c r="W166" s="6">
        <f>IF(ISERROR(VLOOKUP($T$166,'TAR FIN'!$A$1:$O$85,15,0)),0,VLOOKUP($T$166,'TAR FIN'!$A$1:$O$85,15,0))</f>
        <v>448.29</v>
      </c>
      <c r="X166" s="6">
        <f>IF(ISERROR(VLOOKUP($U$166,'TAR FIN'!$A$1:$O$85,15,0)),0,VLOOKUP($U$166,'TAR FIN'!$A$1:$O$85,15,0))</f>
        <v>221.63</v>
      </c>
      <c r="Y166" s="6"/>
      <c r="Z166" s="6">
        <f ca="1">('TUSD BE'!$AM$33+'TUSD BF'!$AM$33+'TUSD CVA'!$AM$33)*(1-CUSTOS!$M$38)</f>
        <v>618.4724353141047</v>
      </c>
      <c r="AA166" s="6">
        <f>('TE BE'!$AA$24+'TE BF'!$AA$24+'TE CVA'!$AA$24)*(1-CUSTOS!$M$38)</f>
        <v>241.29063495745513</v>
      </c>
      <c r="AB166" s="6">
        <f>$K$166*$V$166</f>
        <v>0</v>
      </c>
      <c r="AC166" s="6">
        <f>$M$166*$W$166</f>
        <v>478.32542999999998</v>
      </c>
      <c r="AD166" s="6">
        <f>$O$166*$X$166</f>
        <v>236.47920999999999</v>
      </c>
      <c r="AE166" s="6">
        <f>$K$166*$Y$166</f>
        <v>0</v>
      </c>
      <c r="AF166" s="6">
        <f ca="1">$M$166*$Z$166</f>
        <v>659.91008848014974</v>
      </c>
      <c r="AG166" s="6">
        <f>$O$166*$AA$166</f>
        <v>257.4571074996046</v>
      </c>
    </row>
    <row r="167" spans="1:33" ht="11.25" customHeight="1" x14ac:dyDescent="0.25">
      <c r="A167" s="4" t="s">
        <v>21</v>
      </c>
      <c r="B167" s="4" t="s">
        <v>41</v>
      </c>
      <c r="C167" s="4" t="s">
        <v>23</v>
      </c>
      <c r="D167" s="4" t="s">
        <v>42</v>
      </c>
      <c r="E167" s="4" t="s">
        <v>50</v>
      </c>
      <c r="F167" s="4" t="s">
        <v>51</v>
      </c>
      <c r="G167" s="4" t="s">
        <v>25</v>
      </c>
      <c r="H167" s="4" t="s">
        <v>25</v>
      </c>
      <c r="I167" s="5">
        <v>44348</v>
      </c>
      <c r="J167" s="6">
        <v>0</v>
      </c>
      <c r="K167" s="6">
        <v>0</v>
      </c>
      <c r="L167" s="6">
        <v>1.21</v>
      </c>
      <c r="M167" s="6">
        <v>1.21</v>
      </c>
      <c r="N167" s="6">
        <v>1.21</v>
      </c>
      <c r="O167" s="6">
        <v>1.21</v>
      </c>
      <c r="P167" s="6">
        <v>0</v>
      </c>
      <c r="Q167" s="4" t="s">
        <v>26</v>
      </c>
      <c r="R167" s="4">
        <v>0</v>
      </c>
      <c r="S167" s="6">
        <v>0</v>
      </c>
      <c r="T167" s="6">
        <v>29</v>
      </c>
      <c r="U167" s="6">
        <v>66</v>
      </c>
      <c r="V167" s="6">
        <f>IF(ISERROR(VLOOKUP($S$167,'TAR FIN'!$A$1:$O$85,15,0)),0,VLOOKUP($S$167,'TAR FIN'!$A$1:$O$85,15,0))</f>
        <v>0</v>
      </c>
      <c r="W167" s="6">
        <f>IF(ISERROR(VLOOKUP($T$167,'TAR FIN'!$A$1:$O$85,15,0)),0,VLOOKUP($T$167,'TAR FIN'!$A$1:$O$85,15,0))</f>
        <v>448.29</v>
      </c>
      <c r="X167" s="6">
        <f>IF(ISERROR(VLOOKUP($U$167,'TAR FIN'!$A$1:$O$85,15,0)),0,VLOOKUP($U$167,'TAR FIN'!$A$1:$O$85,15,0))</f>
        <v>221.63</v>
      </c>
      <c r="Y167" s="6"/>
      <c r="Z167" s="6">
        <f ca="1">('TUSD BE'!$AM$33+'TUSD BF'!$AM$33+'TUSD CVA'!$AM$33)*(1-CUSTOS!$M$38)</f>
        <v>618.4724353141047</v>
      </c>
      <c r="AA167" s="6">
        <f>('TE BE'!$AA$24+'TE BF'!$AA$24+'TE CVA'!$AA$24)*(1-CUSTOS!$M$38)</f>
        <v>241.29063495745513</v>
      </c>
      <c r="AB167" s="6">
        <f>$K$167*$V$167</f>
        <v>0</v>
      </c>
      <c r="AC167" s="6">
        <f>$M$167*$W$167</f>
        <v>542.43090000000007</v>
      </c>
      <c r="AD167" s="6">
        <f>$O$167*$X$167</f>
        <v>268.17230000000001</v>
      </c>
      <c r="AE167" s="6">
        <f>$K$167*$Y$167</f>
        <v>0</v>
      </c>
      <c r="AF167" s="6">
        <f ca="1">$M$167*$Z$167</f>
        <v>748.3516467300667</v>
      </c>
      <c r="AG167" s="6">
        <f>$O$167*$AA$167</f>
        <v>291.96166829852069</v>
      </c>
    </row>
    <row r="168" spans="1:33" ht="11.25" customHeight="1" x14ac:dyDescent="0.25">
      <c r="A168" s="4" t="s">
        <v>21</v>
      </c>
      <c r="B168" s="4" t="s">
        <v>41</v>
      </c>
      <c r="C168" s="4" t="s">
        <v>23</v>
      </c>
      <c r="D168" s="4" t="s">
        <v>42</v>
      </c>
      <c r="E168" s="4" t="s">
        <v>50</v>
      </c>
      <c r="F168" s="4" t="s">
        <v>51</v>
      </c>
      <c r="G168" s="4" t="s">
        <v>25</v>
      </c>
      <c r="H168" s="4" t="s">
        <v>25</v>
      </c>
      <c r="I168" s="5">
        <v>44378</v>
      </c>
      <c r="J168" s="6">
        <v>0</v>
      </c>
      <c r="K168" s="6">
        <v>0</v>
      </c>
      <c r="L168" s="6">
        <v>1.7809999999999999</v>
      </c>
      <c r="M168" s="6">
        <v>1.7809999999999999</v>
      </c>
      <c r="N168" s="6">
        <v>1.7809999999999999</v>
      </c>
      <c r="O168" s="6">
        <v>1.7809999999999999</v>
      </c>
      <c r="P168" s="6">
        <v>0</v>
      </c>
      <c r="Q168" s="4" t="s">
        <v>26</v>
      </c>
      <c r="R168" s="4">
        <v>0</v>
      </c>
      <c r="S168" s="6">
        <v>0</v>
      </c>
      <c r="T168" s="6">
        <v>29</v>
      </c>
      <c r="U168" s="6">
        <v>66</v>
      </c>
      <c r="V168" s="6">
        <f>IF(ISERROR(VLOOKUP($S$168,'TAR FIN'!$A$1:$O$85,15,0)),0,VLOOKUP($S$168,'TAR FIN'!$A$1:$O$85,15,0))</f>
        <v>0</v>
      </c>
      <c r="W168" s="6">
        <f>IF(ISERROR(VLOOKUP($T$168,'TAR FIN'!$A$1:$O$85,15,0)),0,VLOOKUP($T$168,'TAR FIN'!$A$1:$O$85,15,0))</f>
        <v>448.29</v>
      </c>
      <c r="X168" s="6">
        <f>IF(ISERROR(VLOOKUP($U$168,'TAR FIN'!$A$1:$O$85,15,0)),0,VLOOKUP($U$168,'TAR FIN'!$A$1:$O$85,15,0))</f>
        <v>221.63</v>
      </c>
      <c r="Y168" s="6"/>
      <c r="Z168" s="6">
        <f ca="1">('TUSD BE'!$AM$33+'TUSD BF'!$AM$33+'TUSD CVA'!$AM$33)*(1-CUSTOS!$M$38)</f>
        <v>618.4724353141047</v>
      </c>
      <c r="AA168" s="6">
        <f>('TE BE'!$AA$24+'TE BF'!$AA$24+'TE CVA'!$AA$24)*(1-CUSTOS!$M$38)</f>
        <v>241.29063495745513</v>
      </c>
      <c r="AB168" s="6">
        <f>$K$168*$V$168</f>
        <v>0</v>
      </c>
      <c r="AC168" s="6">
        <f>$M$168*$W$168</f>
        <v>798.40449000000001</v>
      </c>
      <c r="AD168" s="6">
        <f>$O$168*$X$168</f>
        <v>394.72302999999999</v>
      </c>
      <c r="AE168" s="6">
        <f>$K$168*$Y$168</f>
        <v>0</v>
      </c>
      <c r="AF168" s="6">
        <f ca="1">$M$168*$Z$168</f>
        <v>1101.4994072944205</v>
      </c>
      <c r="AG168" s="6">
        <f>$O$168*$AA$168</f>
        <v>429.73862085922758</v>
      </c>
    </row>
    <row r="169" spans="1:33" ht="11.25" customHeight="1" x14ac:dyDescent="0.25">
      <c r="A169" s="4" t="s">
        <v>21</v>
      </c>
      <c r="B169" s="4" t="s">
        <v>41</v>
      </c>
      <c r="C169" s="4" t="s">
        <v>23</v>
      </c>
      <c r="D169" s="4" t="s">
        <v>42</v>
      </c>
      <c r="E169" s="4" t="s">
        <v>50</v>
      </c>
      <c r="F169" s="4" t="s">
        <v>51</v>
      </c>
      <c r="G169" s="4" t="s">
        <v>25</v>
      </c>
      <c r="H169" s="4" t="s">
        <v>25</v>
      </c>
      <c r="I169" s="5">
        <v>44409</v>
      </c>
      <c r="J169" s="6">
        <v>0</v>
      </c>
      <c r="K169" s="6">
        <v>0</v>
      </c>
      <c r="L169" s="6">
        <v>1.48</v>
      </c>
      <c r="M169" s="6">
        <v>1.48</v>
      </c>
      <c r="N169" s="6">
        <v>1.48</v>
      </c>
      <c r="O169" s="6">
        <v>1.48</v>
      </c>
      <c r="P169" s="6">
        <v>0</v>
      </c>
      <c r="Q169" s="4" t="s">
        <v>26</v>
      </c>
      <c r="R169" s="4">
        <v>0</v>
      </c>
      <c r="S169" s="6">
        <v>0</v>
      </c>
      <c r="T169" s="6">
        <v>29</v>
      </c>
      <c r="U169" s="6">
        <v>66</v>
      </c>
      <c r="V169" s="6">
        <f>IF(ISERROR(VLOOKUP($S$169,'TAR FIN'!$A$1:$O$85,15,0)),0,VLOOKUP($S$169,'TAR FIN'!$A$1:$O$85,15,0))</f>
        <v>0</v>
      </c>
      <c r="W169" s="6">
        <f>IF(ISERROR(VLOOKUP($T$169,'TAR FIN'!$A$1:$O$85,15,0)),0,VLOOKUP($T$169,'TAR FIN'!$A$1:$O$85,15,0))</f>
        <v>448.29</v>
      </c>
      <c r="X169" s="6">
        <f>IF(ISERROR(VLOOKUP($U$169,'TAR FIN'!$A$1:$O$85,15,0)),0,VLOOKUP($U$169,'TAR FIN'!$A$1:$O$85,15,0))</f>
        <v>221.63</v>
      </c>
      <c r="Y169" s="6"/>
      <c r="Z169" s="6">
        <f ca="1">('TUSD BE'!$AM$33+'TUSD BF'!$AM$33+'TUSD CVA'!$AM$33)*(1-CUSTOS!$M$38)</f>
        <v>618.4724353141047</v>
      </c>
      <c r="AA169" s="6">
        <f>('TE BE'!$AA$24+'TE BF'!$AA$24+'TE CVA'!$AA$24)*(1-CUSTOS!$M$38)</f>
        <v>241.29063495745513</v>
      </c>
      <c r="AB169" s="6">
        <f>$K$169*$V$169</f>
        <v>0</v>
      </c>
      <c r="AC169" s="6">
        <f>$M$169*$W$169</f>
        <v>663.4692</v>
      </c>
      <c r="AD169" s="6">
        <f>$O$169*$X$169</f>
        <v>328.01240000000001</v>
      </c>
      <c r="AE169" s="6">
        <f>$K$169*$Y$169</f>
        <v>0</v>
      </c>
      <c r="AF169" s="6">
        <f ca="1">$M$169*$Z$169</f>
        <v>915.33920426487498</v>
      </c>
      <c r="AG169" s="6">
        <f>$O$169*$AA$169</f>
        <v>357.11013973703359</v>
      </c>
    </row>
    <row r="170" spans="1:33" ht="11.25" customHeight="1" x14ac:dyDescent="0.25">
      <c r="A170" s="4" t="s">
        <v>21</v>
      </c>
      <c r="B170" s="4" t="s">
        <v>41</v>
      </c>
      <c r="C170" s="4" t="s">
        <v>23</v>
      </c>
      <c r="D170" s="4" t="s">
        <v>42</v>
      </c>
      <c r="E170" s="4" t="s">
        <v>50</v>
      </c>
      <c r="F170" s="4" t="s">
        <v>51</v>
      </c>
      <c r="G170" s="4" t="s">
        <v>25</v>
      </c>
      <c r="H170" s="4" t="s">
        <v>25</v>
      </c>
      <c r="I170" s="5">
        <v>44440</v>
      </c>
      <c r="J170" s="6">
        <v>0</v>
      </c>
      <c r="K170" s="6">
        <v>0</v>
      </c>
      <c r="L170" s="6">
        <v>4.3639999999999999</v>
      </c>
      <c r="M170" s="6">
        <v>4.3639999999999999</v>
      </c>
      <c r="N170" s="6">
        <v>4.3639999999999999</v>
      </c>
      <c r="O170" s="6">
        <v>4.3639999999999999</v>
      </c>
      <c r="P170" s="6">
        <v>0</v>
      </c>
      <c r="Q170" s="4" t="s">
        <v>26</v>
      </c>
      <c r="R170" s="4">
        <v>0</v>
      </c>
      <c r="S170" s="6">
        <v>0</v>
      </c>
      <c r="T170" s="6">
        <v>29</v>
      </c>
      <c r="U170" s="6">
        <v>66</v>
      </c>
      <c r="V170" s="6">
        <f>IF(ISERROR(VLOOKUP($S$170,'TAR FIN'!$A$1:$O$85,15,0)),0,VLOOKUP($S$170,'TAR FIN'!$A$1:$O$85,15,0))</f>
        <v>0</v>
      </c>
      <c r="W170" s="6">
        <f>IF(ISERROR(VLOOKUP($T$170,'TAR FIN'!$A$1:$O$85,15,0)),0,VLOOKUP($T$170,'TAR FIN'!$A$1:$O$85,15,0))</f>
        <v>448.29</v>
      </c>
      <c r="X170" s="6">
        <f>IF(ISERROR(VLOOKUP($U$170,'TAR FIN'!$A$1:$O$85,15,0)),0,VLOOKUP($U$170,'TAR FIN'!$A$1:$O$85,15,0))</f>
        <v>221.63</v>
      </c>
      <c r="Y170" s="6"/>
      <c r="Z170" s="6">
        <f ca="1">('TUSD BE'!$AM$33+'TUSD BF'!$AM$33+'TUSD CVA'!$AM$33)*(1-CUSTOS!$M$38)</f>
        <v>618.4724353141047</v>
      </c>
      <c r="AA170" s="6">
        <f>('TE BE'!$AA$24+'TE BF'!$AA$24+'TE CVA'!$AA$24)*(1-CUSTOS!$M$38)</f>
        <v>241.29063495745513</v>
      </c>
      <c r="AB170" s="6">
        <f>$K$170*$V$170</f>
        <v>0</v>
      </c>
      <c r="AC170" s="6">
        <f>$M$170*$W$170</f>
        <v>1956.3375599999999</v>
      </c>
      <c r="AD170" s="6">
        <f>$O$170*$X$170</f>
        <v>967.19331999999997</v>
      </c>
      <c r="AE170" s="6">
        <f>$K$170*$Y$170</f>
        <v>0</v>
      </c>
      <c r="AF170" s="6">
        <f ca="1">$M$170*$Z$170</f>
        <v>2699.0137077107529</v>
      </c>
      <c r="AG170" s="6">
        <f>$O$170*$AA$170</f>
        <v>1052.9923309543342</v>
      </c>
    </row>
    <row r="171" spans="1:33" ht="11.25" customHeight="1" x14ac:dyDescent="0.25">
      <c r="A171" s="4" t="s">
        <v>21</v>
      </c>
      <c r="B171" s="4" t="s">
        <v>41</v>
      </c>
      <c r="C171" s="4" t="s">
        <v>23</v>
      </c>
      <c r="D171" s="4" t="s">
        <v>42</v>
      </c>
      <c r="E171" s="4" t="s">
        <v>50</v>
      </c>
      <c r="F171" s="4" t="s">
        <v>51</v>
      </c>
      <c r="G171" s="4" t="s">
        <v>25</v>
      </c>
      <c r="H171" s="4" t="s">
        <v>25</v>
      </c>
      <c r="I171" s="5">
        <v>44470</v>
      </c>
      <c r="J171" s="6">
        <v>0</v>
      </c>
      <c r="K171" s="6">
        <v>0</v>
      </c>
      <c r="L171" s="6">
        <v>10.007</v>
      </c>
      <c r="M171" s="6">
        <v>10.007</v>
      </c>
      <c r="N171" s="6">
        <v>10.007</v>
      </c>
      <c r="O171" s="6">
        <v>10.007</v>
      </c>
      <c r="P171" s="6">
        <v>0</v>
      </c>
      <c r="Q171" s="4" t="s">
        <v>26</v>
      </c>
      <c r="R171" s="4">
        <v>0</v>
      </c>
      <c r="S171" s="6">
        <v>0</v>
      </c>
      <c r="T171" s="6">
        <v>29</v>
      </c>
      <c r="U171" s="6">
        <v>66</v>
      </c>
      <c r="V171" s="6">
        <f>IF(ISERROR(VLOOKUP($S$171,'TAR FIN'!$A$1:$O$85,15,0)),0,VLOOKUP($S$171,'TAR FIN'!$A$1:$O$85,15,0))</f>
        <v>0</v>
      </c>
      <c r="W171" s="6">
        <f>IF(ISERROR(VLOOKUP($T$171,'TAR FIN'!$A$1:$O$85,15,0)),0,VLOOKUP($T$171,'TAR FIN'!$A$1:$O$85,15,0))</f>
        <v>448.29</v>
      </c>
      <c r="X171" s="6">
        <f>IF(ISERROR(VLOOKUP($U$171,'TAR FIN'!$A$1:$O$85,15,0)),0,VLOOKUP($U$171,'TAR FIN'!$A$1:$O$85,15,0))</f>
        <v>221.63</v>
      </c>
      <c r="Y171" s="6"/>
      <c r="Z171" s="6">
        <f ca="1">('TUSD BE'!$AM$33+'TUSD BF'!$AM$33+'TUSD CVA'!$AM$33)*(1-CUSTOS!$M$38)</f>
        <v>618.4724353141047</v>
      </c>
      <c r="AA171" s="6">
        <f>('TE BE'!$AA$24+'TE BF'!$AA$24+'TE CVA'!$AA$24)*(1-CUSTOS!$M$38)</f>
        <v>241.29063495745513</v>
      </c>
      <c r="AB171" s="6">
        <f>$K$171*$V$171</f>
        <v>0</v>
      </c>
      <c r="AC171" s="6">
        <f>$M$171*$W$171</f>
        <v>4486.0380299999997</v>
      </c>
      <c r="AD171" s="6">
        <f>$O$171*$X$171</f>
        <v>2217.8514099999998</v>
      </c>
      <c r="AE171" s="6">
        <f>$K$171*$Y$171</f>
        <v>0</v>
      </c>
      <c r="AF171" s="6">
        <f ca="1">$M$171*$Z$171</f>
        <v>6189.0536601882459</v>
      </c>
      <c r="AG171" s="6">
        <f>$O$171*$AA$171</f>
        <v>2414.5953840192533</v>
      </c>
    </row>
    <row r="172" spans="1:33" ht="11.25" customHeight="1" x14ac:dyDescent="0.25">
      <c r="A172" s="4" t="s">
        <v>21</v>
      </c>
      <c r="B172" s="4" t="s">
        <v>41</v>
      </c>
      <c r="C172" s="4" t="s">
        <v>23</v>
      </c>
      <c r="D172" s="4" t="s">
        <v>42</v>
      </c>
      <c r="E172" s="4" t="s">
        <v>50</v>
      </c>
      <c r="F172" s="4" t="s">
        <v>51</v>
      </c>
      <c r="G172" s="4" t="s">
        <v>25</v>
      </c>
      <c r="H172" s="4" t="s">
        <v>25</v>
      </c>
      <c r="I172" s="5">
        <v>44501</v>
      </c>
      <c r="J172" s="6">
        <v>0</v>
      </c>
      <c r="K172" s="6">
        <v>0</v>
      </c>
      <c r="L172" s="6">
        <v>8.7550000000000008</v>
      </c>
      <c r="M172" s="6">
        <v>8.7550000000000008</v>
      </c>
      <c r="N172" s="6">
        <v>8.7550000000000008</v>
      </c>
      <c r="O172" s="6">
        <v>8.7550000000000008</v>
      </c>
      <c r="P172" s="6">
        <v>0</v>
      </c>
      <c r="Q172" s="4" t="s">
        <v>26</v>
      </c>
      <c r="R172" s="4">
        <v>0</v>
      </c>
      <c r="S172" s="6">
        <v>0</v>
      </c>
      <c r="T172" s="6">
        <v>29</v>
      </c>
      <c r="U172" s="6">
        <v>66</v>
      </c>
      <c r="V172" s="6">
        <f>IF(ISERROR(VLOOKUP($S$172,'TAR FIN'!$A$1:$O$85,15,0)),0,VLOOKUP($S$172,'TAR FIN'!$A$1:$O$85,15,0))</f>
        <v>0</v>
      </c>
      <c r="W172" s="6">
        <f>IF(ISERROR(VLOOKUP($T$172,'TAR FIN'!$A$1:$O$85,15,0)),0,VLOOKUP($T$172,'TAR FIN'!$A$1:$O$85,15,0))</f>
        <v>448.29</v>
      </c>
      <c r="X172" s="6">
        <f>IF(ISERROR(VLOOKUP($U$172,'TAR FIN'!$A$1:$O$85,15,0)),0,VLOOKUP($U$172,'TAR FIN'!$A$1:$O$85,15,0))</f>
        <v>221.63</v>
      </c>
      <c r="Y172" s="6"/>
      <c r="Z172" s="6">
        <f ca="1">('TUSD BE'!$AM$33+'TUSD BF'!$AM$33+'TUSD CVA'!$AM$33)*(1-CUSTOS!$M$38)</f>
        <v>618.4724353141047</v>
      </c>
      <c r="AA172" s="6">
        <f>('TE BE'!$AA$24+'TE BF'!$AA$24+'TE CVA'!$AA$24)*(1-CUSTOS!$M$38)</f>
        <v>241.29063495745513</v>
      </c>
      <c r="AB172" s="6">
        <f>$K$172*$V$172</f>
        <v>0</v>
      </c>
      <c r="AC172" s="6">
        <f>$M$172*$W$172</f>
        <v>3924.7789500000003</v>
      </c>
      <c r="AD172" s="6">
        <f>$O$172*$X$172</f>
        <v>1940.3706500000001</v>
      </c>
      <c r="AE172" s="6">
        <f>$K$172*$Y$172</f>
        <v>0</v>
      </c>
      <c r="AF172" s="6">
        <f ca="1">$M$172*$Z$172</f>
        <v>5414.726171174987</v>
      </c>
      <c r="AG172" s="6">
        <f>$O$172*$AA$172</f>
        <v>2112.4995090525199</v>
      </c>
    </row>
    <row r="173" spans="1:33" ht="11.25" customHeight="1" x14ac:dyDescent="0.25">
      <c r="A173" s="4" t="s">
        <v>21</v>
      </c>
      <c r="B173" s="4" t="s">
        <v>41</v>
      </c>
      <c r="C173" s="4" t="s">
        <v>23</v>
      </c>
      <c r="D173" s="4" t="s">
        <v>42</v>
      </c>
      <c r="E173" s="4" t="s">
        <v>50</v>
      </c>
      <c r="F173" s="4" t="s">
        <v>51</v>
      </c>
      <c r="G173" s="4" t="s">
        <v>25</v>
      </c>
      <c r="H173" s="4" t="s">
        <v>25</v>
      </c>
      <c r="I173" s="5">
        <v>44531</v>
      </c>
      <c r="J173" s="6">
        <v>0</v>
      </c>
      <c r="K173" s="6">
        <v>0</v>
      </c>
      <c r="L173" s="6">
        <v>7.0979999999999999</v>
      </c>
      <c r="M173" s="6">
        <v>7.0979999999999999</v>
      </c>
      <c r="N173" s="6">
        <v>7.0979999999999999</v>
      </c>
      <c r="O173" s="6">
        <v>7.0979999999999999</v>
      </c>
      <c r="P173" s="6">
        <v>0</v>
      </c>
      <c r="Q173" s="4" t="s">
        <v>26</v>
      </c>
      <c r="R173" s="4">
        <v>0</v>
      </c>
      <c r="S173" s="6">
        <v>0</v>
      </c>
      <c r="T173" s="6">
        <v>29</v>
      </c>
      <c r="U173" s="6">
        <v>66</v>
      </c>
      <c r="V173" s="6">
        <f>IF(ISERROR(VLOOKUP($S$173,'TAR FIN'!$A$1:$O$85,15,0)),0,VLOOKUP($S$173,'TAR FIN'!$A$1:$O$85,15,0))</f>
        <v>0</v>
      </c>
      <c r="W173" s="6">
        <f>IF(ISERROR(VLOOKUP($T$173,'TAR FIN'!$A$1:$O$85,15,0)),0,VLOOKUP($T$173,'TAR FIN'!$A$1:$O$85,15,0))</f>
        <v>448.29</v>
      </c>
      <c r="X173" s="6">
        <f>IF(ISERROR(VLOOKUP($U$173,'TAR FIN'!$A$1:$O$85,15,0)),0,VLOOKUP($U$173,'TAR FIN'!$A$1:$O$85,15,0))</f>
        <v>221.63</v>
      </c>
      <c r="Y173" s="6"/>
      <c r="Z173" s="6">
        <f ca="1">('TUSD BE'!$AM$33+'TUSD BF'!$AM$33+'TUSD CVA'!$AM$33)*(1-CUSTOS!$M$38)</f>
        <v>618.4724353141047</v>
      </c>
      <c r="AA173" s="6">
        <f>('TE BE'!$AA$24+'TE BF'!$AA$24+'TE CVA'!$AA$24)*(1-CUSTOS!$M$38)</f>
        <v>241.29063495745513</v>
      </c>
      <c r="AB173" s="6">
        <f>$K$173*$V$173</f>
        <v>0</v>
      </c>
      <c r="AC173" s="6">
        <f>$M$173*$W$173</f>
        <v>3181.9624200000003</v>
      </c>
      <c r="AD173" s="6">
        <f>$O$173*$X$173</f>
        <v>1573.1297399999999</v>
      </c>
      <c r="AE173" s="6">
        <f>$K$173*$Y$173</f>
        <v>0</v>
      </c>
      <c r="AF173" s="6">
        <f ca="1">$M$173*$Z$173</f>
        <v>4389.9173458595151</v>
      </c>
      <c r="AG173" s="6">
        <f>$O$173*$AA$173</f>
        <v>1712.6809269280166</v>
      </c>
    </row>
    <row r="174" spans="1:33" ht="11.25" customHeight="1" x14ac:dyDescent="0.25">
      <c r="A174" s="4" t="s">
        <v>21</v>
      </c>
      <c r="B174" s="4" t="s">
        <v>41</v>
      </c>
      <c r="C174" s="4" t="s">
        <v>23</v>
      </c>
      <c r="D174" s="4" t="s">
        <v>42</v>
      </c>
      <c r="E174" s="4" t="s">
        <v>50</v>
      </c>
      <c r="F174" s="4" t="s">
        <v>51</v>
      </c>
      <c r="G174" s="4" t="s">
        <v>25</v>
      </c>
      <c r="H174" s="4" t="s">
        <v>25</v>
      </c>
      <c r="I174" s="5">
        <v>44562</v>
      </c>
      <c r="J174" s="6">
        <v>0</v>
      </c>
      <c r="K174" s="6">
        <v>0</v>
      </c>
      <c r="L174" s="6">
        <v>6.3410000000000002</v>
      </c>
      <c r="M174" s="6">
        <v>6.3410000000000002</v>
      </c>
      <c r="N174" s="6">
        <v>6.3410000000000002</v>
      </c>
      <c r="O174" s="6">
        <v>6.3410000000000002</v>
      </c>
      <c r="P174" s="6">
        <v>0</v>
      </c>
      <c r="Q174" s="4" t="s">
        <v>26</v>
      </c>
      <c r="R174" s="4">
        <v>0</v>
      </c>
      <c r="S174" s="6">
        <v>0</v>
      </c>
      <c r="T174" s="6">
        <v>29</v>
      </c>
      <c r="U174" s="6">
        <v>66</v>
      </c>
      <c r="V174" s="6">
        <f>IF(ISERROR(VLOOKUP($S$174,'TAR FIN'!$A$1:$O$85,15,0)),0,VLOOKUP($S$174,'TAR FIN'!$A$1:$O$85,15,0))</f>
        <v>0</v>
      </c>
      <c r="W174" s="6">
        <f>IF(ISERROR(VLOOKUP($T$174,'TAR FIN'!$A$1:$O$85,15,0)),0,VLOOKUP($T$174,'TAR FIN'!$A$1:$O$85,15,0))</f>
        <v>448.29</v>
      </c>
      <c r="X174" s="6">
        <f>IF(ISERROR(VLOOKUP($U$174,'TAR FIN'!$A$1:$O$85,15,0)),0,VLOOKUP($U$174,'TAR FIN'!$A$1:$O$85,15,0))</f>
        <v>221.63</v>
      </c>
      <c r="Y174" s="6"/>
      <c r="Z174" s="6">
        <f ca="1">('TUSD BE'!$AM$33+'TUSD BF'!$AM$33+'TUSD CVA'!$AM$33)*(1-CUSTOS!$M$38)</f>
        <v>618.4724353141047</v>
      </c>
      <c r="AA174" s="6">
        <f>('TE BE'!$AA$24+'TE BF'!$AA$24+'TE CVA'!$AA$24)*(1-CUSTOS!$M$38)</f>
        <v>241.29063495745513</v>
      </c>
      <c r="AB174" s="6">
        <f>$K$174*$V$174</f>
        <v>0</v>
      </c>
      <c r="AC174" s="6">
        <f>$M$174*$W$174</f>
        <v>2842.60689</v>
      </c>
      <c r="AD174" s="6">
        <f>$O$174*$X$174</f>
        <v>1405.35583</v>
      </c>
      <c r="AE174" s="6">
        <f>$K$174*$Y$174</f>
        <v>0</v>
      </c>
      <c r="AF174" s="6">
        <f ca="1">$M$174*$Z$174</f>
        <v>3921.733712326738</v>
      </c>
      <c r="AG174" s="6">
        <f>$O$174*$AA$174</f>
        <v>1530.0239162652231</v>
      </c>
    </row>
    <row r="175" spans="1:33" ht="11.25" customHeight="1" x14ac:dyDescent="0.25">
      <c r="A175" s="4" t="s">
        <v>21</v>
      </c>
      <c r="B175" s="4" t="s">
        <v>41</v>
      </c>
      <c r="C175" s="4" t="s">
        <v>23</v>
      </c>
      <c r="D175" s="4" t="s">
        <v>42</v>
      </c>
      <c r="E175" s="4" t="s">
        <v>50</v>
      </c>
      <c r="F175" s="4" t="s">
        <v>51</v>
      </c>
      <c r="G175" s="4" t="s">
        <v>25</v>
      </c>
      <c r="H175" s="4" t="s">
        <v>25</v>
      </c>
      <c r="I175" s="5">
        <v>44593</v>
      </c>
      <c r="J175" s="6">
        <v>0</v>
      </c>
      <c r="K175" s="6">
        <v>0</v>
      </c>
      <c r="L175" s="6">
        <v>7.7309999999999999</v>
      </c>
      <c r="M175" s="6">
        <v>7.7309999999999999</v>
      </c>
      <c r="N175" s="6">
        <v>7.7309999999999999</v>
      </c>
      <c r="O175" s="6">
        <v>7.7309999999999999</v>
      </c>
      <c r="P175" s="6">
        <v>0</v>
      </c>
      <c r="Q175" s="4" t="s">
        <v>26</v>
      </c>
      <c r="R175" s="4">
        <v>0</v>
      </c>
      <c r="S175" s="6">
        <v>0</v>
      </c>
      <c r="T175" s="6">
        <v>29</v>
      </c>
      <c r="U175" s="6">
        <v>66</v>
      </c>
      <c r="V175" s="6">
        <f>IF(ISERROR(VLOOKUP($S$175,'TAR FIN'!$A$1:$O$85,15,0)),0,VLOOKUP($S$175,'TAR FIN'!$A$1:$O$85,15,0))</f>
        <v>0</v>
      </c>
      <c r="W175" s="6">
        <f>IF(ISERROR(VLOOKUP($T$175,'TAR FIN'!$A$1:$O$85,15,0)),0,VLOOKUP($T$175,'TAR FIN'!$A$1:$O$85,15,0))</f>
        <v>448.29</v>
      </c>
      <c r="X175" s="6">
        <f>IF(ISERROR(VLOOKUP($U$175,'TAR FIN'!$A$1:$O$85,15,0)),0,VLOOKUP($U$175,'TAR FIN'!$A$1:$O$85,15,0))</f>
        <v>221.63</v>
      </c>
      <c r="Y175" s="6"/>
      <c r="Z175" s="6">
        <f ca="1">('TUSD BE'!$AM$33+'TUSD BF'!$AM$33+'TUSD CVA'!$AM$33)*(1-CUSTOS!$M$38)</f>
        <v>618.4724353141047</v>
      </c>
      <c r="AA175" s="6">
        <f>('TE BE'!$AA$24+'TE BF'!$AA$24+'TE CVA'!$AA$24)*(1-CUSTOS!$M$38)</f>
        <v>241.29063495745513</v>
      </c>
      <c r="AB175" s="6">
        <f>$K$175*$V$175</f>
        <v>0</v>
      </c>
      <c r="AC175" s="6">
        <f>$M$175*$W$175</f>
        <v>3465.7299900000003</v>
      </c>
      <c r="AD175" s="6">
        <f>$O$175*$X$175</f>
        <v>1713.4215299999998</v>
      </c>
      <c r="AE175" s="6">
        <f>$K$175*$Y$175</f>
        <v>0</v>
      </c>
      <c r="AF175" s="6">
        <f ca="1">$M$175*$Z$175</f>
        <v>4781.4103974133432</v>
      </c>
      <c r="AG175" s="6">
        <f>$O$175*$AA$175</f>
        <v>1865.4178988560855</v>
      </c>
    </row>
    <row r="176" spans="1:33" ht="11.25" customHeight="1" x14ac:dyDescent="0.25">
      <c r="A176" s="4" t="s">
        <v>21</v>
      </c>
      <c r="B176" s="4" t="s">
        <v>41</v>
      </c>
      <c r="C176" s="4" t="s">
        <v>23</v>
      </c>
      <c r="D176" s="4" t="s">
        <v>42</v>
      </c>
      <c r="E176" s="4" t="s">
        <v>50</v>
      </c>
      <c r="F176" s="4" t="s">
        <v>51</v>
      </c>
      <c r="G176" s="4" t="s">
        <v>25</v>
      </c>
      <c r="H176" s="4" t="s">
        <v>25</v>
      </c>
      <c r="I176" s="5">
        <v>44621</v>
      </c>
      <c r="J176" s="6">
        <v>0</v>
      </c>
      <c r="K176" s="6">
        <v>0</v>
      </c>
      <c r="L176" s="6">
        <v>6.0869999999999997</v>
      </c>
      <c r="M176" s="6">
        <v>6.0869999999999997</v>
      </c>
      <c r="N176" s="6">
        <v>6.0869999999999997</v>
      </c>
      <c r="O176" s="6">
        <v>6.0869999999999997</v>
      </c>
      <c r="P176" s="6">
        <v>0</v>
      </c>
      <c r="Q176" s="4" t="s">
        <v>26</v>
      </c>
      <c r="R176" s="4">
        <v>0</v>
      </c>
      <c r="S176" s="6">
        <v>0</v>
      </c>
      <c r="T176" s="6">
        <v>29</v>
      </c>
      <c r="U176" s="6">
        <v>66</v>
      </c>
      <c r="V176" s="6">
        <f>IF(ISERROR(VLOOKUP($S$176,'TAR FIN'!$A$1:$O$85,15,0)),0,VLOOKUP($S$176,'TAR FIN'!$A$1:$O$85,15,0))</f>
        <v>0</v>
      </c>
      <c r="W176" s="6">
        <f>IF(ISERROR(VLOOKUP($T$176,'TAR FIN'!$A$1:$O$85,15,0)),0,VLOOKUP($T$176,'TAR FIN'!$A$1:$O$85,15,0))</f>
        <v>448.29</v>
      </c>
      <c r="X176" s="6">
        <f>IF(ISERROR(VLOOKUP($U$176,'TAR FIN'!$A$1:$O$85,15,0)),0,VLOOKUP($U$176,'TAR FIN'!$A$1:$O$85,15,0))</f>
        <v>221.63</v>
      </c>
      <c r="Y176" s="6"/>
      <c r="Z176" s="6">
        <f ca="1">('TUSD BE'!$AM$33+'TUSD BF'!$AM$33+'TUSD CVA'!$AM$33)*(1-CUSTOS!$M$38)</f>
        <v>618.4724353141047</v>
      </c>
      <c r="AA176" s="6">
        <f>('TE BE'!$AA$24+'TE BF'!$AA$24+'TE CVA'!$AA$24)*(1-CUSTOS!$M$38)</f>
        <v>241.29063495745513</v>
      </c>
      <c r="AB176" s="6">
        <f>$K$176*$V$176</f>
        <v>0</v>
      </c>
      <c r="AC176" s="6">
        <f>$M$176*$W$176</f>
        <v>2728.7412300000001</v>
      </c>
      <c r="AD176" s="6">
        <f>$O$176*$X$176</f>
        <v>1349.0618099999999</v>
      </c>
      <c r="AE176" s="6">
        <f>$K$176*$Y$176</f>
        <v>0</v>
      </c>
      <c r="AF176" s="6">
        <f ca="1">$M$176*$Z$176</f>
        <v>3764.6417137569551</v>
      </c>
      <c r="AG176" s="6">
        <f>$O$176*$AA$176</f>
        <v>1468.7360949860292</v>
      </c>
    </row>
    <row r="177" spans="1:33" ht="11.25" customHeight="1" x14ac:dyDescent="0.25">
      <c r="A177" s="4" t="s">
        <v>21</v>
      </c>
      <c r="B177" s="4" t="s">
        <v>41</v>
      </c>
      <c r="C177" s="4" t="s">
        <v>23</v>
      </c>
      <c r="D177" s="4" t="s">
        <v>42</v>
      </c>
      <c r="E177" s="4" t="s">
        <v>50</v>
      </c>
      <c r="F177" s="4" t="s">
        <v>51</v>
      </c>
      <c r="G177" s="4" t="s">
        <v>25</v>
      </c>
      <c r="H177" s="4" t="s">
        <v>25</v>
      </c>
      <c r="I177" s="5">
        <v>44652</v>
      </c>
      <c r="J177" s="6">
        <v>0</v>
      </c>
      <c r="K177" s="6">
        <v>0</v>
      </c>
      <c r="L177" s="6">
        <v>5.8929999999999998</v>
      </c>
      <c r="M177" s="6">
        <v>5.8929999999999998</v>
      </c>
      <c r="N177" s="6">
        <v>5.8929999999999998</v>
      </c>
      <c r="O177" s="6">
        <v>5.8929999999999998</v>
      </c>
      <c r="P177" s="6">
        <v>0</v>
      </c>
      <c r="Q177" s="4" t="s">
        <v>26</v>
      </c>
      <c r="R177" s="4">
        <v>0</v>
      </c>
      <c r="S177" s="6">
        <v>0</v>
      </c>
      <c r="T177" s="6">
        <v>29</v>
      </c>
      <c r="U177" s="6">
        <v>66</v>
      </c>
      <c r="V177" s="6">
        <f>IF(ISERROR(VLOOKUP($S$177,'TAR FIN'!$A$1:$O$85,15,0)),0,VLOOKUP($S$177,'TAR FIN'!$A$1:$O$85,15,0))</f>
        <v>0</v>
      </c>
      <c r="W177" s="6">
        <f>IF(ISERROR(VLOOKUP($T$177,'TAR FIN'!$A$1:$O$85,15,0)),0,VLOOKUP($T$177,'TAR FIN'!$A$1:$O$85,15,0))</f>
        <v>448.29</v>
      </c>
      <c r="X177" s="6">
        <f>IF(ISERROR(VLOOKUP($U$177,'TAR FIN'!$A$1:$O$85,15,0)),0,VLOOKUP($U$177,'TAR FIN'!$A$1:$O$85,15,0))</f>
        <v>221.63</v>
      </c>
      <c r="Y177" s="6"/>
      <c r="Z177" s="6">
        <f ca="1">('TUSD BE'!$AM$33+'TUSD BF'!$AM$33+'TUSD CVA'!$AM$33)*(1-CUSTOS!$M$38)</f>
        <v>618.4724353141047</v>
      </c>
      <c r="AA177" s="6">
        <f>('TE BE'!$AA$24+'TE BF'!$AA$24+'TE CVA'!$AA$24)*(1-CUSTOS!$M$38)</f>
        <v>241.29063495745513</v>
      </c>
      <c r="AB177" s="6">
        <f>$K$177*$V$177</f>
        <v>0</v>
      </c>
      <c r="AC177" s="6">
        <f>$M$177*$W$177</f>
        <v>2641.77297</v>
      </c>
      <c r="AD177" s="6">
        <f>$O$177*$X$177</f>
        <v>1306.0655899999999</v>
      </c>
      <c r="AE177" s="6">
        <f>$K$177*$Y$177</f>
        <v>0</v>
      </c>
      <c r="AF177" s="6">
        <f ca="1">$M$177*$Z$177</f>
        <v>3644.6580613060187</v>
      </c>
      <c r="AG177" s="6">
        <f>$O$177*$AA$177</f>
        <v>1421.9257118042831</v>
      </c>
    </row>
    <row r="178" spans="1:33" ht="11.25" customHeight="1" x14ac:dyDescent="0.25">
      <c r="A178" s="4" t="s">
        <v>21</v>
      </c>
      <c r="B178" s="4" t="s">
        <v>41</v>
      </c>
      <c r="C178" s="4" t="s">
        <v>23</v>
      </c>
      <c r="D178" s="4" t="s">
        <v>42</v>
      </c>
      <c r="E178" s="4" t="s">
        <v>50</v>
      </c>
      <c r="F178" s="4" t="s">
        <v>52</v>
      </c>
      <c r="G178" s="4" t="s">
        <v>25</v>
      </c>
      <c r="H178" s="4" t="s">
        <v>25</v>
      </c>
      <c r="I178" s="5">
        <v>44317</v>
      </c>
      <c r="J178" s="6">
        <v>0</v>
      </c>
      <c r="K178" s="6">
        <v>0</v>
      </c>
      <c r="L178" s="6">
        <v>0.34399999999999997</v>
      </c>
      <c r="M178" s="6">
        <v>9.2880000000000004E-2</v>
      </c>
      <c r="N178" s="6">
        <v>0.34399999999999997</v>
      </c>
      <c r="O178" s="6">
        <v>9.2880000000000004E-2</v>
      </c>
      <c r="P178" s="6">
        <v>0</v>
      </c>
      <c r="Q178" s="4" t="s">
        <v>26</v>
      </c>
      <c r="R178" s="4">
        <v>0</v>
      </c>
      <c r="S178" s="6">
        <v>0</v>
      </c>
      <c r="T178" s="6">
        <v>29</v>
      </c>
      <c r="U178" s="6">
        <v>66</v>
      </c>
      <c r="V178" s="6">
        <f>IF(ISERROR(VLOOKUP($S$178,'TAR FIN'!$A$1:$O$85,15,0)),0,VLOOKUP($S$178,'TAR FIN'!$A$1:$O$85,15,0))</f>
        <v>0</v>
      </c>
      <c r="W178" s="6">
        <f>IF(ISERROR(VLOOKUP($T$178,'TAR FIN'!$A$1:$O$85,15,0)),0,VLOOKUP($T$178,'TAR FIN'!$A$1:$O$85,15,0))</f>
        <v>448.29</v>
      </c>
      <c r="X178" s="6">
        <f>IF(ISERROR(VLOOKUP($U$178,'TAR FIN'!$A$1:$O$85,15,0)),0,VLOOKUP($U$178,'TAR FIN'!$A$1:$O$85,15,0))</f>
        <v>221.63</v>
      </c>
      <c r="Y178" s="6"/>
      <c r="Z178" s="6">
        <f ca="1">('TUSD BE'!$AM$33+'TUSD BF'!$AM$33+'TUSD CVA'!$AM$33)*(1-CUSTOS!$M$38)</f>
        <v>618.4724353141047</v>
      </c>
      <c r="AA178" s="6">
        <f>('TE BE'!$AA$24+'TE BF'!$AA$24+'TE CVA'!$AA$24)*(1-CUSTOS!$M$38)</f>
        <v>241.29063495745513</v>
      </c>
      <c r="AB178" s="6">
        <f>$K$178*$V$178</f>
        <v>0</v>
      </c>
      <c r="AC178" s="6">
        <f>$M$178*$W$178</f>
        <v>41.637175200000001</v>
      </c>
      <c r="AD178" s="6">
        <f>$O$178*$X$178</f>
        <v>20.584994399999999</v>
      </c>
      <c r="AE178" s="6">
        <f>$K$178*$Y$178</f>
        <v>0</v>
      </c>
      <c r="AF178" s="6">
        <f ca="1">$M$178*$Z$178</f>
        <v>57.443719791974047</v>
      </c>
      <c r="AG178" s="6">
        <f>$O$178*$AA$178</f>
        <v>22.411074174848434</v>
      </c>
    </row>
    <row r="179" spans="1:33" ht="11.25" customHeight="1" x14ac:dyDescent="0.25">
      <c r="A179" s="4" t="s">
        <v>21</v>
      </c>
      <c r="B179" s="4" t="s">
        <v>41</v>
      </c>
      <c r="C179" s="4" t="s">
        <v>23</v>
      </c>
      <c r="D179" s="4" t="s">
        <v>42</v>
      </c>
      <c r="E179" s="4" t="s">
        <v>50</v>
      </c>
      <c r="F179" s="4" t="s">
        <v>52</v>
      </c>
      <c r="G179" s="4" t="s">
        <v>25</v>
      </c>
      <c r="H179" s="4" t="s">
        <v>25</v>
      </c>
      <c r="I179" s="5">
        <v>44348</v>
      </c>
      <c r="J179" s="6">
        <v>0</v>
      </c>
      <c r="K179" s="6">
        <v>0</v>
      </c>
      <c r="L179" s="6">
        <v>0.34200000000000003</v>
      </c>
      <c r="M179" s="6">
        <v>9.2340000000000005E-2</v>
      </c>
      <c r="N179" s="6">
        <v>0.34200000000000003</v>
      </c>
      <c r="O179" s="6">
        <v>9.2340000000000005E-2</v>
      </c>
      <c r="P179" s="6">
        <v>0</v>
      </c>
      <c r="Q179" s="4" t="s">
        <v>26</v>
      </c>
      <c r="R179" s="4">
        <v>0</v>
      </c>
      <c r="S179" s="6">
        <v>0</v>
      </c>
      <c r="T179" s="6">
        <v>29</v>
      </c>
      <c r="U179" s="6">
        <v>66</v>
      </c>
      <c r="V179" s="6">
        <f>IF(ISERROR(VLOOKUP($S$179,'TAR FIN'!$A$1:$O$85,15,0)),0,VLOOKUP($S$179,'TAR FIN'!$A$1:$O$85,15,0))</f>
        <v>0</v>
      </c>
      <c r="W179" s="6">
        <f>IF(ISERROR(VLOOKUP($T$179,'TAR FIN'!$A$1:$O$85,15,0)),0,VLOOKUP($T$179,'TAR FIN'!$A$1:$O$85,15,0))</f>
        <v>448.29</v>
      </c>
      <c r="X179" s="6">
        <f>IF(ISERROR(VLOOKUP($U$179,'TAR FIN'!$A$1:$O$85,15,0)),0,VLOOKUP($U$179,'TAR FIN'!$A$1:$O$85,15,0))</f>
        <v>221.63</v>
      </c>
      <c r="Y179" s="6"/>
      <c r="Z179" s="6">
        <f ca="1">('TUSD BE'!$AM$33+'TUSD BF'!$AM$33+'TUSD CVA'!$AM$33)*(1-CUSTOS!$M$38)</f>
        <v>618.4724353141047</v>
      </c>
      <c r="AA179" s="6">
        <f>('TE BE'!$AA$24+'TE BF'!$AA$24+'TE CVA'!$AA$24)*(1-CUSTOS!$M$38)</f>
        <v>241.29063495745513</v>
      </c>
      <c r="AB179" s="6">
        <f>$K$179*$V$179</f>
        <v>0</v>
      </c>
      <c r="AC179" s="6">
        <f>$M$179*$W$179</f>
        <v>41.395098600000004</v>
      </c>
      <c r="AD179" s="6">
        <f>$O$179*$X$179</f>
        <v>20.465314200000002</v>
      </c>
      <c r="AE179" s="6">
        <f>$K$179*$Y$179</f>
        <v>0</v>
      </c>
      <c r="AF179" s="6">
        <f ca="1">$M$179*$Z$179</f>
        <v>57.109744676904434</v>
      </c>
      <c r="AG179" s="6">
        <f>$O$179*$AA$179</f>
        <v>22.280777231971406</v>
      </c>
    </row>
    <row r="180" spans="1:33" ht="11.25" customHeight="1" x14ac:dyDescent="0.25">
      <c r="A180" s="4" t="s">
        <v>21</v>
      </c>
      <c r="B180" s="4" t="s">
        <v>41</v>
      </c>
      <c r="C180" s="4" t="s">
        <v>23</v>
      </c>
      <c r="D180" s="4" t="s">
        <v>42</v>
      </c>
      <c r="E180" s="4" t="s">
        <v>50</v>
      </c>
      <c r="F180" s="4" t="s">
        <v>52</v>
      </c>
      <c r="G180" s="4" t="s">
        <v>25</v>
      </c>
      <c r="H180" s="4" t="s">
        <v>25</v>
      </c>
      <c r="I180" s="5">
        <v>44378</v>
      </c>
      <c r="J180" s="6">
        <v>0</v>
      </c>
      <c r="K180" s="6">
        <v>0</v>
      </c>
      <c r="L180" s="6">
        <v>0.56999999999999995</v>
      </c>
      <c r="M180" s="6">
        <v>0.15390000000000001</v>
      </c>
      <c r="N180" s="6">
        <v>0.56999999999999995</v>
      </c>
      <c r="O180" s="6">
        <v>0.15390000000000001</v>
      </c>
      <c r="P180" s="6">
        <v>0</v>
      </c>
      <c r="Q180" s="4" t="s">
        <v>26</v>
      </c>
      <c r="R180" s="4">
        <v>0</v>
      </c>
      <c r="S180" s="6">
        <v>0</v>
      </c>
      <c r="T180" s="6">
        <v>29</v>
      </c>
      <c r="U180" s="6">
        <v>66</v>
      </c>
      <c r="V180" s="6">
        <f>IF(ISERROR(VLOOKUP($S$180,'TAR FIN'!$A$1:$O$85,15,0)),0,VLOOKUP($S$180,'TAR FIN'!$A$1:$O$85,15,0))</f>
        <v>0</v>
      </c>
      <c r="W180" s="6">
        <f>IF(ISERROR(VLOOKUP($T$180,'TAR FIN'!$A$1:$O$85,15,0)),0,VLOOKUP($T$180,'TAR FIN'!$A$1:$O$85,15,0))</f>
        <v>448.29</v>
      </c>
      <c r="X180" s="6">
        <f>IF(ISERROR(VLOOKUP($U$180,'TAR FIN'!$A$1:$O$85,15,0)),0,VLOOKUP($U$180,'TAR FIN'!$A$1:$O$85,15,0))</f>
        <v>221.63</v>
      </c>
      <c r="Y180" s="6"/>
      <c r="Z180" s="6">
        <f ca="1">('TUSD BE'!$AM$33+'TUSD BF'!$AM$33+'TUSD CVA'!$AM$33)*(1-CUSTOS!$M$38)</f>
        <v>618.4724353141047</v>
      </c>
      <c r="AA180" s="6">
        <f>('TE BE'!$AA$24+'TE BF'!$AA$24+'TE CVA'!$AA$24)*(1-CUSTOS!$M$38)</f>
        <v>241.29063495745513</v>
      </c>
      <c r="AB180" s="6">
        <f>$K$180*$V$180</f>
        <v>0</v>
      </c>
      <c r="AC180" s="6">
        <f>$M$180*$W$180</f>
        <v>68.991831000000005</v>
      </c>
      <c r="AD180" s="6">
        <f>$O$180*$X$180</f>
        <v>34.108857</v>
      </c>
      <c r="AE180" s="6">
        <f>$K$180*$Y$180</f>
        <v>0</v>
      </c>
      <c r="AF180" s="6">
        <f ca="1">$M$180*$Z$180</f>
        <v>95.182907794840716</v>
      </c>
      <c r="AG180" s="6">
        <f>$O$180*$AA$180</f>
        <v>37.134628719952346</v>
      </c>
    </row>
    <row r="181" spans="1:33" ht="11.25" customHeight="1" x14ac:dyDescent="0.25">
      <c r="A181" s="4" t="s">
        <v>21</v>
      </c>
      <c r="B181" s="4" t="s">
        <v>41</v>
      </c>
      <c r="C181" s="4" t="s">
        <v>23</v>
      </c>
      <c r="D181" s="4" t="s">
        <v>42</v>
      </c>
      <c r="E181" s="4" t="s">
        <v>50</v>
      </c>
      <c r="F181" s="4" t="s">
        <v>52</v>
      </c>
      <c r="G181" s="4" t="s">
        <v>25</v>
      </c>
      <c r="H181" s="4" t="s">
        <v>25</v>
      </c>
      <c r="I181" s="5">
        <v>44409</v>
      </c>
      <c r="J181" s="6">
        <v>0</v>
      </c>
      <c r="K181" s="6">
        <v>0</v>
      </c>
      <c r="L181" s="6">
        <v>0.66600000000000004</v>
      </c>
      <c r="M181" s="6">
        <v>0.17982000000000001</v>
      </c>
      <c r="N181" s="6">
        <v>0.66600000000000004</v>
      </c>
      <c r="O181" s="6">
        <v>0.17982000000000001</v>
      </c>
      <c r="P181" s="6">
        <v>0</v>
      </c>
      <c r="Q181" s="4" t="s">
        <v>26</v>
      </c>
      <c r="R181" s="4">
        <v>0</v>
      </c>
      <c r="S181" s="6">
        <v>0</v>
      </c>
      <c r="T181" s="6">
        <v>29</v>
      </c>
      <c r="U181" s="6">
        <v>66</v>
      </c>
      <c r="V181" s="6">
        <f>IF(ISERROR(VLOOKUP($S$181,'TAR FIN'!$A$1:$O$85,15,0)),0,VLOOKUP($S$181,'TAR FIN'!$A$1:$O$85,15,0))</f>
        <v>0</v>
      </c>
      <c r="W181" s="6">
        <f>IF(ISERROR(VLOOKUP($T$181,'TAR FIN'!$A$1:$O$85,15,0)),0,VLOOKUP($T$181,'TAR FIN'!$A$1:$O$85,15,0))</f>
        <v>448.29</v>
      </c>
      <c r="X181" s="6">
        <f>IF(ISERROR(VLOOKUP($U$181,'TAR FIN'!$A$1:$O$85,15,0)),0,VLOOKUP($U$181,'TAR FIN'!$A$1:$O$85,15,0))</f>
        <v>221.63</v>
      </c>
      <c r="Y181" s="6"/>
      <c r="Z181" s="6">
        <f ca="1">('TUSD BE'!$AM$33+'TUSD BF'!$AM$33+'TUSD CVA'!$AM$33)*(1-CUSTOS!$M$38)</f>
        <v>618.4724353141047</v>
      </c>
      <c r="AA181" s="6">
        <f>('TE BE'!$AA$24+'TE BF'!$AA$24+'TE CVA'!$AA$24)*(1-CUSTOS!$M$38)</f>
        <v>241.29063495745513</v>
      </c>
      <c r="AB181" s="6">
        <f>$K$181*$V$181</f>
        <v>0</v>
      </c>
      <c r="AC181" s="6">
        <f>$M$181*$W$181</f>
        <v>80.611507800000012</v>
      </c>
      <c r="AD181" s="6">
        <f>$O$181*$X$181</f>
        <v>39.853506600000003</v>
      </c>
      <c r="AE181" s="6">
        <f>$K$181*$Y$181</f>
        <v>0</v>
      </c>
      <c r="AF181" s="6">
        <f ca="1">$M$181*$Z$181</f>
        <v>111.21371331818231</v>
      </c>
      <c r="AG181" s="6">
        <f>$O$181*$AA$181</f>
        <v>43.388881978049582</v>
      </c>
    </row>
    <row r="182" spans="1:33" ht="11.25" customHeight="1" x14ac:dyDescent="0.25">
      <c r="A182" s="4" t="s">
        <v>21</v>
      </c>
      <c r="B182" s="4" t="s">
        <v>41</v>
      </c>
      <c r="C182" s="4" t="s">
        <v>23</v>
      </c>
      <c r="D182" s="4" t="s">
        <v>42</v>
      </c>
      <c r="E182" s="4" t="s">
        <v>50</v>
      </c>
      <c r="F182" s="4" t="s">
        <v>52</v>
      </c>
      <c r="G182" s="4" t="s">
        <v>25</v>
      </c>
      <c r="H182" s="4" t="s">
        <v>25</v>
      </c>
      <c r="I182" s="5">
        <v>44440</v>
      </c>
      <c r="J182" s="6">
        <v>0</v>
      </c>
      <c r="K182" s="6">
        <v>0</v>
      </c>
      <c r="L182" s="6">
        <v>1.4950000000000001</v>
      </c>
      <c r="M182" s="6">
        <v>0.40365000000000001</v>
      </c>
      <c r="N182" s="6">
        <v>1.4950000000000001</v>
      </c>
      <c r="O182" s="6">
        <v>0.40365000000000001</v>
      </c>
      <c r="P182" s="6">
        <v>0</v>
      </c>
      <c r="Q182" s="4" t="s">
        <v>26</v>
      </c>
      <c r="R182" s="4">
        <v>0</v>
      </c>
      <c r="S182" s="6">
        <v>0</v>
      </c>
      <c r="T182" s="6">
        <v>29</v>
      </c>
      <c r="U182" s="6">
        <v>66</v>
      </c>
      <c r="V182" s="6">
        <f>IF(ISERROR(VLOOKUP($S$182,'TAR FIN'!$A$1:$O$85,15,0)),0,VLOOKUP($S$182,'TAR FIN'!$A$1:$O$85,15,0))</f>
        <v>0</v>
      </c>
      <c r="W182" s="6">
        <f>IF(ISERROR(VLOOKUP($T$182,'TAR FIN'!$A$1:$O$85,15,0)),0,VLOOKUP($T$182,'TAR FIN'!$A$1:$O$85,15,0))</f>
        <v>448.29</v>
      </c>
      <c r="X182" s="6">
        <f>IF(ISERROR(VLOOKUP($U$182,'TAR FIN'!$A$1:$O$85,15,0)),0,VLOOKUP($U$182,'TAR FIN'!$A$1:$O$85,15,0))</f>
        <v>221.63</v>
      </c>
      <c r="Y182" s="6"/>
      <c r="Z182" s="6">
        <f ca="1">('TUSD BE'!$AM$33+'TUSD BF'!$AM$33+'TUSD CVA'!$AM$33)*(1-CUSTOS!$M$38)</f>
        <v>618.4724353141047</v>
      </c>
      <c r="AA182" s="6">
        <f>('TE BE'!$AA$24+'TE BF'!$AA$24+'TE CVA'!$AA$24)*(1-CUSTOS!$M$38)</f>
        <v>241.29063495745513</v>
      </c>
      <c r="AB182" s="6">
        <f>$K$182*$V$182</f>
        <v>0</v>
      </c>
      <c r="AC182" s="6">
        <f>$M$182*$W$182</f>
        <v>180.9522585</v>
      </c>
      <c r="AD182" s="6">
        <f>$O$182*$X$182</f>
        <v>89.460949499999998</v>
      </c>
      <c r="AE182" s="6">
        <f>$K$182*$Y$182</f>
        <v>0</v>
      </c>
      <c r="AF182" s="6">
        <f ca="1">$M$182*$Z$182</f>
        <v>249.64639851453836</v>
      </c>
      <c r="AG182" s="6">
        <f>$O$182*$AA$182</f>
        <v>97.396964800576768</v>
      </c>
    </row>
    <row r="183" spans="1:33" ht="11.25" customHeight="1" x14ac:dyDescent="0.25">
      <c r="A183" s="4" t="s">
        <v>21</v>
      </c>
      <c r="B183" s="4" t="s">
        <v>41</v>
      </c>
      <c r="C183" s="4" t="s">
        <v>23</v>
      </c>
      <c r="D183" s="4" t="s">
        <v>42</v>
      </c>
      <c r="E183" s="4" t="s">
        <v>50</v>
      </c>
      <c r="F183" s="4" t="s">
        <v>52</v>
      </c>
      <c r="G183" s="4" t="s">
        <v>25</v>
      </c>
      <c r="H183" s="4" t="s">
        <v>25</v>
      </c>
      <c r="I183" s="5">
        <v>44470</v>
      </c>
      <c r="J183" s="6">
        <v>0</v>
      </c>
      <c r="K183" s="6">
        <v>0</v>
      </c>
      <c r="L183" s="6">
        <v>7.0389999999999997</v>
      </c>
      <c r="M183" s="6">
        <v>1.9005300000000001</v>
      </c>
      <c r="N183" s="6">
        <v>7.0389999999999997</v>
      </c>
      <c r="O183" s="6">
        <v>1.9005300000000001</v>
      </c>
      <c r="P183" s="6">
        <v>0</v>
      </c>
      <c r="Q183" s="4" t="s">
        <v>26</v>
      </c>
      <c r="R183" s="4">
        <v>0</v>
      </c>
      <c r="S183" s="6">
        <v>0</v>
      </c>
      <c r="T183" s="6">
        <v>29</v>
      </c>
      <c r="U183" s="6">
        <v>66</v>
      </c>
      <c r="V183" s="6">
        <f>IF(ISERROR(VLOOKUP($S$183,'TAR FIN'!$A$1:$O$85,15,0)),0,VLOOKUP($S$183,'TAR FIN'!$A$1:$O$85,15,0))</f>
        <v>0</v>
      </c>
      <c r="W183" s="6">
        <f>IF(ISERROR(VLOOKUP($T$183,'TAR FIN'!$A$1:$O$85,15,0)),0,VLOOKUP($T$183,'TAR FIN'!$A$1:$O$85,15,0))</f>
        <v>448.29</v>
      </c>
      <c r="X183" s="6">
        <f>IF(ISERROR(VLOOKUP($U$183,'TAR FIN'!$A$1:$O$85,15,0)),0,VLOOKUP($U$183,'TAR FIN'!$A$1:$O$85,15,0))</f>
        <v>221.63</v>
      </c>
      <c r="Y183" s="6"/>
      <c r="Z183" s="6">
        <f ca="1">('TUSD BE'!$AM$33+'TUSD BF'!$AM$33+'TUSD CVA'!$AM$33)*(1-CUSTOS!$M$38)</f>
        <v>618.4724353141047</v>
      </c>
      <c r="AA183" s="6">
        <f>('TE BE'!$AA$24+'TE BF'!$AA$24+'TE CVA'!$AA$24)*(1-CUSTOS!$M$38)</f>
        <v>241.29063495745513</v>
      </c>
      <c r="AB183" s="6">
        <f>$K$183*$V$183</f>
        <v>0</v>
      </c>
      <c r="AC183" s="6">
        <f>$M$183*$W$183</f>
        <v>851.98859370000002</v>
      </c>
      <c r="AD183" s="6">
        <f>$O$183*$X$183</f>
        <v>421.2144639</v>
      </c>
      <c r="AE183" s="6">
        <f>$K$183*$Y$183</f>
        <v>0</v>
      </c>
      <c r="AF183" s="6">
        <f ca="1">$M$183*$Z$183</f>
        <v>1175.4254174875155</v>
      </c>
      <c r="AG183" s="6">
        <f>$O$183*$AA$183</f>
        <v>458.58009045569219</v>
      </c>
    </row>
    <row r="184" spans="1:33" ht="11.25" customHeight="1" x14ac:dyDescent="0.25">
      <c r="A184" s="4" t="s">
        <v>21</v>
      </c>
      <c r="B184" s="4" t="s">
        <v>41</v>
      </c>
      <c r="C184" s="4" t="s">
        <v>23</v>
      </c>
      <c r="D184" s="4" t="s">
        <v>42</v>
      </c>
      <c r="E184" s="4" t="s">
        <v>50</v>
      </c>
      <c r="F184" s="4" t="s">
        <v>52</v>
      </c>
      <c r="G184" s="4" t="s">
        <v>25</v>
      </c>
      <c r="H184" s="4" t="s">
        <v>25</v>
      </c>
      <c r="I184" s="5">
        <v>44501</v>
      </c>
      <c r="J184" s="6">
        <v>0</v>
      </c>
      <c r="K184" s="6">
        <v>0</v>
      </c>
      <c r="L184" s="6">
        <v>6.0309999999999997</v>
      </c>
      <c r="M184" s="6">
        <v>1.6283700000000001</v>
      </c>
      <c r="N184" s="6">
        <v>6.0309999999999997</v>
      </c>
      <c r="O184" s="6">
        <v>1.6283700000000001</v>
      </c>
      <c r="P184" s="6">
        <v>0</v>
      </c>
      <c r="Q184" s="4" t="s">
        <v>26</v>
      </c>
      <c r="R184" s="4">
        <v>0</v>
      </c>
      <c r="S184" s="6">
        <v>0</v>
      </c>
      <c r="T184" s="6">
        <v>29</v>
      </c>
      <c r="U184" s="6">
        <v>66</v>
      </c>
      <c r="V184" s="6">
        <f>IF(ISERROR(VLOOKUP($S$184,'TAR FIN'!$A$1:$O$85,15,0)),0,VLOOKUP($S$184,'TAR FIN'!$A$1:$O$85,15,0))</f>
        <v>0</v>
      </c>
      <c r="W184" s="6">
        <f>IF(ISERROR(VLOOKUP($T$184,'TAR FIN'!$A$1:$O$85,15,0)),0,VLOOKUP($T$184,'TAR FIN'!$A$1:$O$85,15,0))</f>
        <v>448.29</v>
      </c>
      <c r="X184" s="6">
        <f>IF(ISERROR(VLOOKUP($U$184,'TAR FIN'!$A$1:$O$85,15,0)),0,VLOOKUP($U$184,'TAR FIN'!$A$1:$O$85,15,0))</f>
        <v>221.63</v>
      </c>
      <c r="Y184" s="6"/>
      <c r="Z184" s="6">
        <f ca="1">('TUSD BE'!$AM$33+'TUSD BF'!$AM$33+'TUSD CVA'!$AM$33)*(1-CUSTOS!$M$38)</f>
        <v>618.4724353141047</v>
      </c>
      <c r="AA184" s="6">
        <f>('TE BE'!$AA$24+'TE BF'!$AA$24+'TE CVA'!$AA$24)*(1-CUSTOS!$M$38)</f>
        <v>241.29063495745513</v>
      </c>
      <c r="AB184" s="6">
        <f>$K$184*$V$184</f>
        <v>0</v>
      </c>
      <c r="AC184" s="6">
        <f>$M$184*$W$184</f>
        <v>729.98198730000013</v>
      </c>
      <c r="AD184" s="6">
        <f>$O$184*$X$184</f>
        <v>360.89564310000003</v>
      </c>
      <c r="AE184" s="6">
        <f>$K$184*$Y$184</f>
        <v>0</v>
      </c>
      <c r="AF184" s="6">
        <f ca="1">$M$184*$Z$184</f>
        <v>1007.1019594924287</v>
      </c>
      <c r="AG184" s="6">
        <f>$O$184*$AA$184</f>
        <v>392.91043124567125</v>
      </c>
    </row>
    <row r="185" spans="1:33" ht="11.25" customHeight="1" x14ac:dyDescent="0.25">
      <c r="A185" s="4" t="s">
        <v>21</v>
      </c>
      <c r="B185" s="4" t="s">
        <v>41</v>
      </c>
      <c r="C185" s="4" t="s">
        <v>23</v>
      </c>
      <c r="D185" s="4" t="s">
        <v>42</v>
      </c>
      <c r="E185" s="4" t="s">
        <v>50</v>
      </c>
      <c r="F185" s="4" t="s">
        <v>52</v>
      </c>
      <c r="G185" s="4" t="s">
        <v>25</v>
      </c>
      <c r="H185" s="4" t="s">
        <v>25</v>
      </c>
      <c r="I185" s="5">
        <v>44531</v>
      </c>
      <c r="J185" s="6">
        <v>0</v>
      </c>
      <c r="K185" s="6">
        <v>0</v>
      </c>
      <c r="L185" s="6">
        <v>5.9320000000000004</v>
      </c>
      <c r="M185" s="6">
        <v>1.60164</v>
      </c>
      <c r="N185" s="6">
        <v>5.9320000000000004</v>
      </c>
      <c r="O185" s="6">
        <v>1.60164</v>
      </c>
      <c r="P185" s="6">
        <v>0</v>
      </c>
      <c r="Q185" s="4" t="s">
        <v>26</v>
      </c>
      <c r="R185" s="4">
        <v>0</v>
      </c>
      <c r="S185" s="6">
        <v>0</v>
      </c>
      <c r="T185" s="6">
        <v>29</v>
      </c>
      <c r="U185" s="6">
        <v>66</v>
      </c>
      <c r="V185" s="6">
        <f>IF(ISERROR(VLOOKUP($S$185,'TAR FIN'!$A$1:$O$85,15,0)),0,VLOOKUP($S$185,'TAR FIN'!$A$1:$O$85,15,0))</f>
        <v>0</v>
      </c>
      <c r="W185" s="6">
        <f>IF(ISERROR(VLOOKUP($T$185,'TAR FIN'!$A$1:$O$85,15,0)),0,VLOOKUP($T$185,'TAR FIN'!$A$1:$O$85,15,0))</f>
        <v>448.29</v>
      </c>
      <c r="X185" s="6">
        <f>IF(ISERROR(VLOOKUP($U$185,'TAR FIN'!$A$1:$O$85,15,0)),0,VLOOKUP($U$185,'TAR FIN'!$A$1:$O$85,15,0))</f>
        <v>221.63</v>
      </c>
      <c r="Y185" s="6"/>
      <c r="Z185" s="6">
        <f ca="1">('TUSD BE'!$AM$33+'TUSD BF'!$AM$33+'TUSD CVA'!$AM$33)*(1-CUSTOS!$M$38)</f>
        <v>618.4724353141047</v>
      </c>
      <c r="AA185" s="6">
        <f>('TE BE'!$AA$24+'TE BF'!$AA$24+'TE CVA'!$AA$24)*(1-CUSTOS!$M$38)</f>
        <v>241.29063495745513</v>
      </c>
      <c r="AB185" s="6">
        <f>$K$185*$V$185</f>
        <v>0</v>
      </c>
      <c r="AC185" s="6">
        <f>$M$185*$W$185</f>
        <v>717.99919560000001</v>
      </c>
      <c r="AD185" s="6">
        <f>$O$185*$X$185</f>
        <v>354.97147319999999</v>
      </c>
      <c r="AE185" s="6">
        <f>$K$185*$Y$185</f>
        <v>0</v>
      </c>
      <c r="AF185" s="6">
        <f ca="1">$M$185*$Z$185</f>
        <v>990.57019129648268</v>
      </c>
      <c r="AG185" s="6">
        <f>$O$185*$AA$185</f>
        <v>386.46073257325844</v>
      </c>
    </row>
    <row r="186" spans="1:33" ht="11.25" customHeight="1" x14ac:dyDescent="0.25">
      <c r="A186" s="4" t="s">
        <v>21</v>
      </c>
      <c r="B186" s="4" t="s">
        <v>41</v>
      </c>
      <c r="C186" s="4" t="s">
        <v>23</v>
      </c>
      <c r="D186" s="4" t="s">
        <v>42</v>
      </c>
      <c r="E186" s="4" t="s">
        <v>50</v>
      </c>
      <c r="F186" s="4" t="s">
        <v>52</v>
      </c>
      <c r="G186" s="4" t="s">
        <v>25</v>
      </c>
      <c r="H186" s="4" t="s">
        <v>25</v>
      </c>
      <c r="I186" s="5">
        <v>44562</v>
      </c>
      <c r="J186" s="6">
        <v>0</v>
      </c>
      <c r="K186" s="6">
        <v>0</v>
      </c>
      <c r="L186" s="6">
        <v>8.2620000000000005</v>
      </c>
      <c r="M186" s="6">
        <v>2.2307399999999999</v>
      </c>
      <c r="N186" s="6">
        <v>8.2620000000000005</v>
      </c>
      <c r="O186" s="6">
        <v>2.2307399999999999</v>
      </c>
      <c r="P186" s="6">
        <v>0</v>
      </c>
      <c r="Q186" s="4" t="s">
        <v>26</v>
      </c>
      <c r="R186" s="4">
        <v>0</v>
      </c>
      <c r="S186" s="6">
        <v>0</v>
      </c>
      <c r="T186" s="6">
        <v>29</v>
      </c>
      <c r="U186" s="6">
        <v>66</v>
      </c>
      <c r="V186" s="6">
        <f>IF(ISERROR(VLOOKUP($S$186,'TAR FIN'!$A$1:$O$85,15,0)),0,VLOOKUP($S$186,'TAR FIN'!$A$1:$O$85,15,0))</f>
        <v>0</v>
      </c>
      <c r="W186" s="6">
        <f>IF(ISERROR(VLOOKUP($T$186,'TAR FIN'!$A$1:$O$85,15,0)),0,VLOOKUP($T$186,'TAR FIN'!$A$1:$O$85,15,0))</f>
        <v>448.29</v>
      </c>
      <c r="X186" s="6">
        <f>IF(ISERROR(VLOOKUP($U$186,'TAR FIN'!$A$1:$O$85,15,0)),0,VLOOKUP($U$186,'TAR FIN'!$A$1:$O$85,15,0))</f>
        <v>221.63</v>
      </c>
      <c r="Y186" s="6"/>
      <c r="Z186" s="6">
        <f ca="1">('TUSD BE'!$AM$33+'TUSD BF'!$AM$33+'TUSD CVA'!$AM$33)*(1-CUSTOS!$M$38)</f>
        <v>618.4724353141047</v>
      </c>
      <c r="AA186" s="6">
        <f>('TE BE'!$AA$24+'TE BF'!$AA$24+'TE CVA'!$AA$24)*(1-CUSTOS!$M$38)</f>
        <v>241.29063495745513</v>
      </c>
      <c r="AB186" s="6">
        <f>$K$186*$V$186</f>
        <v>0</v>
      </c>
      <c r="AC186" s="6">
        <f>$M$186*$W$186</f>
        <v>1000.0184346</v>
      </c>
      <c r="AD186" s="6">
        <f>$O$186*$X$186</f>
        <v>494.3989062</v>
      </c>
      <c r="AE186" s="6">
        <f>$K$186*$Y$186</f>
        <v>0</v>
      </c>
      <c r="AF186" s="6">
        <f ca="1">$M$186*$Z$186</f>
        <v>1379.6512003525859</v>
      </c>
      <c r="AG186" s="6">
        <f>$O$186*$AA$186</f>
        <v>538.25667102499347</v>
      </c>
    </row>
    <row r="187" spans="1:33" ht="11.25" customHeight="1" x14ac:dyDescent="0.25">
      <c r="A187" s="4" t="s">
        <v>21</v>
      </c>
      <c r="B187" s="4" t="s">
        <v>41</v>
      </c>
      <c r="C187" s="4" t="s">
        <v>23</v>
      </c>
      <c r="D187" s="4" t="s">
        <v>42</v>
      </c>
      <c r="E187" s="4" t="s">
        <v>50</v>
      </c>
      <c r="F187" s="4" t="s">
        <v>52</v>
      </c>
      <c r="G187" s="4" t="s">
        <v>25</v>
      </c>
      <c r="H187" s="4" t="s">
        <v>25</v>
      </c>
      <c r="I187" s="5">
        <v>44593</v>
      </c>
      <c r="J187" s="6">
        <v>0</v>
      </c>
      <c r="K187" s="6">
        <v>0</v>
      </c>
      <c r="L187" s="6">
        <v>5.62</v>
      </c>
      <c r="M187" s="6">
        <v>1.5174000000000001</v>
      </c>
      <c r="N187" s="6">
        <v>5.62</v>
      </c>
      <c r="O187" s="6">
        <v>1.5174000000000001</v>
      </c>
      <c r="P187" s="6">
        <v>0</v>
      </c>
      <c r="Q187" s="4" t="s">
        <v>26</v>
      </c>
      <c r="R187" s="4">
        <v>0</v>
      </c>
      <c r="S187" s="6">
        <v>0</v>
      </c>
      <c r="T187" s="6">
        <v>29</v>
      </c>
      <c r="U187" s="6">
        <v>66</v>
      </c>
      <c r="V187" s="6">
        <f>IF(ISERROR(VLOOKUP($S$187,'TAR FIN'!$A$1:$O$85,15,0)),0,VLOOKUP($S$187,'TAR FIN'!$A$1:$O$85,15,0))</f>
        <v>0</v>
      </c>
      <c r="W187" s="6">
        <f>IF(ISERROR(VLOOKUP($T$187,'TAR FIN'!$A$1:$O$85,15,0)),0,VLOOKUP($T$187,'TAR FIN'!$A$1:$O$85,15,0))</f>
        <v>448.29</v>
      </c>
      <c r="X187" s="6">
        <f>IF(ISERROR(VLOOKUP($U$187,'TAR FIN'!$A$1:$O$85,15,0)),0,VLOOKUP($U$187,'TAR FIN'!$A$1:$O$85,15,0))</f>
        <v>221.63</v>
      </c>
      <c r="Y187" s="6"/>
      <c r="Z187" s="6">
        <f ca="1">('TUSD BE'!$AM$33+'TUSD BF'!$AM$33+'TUSD CVA'!$AM$33)*(1-CUSTOS!$M$38)</f>
        <v>618.4724353141047</v>
      </c>
      <c r="AA187" s="6">
        <f>('TE BE'!$AA$24+'TE BF'!$AA$24+'TE CVA'!$AA$24)*(1-CUSTOS!$M$38)</f>
        <v>241.29063495745513</v>
      </c>
      <c r="AB187" s="6">
        <f>$K$187*$V$187</f>
        <v>0</v>
      </c>
      <c r="AC187" s="6">
        <f>$M$187*$W$187</f>
        <v>680.23524600000007</v>
      </c>
      <c r="AD187" s="6">
        <f>$O$187*$X$187</f>
        <v>336.30136199999998</v>
      </c>
      <c r="AE187" s="6">
        <f>$K$187*$Y$187</f>
        <v>0</v>
      </c>
      <c r="AF187" s="6">
        <f ca="1">$M$187*$Z$187</f>
        <v>938.4700733456225</v>
      </c>
      <c r="AG187" s="6">
        <f>$O$187*$AA$187</f>
        <v>366.13440948444241</v>
      </c>
    </row>
    <row r="188" spans="1:33" ht="11.25" customHeight="1" x14ac:dyDescent="0.25">
      <c r="A188" s="4" t="s">
        <v>21</v>
      </c>
      <c r="B188" s="4" t="s">
        <v>41</v>
      </c>
      <c r="C188" s="4" t="s">
        <v>23</v>
      </c>
      <c r="D188" s="4" t="s">
        <v>42</v>
      </c>
      <c r="E188" s="4" t="s">
        <v>50</v>
      </c>
      <c r="F188" s="4" t="s">
        <v>52</v>
      </c>
      <c r="G188" s="4" t="s">
        <v>25</v>
      </c>
      <c r="H188" s="4" t="s">
        <v>25</v>
      </c>
      <c r="I188" s="5">
        <v>44621</v>
      </c>
      <c r="J188" s="6">
        <v>0</v>
      </c>
      <c r="K188" s="6">
        <v>0</v>
      </c>
      <c r="L188" s="6">
        <v>6.157</v>
      </c>
      <c r="M188" s="6">
        <v>1.66239</v>
      </c>
      <c r="N188" s="6">
        <v>6.157</v>
      </c>
      <c r="O188" s="6">
        <v>1.66239</v>
      </c>
      <c r="P188" s="6">
        <v>0</v>
      </c>
      <c r="Q188" s="4" t="s">
        <v>26</v>
      </c>
      <c r="R188" s="4">
        <v>0</v>
      </c>
      <c r="S188" s="6">
        <v>0</v>
      </c>
      <c r="T188" s="6">
        <v>29</v>
      </c>
      <c r="U188" s="6">
        <v>66</v>
      </c>
      <c r="V188" s="6">
        <f>IF(ISERROR(VLOOKUP($S$188,'TAR FIN'!$A$1:$O$85,15,0)),0,VLOOKUP($S$188,'TAR FIN'!$A$1:$O$85,15,0))</f>
        <v>0</v>
      </c>
      <c r="W188" s="6">
        <f>IF(ISERROR(VLOOKUP($T$188,'TAR FIN'!$A$1:$O$85,15,0)),0,VLOOKUP($T$188,'TAR FIN'!$A$1:$O$85,15,0))</f>
        <v>448.29</v>
      </c>
      <c r="X188" s="6">
        <f>IF(ISERROR(VLOOKUP($U$188,'TAR FIN'!$A$1:$O$85,15,0)),0,VLOOKUP($U$188,'TAR FIN'!$A$1:$O$85,15,0))</f>
        <v>221.63</v>
      </c>
      <c r="Y188" s="6"/>
      <c r="Z188" s="6">
        <f ca="1">('TUSD BE'!$AM$33+'TUSD BF'!$AM$33+'TUSD CVA'!$AM$33)*(1-CUSTOS!$M$38)</f>
        <v>618.4724353141047</v>
      </c>
      <c r="AA188" s="6">
        <f>('TE BE'!$AA$24+'TE BF'!$AA$24+'TE CVA'!$AA$24)*(1-CUSTOS!$M$38)</f>
        <v>241.29063495745513</v>
      </c>
      <c r="AB188" s="6">
        <f>$K$188*$V$188</f>
        <v>0</v>
      </c>
      <c r="AC188" s="6">
        <f>$M$188*$W$188</f>
        <v>745.23281310000004</v>
      </c>
      <c r="AD188" s="6">
        <f>$O$188*$X$188</f>
        <v>368.43549569999999</v>
      </c>
      <c r="AE188" s="6">
        <f>$K$188*$Y$188</f>
        <v>0</v>
      </c>
      <c r="AF188" s="6">
        <f ca="1">$M$188*$Z$188</f>
        <v>1028.1423917418144</v>
      </c>
      <c r="AG188" s="6">
        <f>$O$188*$AA$188</f>
        <v>401.11913864692383</v>
      </c>
    </row>
    <row r="189" spans="1:33" ht="11.25" customHeight="1" x14ac:dyDescent="0.25">
      <c r="A189" s="4" t="s">
        <v>21</v>
      </c>
      <c r="B189" s="4" t="s">
        <v>41</v>
      </c>
      <c r="C189" s="4" t="s">
        <v>23</v>
      </c>
      <c r="D189" s="4" t="s">
        <v>42</v>
      </c>
      <c r="E189" s="4" t="s">
        <v>50</v>
      </c>
      <c r="F189" s="4" t="s">
        <v>52</v>
      </c>
      <c r="G189" s="4" t="s">
        <v>25</v>
      </c>
      <c r="H189" s="4" t="s">
        <v>25</v>
      </c>
      <c r="I189" s="5">
        <v>44652</v>
      </c>
      <c r="J189" s="6">
        <v>0</v>
      </c>
      <c r="K189" s="6">
        <v>0</v>
      </c>
      <c r="L189" s="6">
        <v>3.532</v>
      </c>
      <c r="M189" s="6">
        <v>0.95364000000000004</v>
      </c>
      <c r="N189" s="6">
        <v>3.532</v>
      </c>
      <c r="O189" s="6">
        <v>0.95364000000000004</v>
      </c>
      <c r="P189" s="6">
        <v>0</v>
      </c>
      <c r="Q189" s="4" t="s">
        <v>26</v>
      </c>
      <c r="R189" s="4">
        <v>0</v>
      </c>
      <c r="S189" s="6">
        <v>0</v>
      </c>
      <c r="T189" s="6">
        <v>29</v>
      </c>
      <c r="U189" s="6">
        <v>66</v>
      </c>
      <c r="V189" s="6">
        <f>IF(ISERROR(VLOOKUP($S$189,'TAR FIN'!$A$1:$O$85,15,0)),0,VLOOKUP($S$189,'TAR FIN'!$A$1:$O$85,15,0))</f>
        <v>0</v>
      </c>
      <c r="W189" s="6">
        <f>IF(ISERROR(VLOOKUP($T$189,'TAR FIN'!$A$1:$O$85,15,0)),0,VLOOKUP($T$189,'TAR FIN'!$A$1:$O$85,15,0))</f>
        <v>448.29</v>
      </c>
      <c r="X189" s="6">
        <f>IF(ISERROR(VLOOKUP($U$189,'TAR FIN'!$A$1:$O$85,15,0)),0,VLOOKUP($U$189,'TAR FIN'!$A$1:$O$85,15,0))</f>
        <v>221.63</v>
      </c>
      <c r="Y189" s="6"/>
      <c r="Z189" s="6">
        <f ca="1">('TUSD BE'!$AM$33+'TUSD BF'!$AM$33+'TUSD CVA'!$AM$33)*(1-CUSTOS!$M$38)</f>
        <v>618.4724353141047</v>
      </c>
      <c r="AA189" s="6">
        <f>('TE BE'!$AA$24+'TE BF'!$AA$24+'TE CVA'!$AA$24)*(1-CUSTOS!$M$38)</f>
        <v>241.29063495745513</v>
      </c>
      <c r="AB189" s="6">
        <f>$K$189*$V$189</f>
        <v>0</v>
      </c>
      <c r="AC189" s="6">
        <f>$M$189*$W$189</f>
        <v>427.50727560000001</v>
      </c>
      <c r="AD189" s="6">
        <f>$O$189*$X$189</f>
        <v>211.35523320000001</v>
      </c>
      <c r="AE189" s="6">
        <f>$K$189*$Y$189</f>
        <v>0</v>
      </c>
      <c r="AF189" s="6">
        <f ca="1">$M$189*$Z$189</f>
        <v>589.80005321294288</v>
      </c>
      <c r="AG189" s="6">
        <f>$O$189*$AA$189</f>
        <v>230.1044011208275</v>
      </c>
    </row>
    <row r="190" spans="1:33" ht="11.25" customHeight="1" x14ac:dyDescent="0.25">
      <c r="A190" s="4" t="s">
        <v>21</v>
      </c>
      <c r="B190" s="4" t="s">
        <v>41</v>
      </c>
      <c r="C190" s="4" t="s">
        <v>23</v>
      </c>
      <c r="D190" s="4" t="s">
        <v>42</v>
      </c>
      <c r="E190" s="4" t="s">
        <v>25</v>
      </c>
      <c r="F190" s="4" t="s">
        <v>25</v>
      </c>
      <c r="G190" s="4" t="s">
        <v>25</v>
      </c>
      <c r="H190" s="4" t="s">
        <v>25</v>
      </c>
      <c r="I190" s="5">
        <v>44317</v>
      </c>
      <c r="J190" s="6">
        <v>0</v>
      </c>
      <c r="K190" s="6">
        <v>0</v>
      </c>
      <c r="L190" s="6">
        <v>206.80799999999999</v>
      </c>
      <c r="M190" s="6">
        <v>206.80799999999999</v>
      </c>
      <c r="N190" s="6">
        <v>206.80799999999999</v>
      </c>
      <c r="O190" s="6">
        <v>206.80799999999999</v>
      </c>
      <c r="P190" s="6">
        <v>1819</v>
      </c>
      <c r="Q190" s="4" t="s">
        <v>26</v>
      </c>
      <c r="R190" s="4">
        <v>0</v>
      </c>
      <c r="S190" s="6">
        <v>0</v>
      </c>
      <c r="T190" s="6">
        <v>29</v>
      </c>
      <c r="U190" s="6">
        <v>66</v>
      </c>
      <c r="V190" s="6">
        <f>IF(ISERROR(VLOOKUP($S$190,'TAR FIN'!$A$1:$O$85,15,0)),0,VLOOKUP($S$190,'TAR FIN'!$A$1:$O$85,15,0))</f>
        <v>0</v>
      </c>
      <c r="W190" s="6">
        <f>IF(ISERROR(VLOOKUP($T$190,'TAR FIN'!$A$1:$O$85,15,0)),0,VLOOKUP($T$190,'TAR FIN'!$A$1:$O$85,15,0))</f>
        <v>448.29</v>
      </c>
      <c r="X190" s="6">
        <f>IF(ISERROR(VLOOKUP($U$190,'TAR FIN'!$A$1:$O$85,15,0)),0,VLOOKUP($U$190,'TAR FIN'!$A$1:$O$85,15,0))</f>
        <v>221.63</v>
      </c>
      <c r="Y190" s="6"/>
      <c r="Z190" s="6">
        <f ca="1">('TUSD BE'!$AM$33+'TUSD BF'!$AM$33+'TUSD CVA'!$AM$33)*(1-CUSTOS!$M$38)</f>
        <v>618.4724353141047</v>
      </c>
      <c r="AA190" s="6">
        <f>('TE BE'!$AA$24+'TE BF'!$AA$24+'TE CVA'!$AA$24)*(1-CUSTOS!$M$38)</f>
        <v>241.29063495745513</v>
      </c>
      <c r="AB190" s="6">
        <f>$K$190*$V$190</f>
        <v>0</v>
      </c>
      <c r="AC190" s="6">
        <f>$M$190*$W$190</f>
        <v>92709.958320000005</v>
      </c>
      <c r="AD190" s="6">
        <f>$O$190*$X$190</f>
        <v>45834.857039999995</v>
      </c>
      <c r="AE190" s="6">
        <f>$K$190*$Y$190</f>
        <v>0</v>
      </c>
      <c r="AF190" s="6">
        <f ca="1">$M$190*$Z$190</f>
        <v>127905.04740243936</v>
      </c>
      <c r="AG190" s="6">
        <f>$O$190*$AA$190</f>
        <v>49900.833634281378</v>
      </c>
    </row>
    <row r="191" spans="1:33" ht="11.25" customHeight="1" x14ac:dyDescent="0.25">
      <c r="A191" s="4" t="s">
        <v>21</v>
      </c>
      <c r="B191" s="4" t="s">
        <v>41</v>
      </c>
      <c r="C191" s="4" t="s">
        <v>23</v>
      </c>
      <c r="D191" s="4" t="s">
        <v>42</v>
      </c>
      <c r="E191" s="4" t="s">
        <v>25</v>
      </c>
      <c r="F191" s="4" t="s">
        <v>25</v>
      </c>
      <c r="G191" s="4" t="s">
        <v>25</v>
      </c>
      <c r="H191" s="4" t="s">
        <v>25</v>
      </c>
      <c r="I191" s="5">
        <v>44348</v>
      </c>
      <c r="J191" s="6">
        <v>0</v>
      </c>
      <c r="K191" s="6">
        <v>0</v>
      </c>
      <c r="L191" s="6">
        <v>202.642</v>
      </c>
      <c r="M191" s="6">
        <v>202.642</v>
      </c>
      <c r="N191" s="6">
        <v>202.642</v>
      </c>
      <c r="O191" s="6">
        <v>202.642</v>
      </c>
      <c r="P191" s="6">
        <v>1812</v>
      </c>
      <c r="Q191" s="4" t="s">
        <v>26</v>
      </c>
      <c r="R191" s="4">
        <v>0</v>
      </c>
      <c r="S191" s="6">
        <v>0</v>
      </c>
      <c r="T191" s="6">
        <v>29</v>
      </c>
      <c r="U191" s="6">
        <v>66</v>
      </c>
      <c r="V191" s="6">
        <f>IF(ISERROR(VLOOKUP($S$191,'TAR FIN'!$A$1:$O$85,15,0)),0,VLOOKUP($S$191,'TAR FIN'!$A$1:$O$85,15,0))</f>
        <v>0</v>
      </c>
      <c r="W191" s="6">
        <f>IF(ISERROR(VLOOKUP($T$191,'TAR FIN'!$A$1:$O$85,15,0)),0,VLOOKUP($T$191,'TAR FIN'!$A$1:$O$85,15,0))</f>
        <v>448.29</v>
      </c>
      <c r="X191" s="6">
        <f>IF(ISERROR(VLOOKUP($U$191,'TAR FIN'!$A$1:$O$85,15,0)),0,VLOOKUP($U$191,'TAR FIN'!$A$1:$O$85,15,0))</f>
        <v>221.63</v>
      </c>
      <c r="Y191" s="6"/>
      <c r="Z191" s="6">
        <f ca="1">('TUSD BE'!$AM$33+'TUSD BF'!$AM$33+'TUSD CVA'!$AM$33)*(1-CUSTOS!$M$38)</f>
        <v>618.4724353141047</v>
      </c>
      <c r="AA191" s="6">
        <f>('TE BE'!$AA$24+'TE BF'!$AA$24+'TE CVA'!$AA$24)*(1-CUSTOS!$M$38)</f>
        <v>241.29063495745513</v>
      </c>
      <c r="AB191" s="6">
        <f>$K$191*$V$191</f>
        <v>0</v>
      </c>
      <c r="AC191" s="6">
        <f>$M$191*$W$191</f>
        <v>90842.382180000001</v>
      </c>
      <c r="AD191" s="6">
        <f>$O$191*$X$191</f>
        <v>44911.546459999998</v>
      </c>
      <c r="AE191" s="6">
        <f>$K$191*$Y$191</f>
        <v>0</v>
      </c>
      <c r="AF191" s="6">
        <f ca="1">$M$191*$Z$191</f>
        <v>125328.4912369208</v>
      </c>
      <c r="AG191" s="6">
        <f>$O$191*$AA$191</f>
        <v>48895.616849048623</v>
      </c>
    </row>
    <row r="192" spans="1:33" ht="11.25" customHeight="1" x14ac:dyDescent="0.25">
      <c r="A192" s="4" t="s">
        <v>27</v>
      </c>
      <c r="B192" s="4" t="s">
        <v>41</v>
      </c>
      <c r="C192" s="4" t="s">
        <v>23</v>
      </c>
      <c r="D192" s="4" t="s">
        <v>42</v>
      </c>
      <c r="E192" s="4" t="s">
        <v>25</v>
      </c>
      <c r="F192" s="4" t="s">
        <v>25</v>
      </c>
      <c r="G192" s="4" t="s">
        <v>25</v>
      </c>
      <c r="H192" s="4" t="s">
        <v>25</v>
      </c>
      <c r="I192" s="5">
        <v>44348</v>
      </c>
      <c r="J192" s="6">
        <v>0</v>
      </c>
      <c r="K192" s="6">
        <v>0</v>
      </c>
      <c r="L192" s="6">
        <v>1.649</v>
      </c>
      <c r="M192" s="6">
        <v>1.649</v>
      </c>
      <c r="N192" s="6">
        <v>1.649</v>
      </c>
      <c r="O192" s="6">
        <v>1.649</v>
      </c>
      <c r="P192" s="6">
        <v>5</v>
      </c>
      <c r="Q192" s="4" t="s">
        <v>26</v>
      </c>
      <c r="R192" s="4">
        <v>0</v>
      </c>
      <c r="S192" s="6">
        <v>0</v>
      </c>
      <c r="T192" s="6">
        <v>29</v>
      </c>
      <c r="U192" s="6">
        <v>66</v>
      </c>
      <c r="V192" s="6">
        <f>IF(ISERROR(VLOOKUP($S$192,'TAR FIN'!$A$1:$O$85,15,0)),0,VLOOKUP($S$192,'TAR FIN'!$A$1:$O$85,15,0))</f>
        <v>0</v>
      </c>
      <c r="W192" s="6">
        <f>IF(ISERROR(VLOOKUP($T$192,'TAR FIN'!$A$1:$O$85,15,0)),0,VLOOKUP($T$192,'TAR FIN'!$A$1:$O$85,15,0))</f>
        <v>448.29</v>
      </c>
      <c r="X192" s="6">
        <f>IF(ISERROR(VLOOKUP($U$192,'TAR FIN'!$A$1:$O$85,15,0)),0,VLOOKUP($U$192,'TAR FIN'!$A$1:$O$85,15,0))</f>
        <v>221.63</v>
      </c>
      <c r="Y192" s="6"/>
      <c r="Z192" s="6">
        <f ca="1">('TUSD BE'!$AM$33+'TUSD BF'!$AM$33+'TUSD CVA'!$AM$33)*(1-CUSTOS!$M$38)</f>
        <v>618.4724353141047</v>
      </c>
      <c r="AA192" s="6">
        <f>('TE BE'!$AA$24+'TE BF'!$AA$24+'TE CVA'!$AA$24)*(1-CUSTOS!$M$38)</f>
        <v>241.29063495745513</v>
      </c>
      <c r="AB192" s="6">
        <f>$K$192*$V$192</f>
        <v>0</v>
      </c>
      <c r="AC192" s="6">
        <f>$M$192*$W$192</f>
        <v>739.23021000000006</v>
      </c>
      <c r="AD192" s="6">
        <f>$O$192*$X$192</f>
        <v>365.46787</v>
      </c>
      <c r="AE192" s="6">
        <f>$K$192*$Y$192</f>
        <v>0</v>
      </c>
      <c r="AF192" s="6">
        <f ca="1">$M$192*$Z$192</f>
        <v>1019.8610458329587</v>
      </c>
      <c r="AG192" s="6">
        <f>$O$192*$AA$192</f>
        <v>397.8882570448435</v>
      </c>
    </row>
    <row r="193" spans="1:33" ht="11.25" customHeight="1" x14ac:dyDescent="0.25">
      <c r="A193" s="4" t="s">
        <v>21</v>
      </c>
      <c r="B193" s="4" t="s">
        <v>41</v>
      </c>
      <c r="C193" s="4" t="s">
        <v>23</v>
      </c>
      <c r="D193" s="4" t="s">
        <v>42</v>
      </c>
      <c r="E193" s="4" t="s">
        <v>25</v>
      </c>
      <c r="F193" s="4" t="s">
        <v>25</v>
      </c>
      <c r="G193" s="4" t="s">
        <v>25</v>
      </c>
      <c r="H193" s="4" t="s">
        <v>25</v>
      </c>
      <c r="I193" s="5">
        <v>44378</v>
      </c>
      <c r="J193" s="6">
        <v>0</v>
      </c>
      <c r="K193" s="6">
        <v>0</v>
      </c>
      <c r="L193" s="6">
        <v>182.971</v>
      </c>
      <c r="M193" s="6">
        <v>182.971</v>
      </c>
      <c r="N193" s="6">
        <v>182.971</v>
      </c>
      <c r="O193" s="6">
        <v>182.971</v>
      </c>
      <c r="P193" s="6">
        <v>1807</v>
      </c>
      <c r="Q193" s="4" t="s">
        <v>26</v>
      </c>
      <c r="R193" s="4">
        <v>0</v>
      </c>
      <c r="S193" s="6">
        <v>0</v>
      </c>
      <c r="T193" s="6">
        <v>29</v>
      </c>
      <c r="U193" s="6">
        <v>66</v>
      </c>
      <c r="V193" s="6">
        <f>IF(ISERROR(VLOOKUP($S$193,'TAR FIN'!$A$1:$O$85,15,0)),0,VLOOKUP($S$193,'TAR FIN'!$A$1:$O$85,15,0))</f>
        <v>0</v>
      </c>
      <c r="W193" s="6">
        <f>IF(ISERROR(VLOOKUP($T$193,'TAR FIN'!$A$1:$O$85,15,0)),0,VLOOKUP($T$193,'TAR FIN'!$A$1:$O$85,15,0))</f>
        <v>448.29</v>
      </c>
      <c r="X193" s="6">
        <f>IF(ISERROR(VLOOKUP($U$193,'TAR FIN'!$A$1:$O$85,15,0)),0,VLOOKUP($U$193,'TAR FIN'!$A$1:$O$85,15,0))</f>
        <v>221.63</v>
      </c>
      <c r="Y193" s="6"/>
      <c r="Z193" s="6">
        <f ca="1">('TUSD BE'!$AM$33+'TUSD BF'!$AM$33+'TUSD CVA'!$AM$33)*(1-CUSTOS!$M$38)</f>
        <v>618.4724353141047</v>
      </c>
      <c r="AA193" s="6">
        <f>('TE BE'!$AA$24+'TE BF'!$AA$24+'TE CVA'!$AA$24)*(1-CUSTOS!$M$38)</f>
        <v>241.29063495745513</v>
      </c>
      <c r="AB193" s="6">
        <f>$K$193*$V$193</f>
        <v>0</v>
      </c>
      <c r="AC193" s="6">
        <f>$M$193*$W$193</f>
        <v>82024.069589999999</v>
      </c>
      <c r="AD193" s="6">
        <f>$O$193*$X$193</f>
        <v>40551.862730000001</v>
      </c>
      <c r="AE193" s="6">
        <f>$K$193*$Y$193</f>
        <v>0</v>
      </c>
      <c r="AF193" s="6">
        <f ca="1">$M$193*$Z$193</f>
        <v>113162.51996185705</v>
      </c>
      <c r="AG193" s="6">
        <f>$O$193*$AA$193</f>
        <v>44149.188768800523</v>
      </c>
    </row>
    <row r="194" spans="1:33" ht="11.25" customHeight="1" x14ac:dyDescent="0.25">
      <c r="A194" s="4" t="s">
        <v>27</v>
      </c>
      <c r="B194" s="4" t="s">
        <v>41</v>
      </c>
      <c r="C194" s="4" t="s">
        <v>23</v>
      </c>
      <c r="D194" s="4" t="s">
        <v>42</v>
      </c>
      <c r="E194" s="4" t="s">
        <v>25</v>
      </c>
      <c r="F194" s="4" t="s">
        <v>25</v>
      </c>
      <c r="G194" s="4" t="s">
        <v>25</v>
      </c>
      <c r="H194" s="4" t="s">
        <v>25</v>
      </c>
      <c r="I194" s="5">
        <v>44378</v>
      </c>
      <c r="J194" s="6">
        <v>0</v>
      </c>
      <c r="K194" s="6">
        <v>0</v>
      </c>
      <c r="L194" s="6">
        <v>1.875</v>
      </c>
      <c r="M194" s="6">
        <v>1.875</v>
      </c>
      <c r="N194" s="6">
        <v>1.875</v>
      </c>
      <c r="O194" s="6">
        <v>1.875</v>
      </c>
      <c r="P194" s="6">
        <v>6</v>
      </c>
      <c r="Q194" s="4" t="s">
        <v>26</v>
      </c>
      <c r="R194" s="4">
        <v>0</v>
      </c>
      <c r="S194" s="6">
        <v>0</v>
      </c>
      <c r="T194" s="6">
        <v>29</v>
      </c>
      <c r="U194" s="6">
        <v>66</v>
      </c>
      <c r="V194" s="6">
        <f>IF(ISERROR(VLOOKUP($S$194,'TAR FIN'!$A$1:$O$85,15,0)),0,VLOOKUP($S$194,'TAR FIN'!$A$1:$O$85,15,0))</f>
        <v>0</v>
      </c>
      <c r="W194" s="6">
        <f>IF(ISERROR(VLOOKUP($T$194,'TAR FIN'!$A$1:$O$85,15,0)),0,VLOOKUP($T$194,'TAR FIN'!$A$1:$O$85,15,0))</f>
        <v>448.29</v>
      </c>
      <c r="X194" s="6">
        <f>IF(ISERROR(VLOOKUP($U$194,'TAR FIN'!$A$1:$O$85,15,0)),0,VLOOKUP($U$194,'TAR FIN'!$A$1:$O$85,15,0))</f>
        <v>221.63</v>
      </c>
      <c r="Y194" s="6"/>
      <c r="Z194" s="6">
        <f ca="1">('TUSD BE'!$AM$33+'TUSD BF'!$AM$33+'TUSD CVA'!$AM$33)*(1-CUSTOS!$M$38)</f>
        <v>618.4724353141047</v>
      </c>
      <c r="AA194" s="6">
        <f>('TE BE'!$AA$24+'TE BF'!$AA$24+'TE CVA'!$AA$24)*(1-CUSTOS!$M$38)</f>
        <v>241.29063495745513</v>
      </c>
      <c r="AB194" s="6">
        <f>$K$194*$V$194</f>
        <v>0</v>
      </c>
      <c r="AC194" s="6">
        <f>$M$194*$W$194</f>
        <v>840.54375000000005</v>
      </c>
      <c r="AD194" s="6">
        <f>$O$194*$X$194</f>
        <v>415.55624999999998</v>
      </c>
      <c r="AE194" s="6">
        <f>$K$194*$Y$194</f>
        <v>0</v>
      </c>
      <c r="AF194" s="6">
        <f ca="1">$M$194*$Z$194</f>
        <v>1159.6358162139463</v>
      </c>
      <c r="AG194" s="6">
        <f>$O$194*$AA$194</f>
        <v>452.41994054522837</v>
      </c>
    </row>
    <row r="195" spans="1:33" ht="11.25" customHeight="1" x14ac:dyDescent="0.25">
      <c r="A195" s="4" t="s">
        <v>21</v>
      </c>
      <c r="B195" s="4" t="s">
        <v>41</v>
      </c>
      <c r="C195" s="4" t="s">
        <v>23</v>
      </c>
      <c r="D195" s="4" t="s">
        <v>42</v>
      </c>
      <c r="E195" s="4" t="s">
        <v>25</v>
      </c>
      <c r="F195" s="4" t="s">
        <v>25</v>
      </c>
      <c r="G195" s="4" t="s">
        <v>25</v>
      </c>
      <c r="H195" s="4" t="s">
        <v>25</v>
      </c>
      <c r="I195" s="5">
        <v>44409</v>
      </c>
      <c r="J195" s="6">
        <v>0</v>
      </c>
      <c r="K195" s="6">
        <v>0</v>
      </c>
      <c r="L195" s="6">
        <v>181.00299999999999</v>
      </c>
      <c r="M195" s="6">
        <v>181.00299999999999</v>
      </c>
      <c r="N195" s="6">
        <v>181.00299999999999</v>
      </c>
      <c r="O195" s="6">
        <v>181.00299999999999</v>
      </c>
      <c r="P195" s="6">
        <v>1792</v>
      </c>
      <c r="Q195" s="4" t="s">
        <v>26</v>
      </c>
      <c r="R195" s="4">
        <v>0</v>
      </c>
      <c r="S195" s="6">
        <v>0</v>
      </c>
      <c r="T195" s="6">
        <v>29</v>
      </c>
      <c r="U195" s="6">
        <v>66</v>
      </c>
      <c r="V195" s="6">
        <f>IF(ISERROR(VLOOKUP($S$195,'TAR FIN'!$A$1:$O$85,15,0)),0,VLOOKUP($S$195,'TAR FIN'!$A$1:$O$85,15,0))</f>
        <v>0</v>
      </c>
      <c r="W195" s="6">
        <f>IF(ISERROR(VLOOKUP($T$195,'TAR FIN'!$A$1:$O$85,15,0)),0,VLOOKUP($T$195,'TAR FIN'!$A$1:$O$85,15,0))</f>
        <v>448.29</v>
      </c>
      <c r="X195" s="6">
        <f>IF(ISERROR(VLOOKUP($U$195,'TAR FIN'!$A$1:$O$85,15,0)),0,VLOOKUP($U$195,'TAR FIN'!$A$1:$O$85,15,0))</f>
        <v>221.63</v>
      </c>
      <c r="Y195" s="6"/>
      <c r="Z195" s="6">
        <f ca="1">('TUSD BE'!$AM$33+'TUSD BF'!$AM$33+'TUSD CVA'!$AM$33)*(1-CUSTOS!$M$38)</f>
        <v>618.4724353141047</v>
      </c>
      <c r="AA195" s="6">
        <f>('TE BE'!$AA$24+'TE BF'!$AA$24+'TE CVA'!$AA$24)*(1-CUSTOS!$M$38)</f>
        <v>241.29063495745513</v>
      </c>
      <c r="AB195" s="6">
        <f>$K$195*$V$195</f>
        <v>0</v>
      </c>
      <c r="AC195" s="6">
        <f>$M$195*$W$195</f>
        <v>81141.834869999991</v>
      </c>
      <c r="AD195" s="6">
        <f>$O$195*$X$195</f>
        <v>40115.694889999999</v>
      </c>
      <c r="AE195" s="6">
        <f>$K$195*$Y$195</f>
        <v>0</v>
      </c>
      <c r="AF195" s="6">
        <f ca="1">$M$195*$Z$195</f>
        <v>111945.36620915888</v>
      </c>
      <c r="AG195" s="6">
        <f>$O$195*$AA$195</f>
        <v>43674.328799204246</v>
      </c>
    </row>
    <row r="196" spans="1:33" ht="11.25" customHeight="1" x14ac:dyDescent="0.25">
      <c r="A196" s="4" t="s">
        <v>27</v>
      </c>
      <c r="B196" s="4" t="s">
        <v>41</v>
      </c>
      <c r="C196" s="4" t="s">
        <v>23</v>
      </c>
      <c r="D196" s="4" t="s">
        <v>42</v>
      </c>
      <c r="E196" s="4" t="s">
        <v>25</v>
      </c>
      <c r="F196" s="4" t="s">
        <v>25</v>
      </c>
      <c r="G196" s="4" t="s">
        <v>25</v>
      </c>
      <c r="H196" s="4" t="s">
        <v>25</v>
      </c>
      <c r="I196" s="5">
        <v>44409</v>
      </c>
      <c r="J196" s="6">
        <v>0</v>
      </c>
      <c r="K196" s="6">
        <v>0</v>
      </c>
      <c r="L196" s="6">
        <v>3.98</v>
      </c>
      <c r="M196" s="6">
        <v>3.98</v>
      </c>
      <c r="N196" s="6">
        <v>3.98</v>
      </c>
      <c r="O196" s="6">
        <v>3.98</v>
      </c>
      <c r="P196" s="6">
        <v>6</v>
      </c>
      <c r="Q196" s="4" t="s">
        <v>26</v>
      </c>
      <c r="R196" s="4">
        <v>0</v>
      </c>
      <c r="S196" s="6">
        <v>0</v>
      </c>
      <c r="T196" s="6">
        <v>29</v>
      </c>
      <c r="U196" s="6">
        <v>66</v>
      </c>
      <c r="V196" s="6">
        <f>IF(ISERROR(VLOOKUP($S$196,'TAR FIN'!$A$1:$O$85,15,0)),0,VLOOKUP($S$196,'TAR FIN'!$A$1:$O$85,15,0))</f>
        <v>0</v>
      </c>
      <c r="W196" s="6">
        <f>IF(ISERROR(VLOOKUP($T$196,'TAR FIN'!$A$1:$O$85,15,0)),0,VLOOKUP($T$196,'TAR FIN'!$A$1:$O$85,15,0))</f>
        <v>448.29</v>
      </c>
      <c r="X196" s="6">
        <f>IF(ISERROR(VLOOKUP($U$196,'TAR FIN'!$A$1:$O$85,15,0)),0,VLOOKUP($U$196,'TAR FIN'!$A$1:$O$85,15,0))</f>
        <v>221.63</v>
      </c>
      <c r="Y196" s="6"/>
      <c r="Z196" s="6">
        <f ca="1">('TUSD BE'!$AM$33+'TUSD BF'!$AM$33+'TUSD CVA'!$AM$33)*(1-CUSTOS!$M$38)</f>
        <v>618.4724353141047</v>
      </c>
      <c r="AA196" s="6">
        <f>('TE BE'!$AA$24+'TE BF'!$AA$24+'TE CVA'!$AA$24)*(1-CUSTOS!$M$38)</f>
        <v>241.29063495745513</v>
      </c>
      <c r="AB196" s="6">
        <f>$K$196*$V$196</f>
        <v>0</v>
      </c>
      <c r="AC196" s="6">
        <f>$M$196*$W$196</f>
        <v>1784.1942000000001</v>
      </c>
      <c r="AD196" s="6">
        <f>$O$196*$X$196</f>
        <v>882.0874</v>
      </c>
      <c r="AE196" s="6">
        <f>$K$196*$Y$196</f>
        <v>0</v>
      </c>
      <c r="AF196" s="6">
        <f ca="1">$M$196*$Z$196</f>
        <v>2461.5202925501367</v>
      </c>
      <c r="AG196" s="6">
        <f>$O$196*$AA$196</f>
        <v>960.33672713067142</v>
      </c>
    </row>
    <row r="197" spans="1:33" ht="11.25" customHeight="1" x14ac:dyDescent="0.25">
      <c r="A197" s="4" t="s">
        <v>21</v>
      </c>
      <c r="B197" s="4" t="s">
        <v>41</v>
      </c>
      <c r="C197" s="4" t="s">
        <v>23</v>
      </c>
      <c r="D197" s="4" t="s">
        <v>42</v>
      </c>
      <c r="E197" s="4" t="s">
        <v>25</v>
      </c>
      <c r="F197" s="4" t="s">
        <v>25</v>
      </c>
      <c r="G197" s="4" t="s">
        <v>25</v>
      </c>
      <c r="H197" s="4" t="s">
        <v>25</v>
      </c>
      <c r="I197" s="5">
        <v>44440</v>
      </c>
      <c r="J197" s="6">
        <v>0</v>
      </c>
      <c r="K197" s="6">
        <v>0</v>
      </c>
      <c r="L197" s="6">
        <v>186.982</v>
      </c>
      <c r="M197" s="6">
        <v>186.982</v>
      </c>
      <c r="N197" s="6">
        <v>186.982</v>
      </c>
      <c r="O197" s="6">
        <v>186.982</v>
      </c>
      <c r="P197" s="6">
        <v>1778</v>
      </c>
      <c r="Q197" s="4" t="s">
        <v>26</v>
      </c>
      <c r="R197" s="4">
        <v>0</v>
      </c>
      <c r="S197" s="6">
        <v>0</v>
      </c>
      <c r="T197" s="6">
        <v>29</v>
      </c>
      <c r="U197" s="6">
        <v>66</v>
      </c>
      <c r="V197" s="6">
        <f>IF(ISERROR(VLOOKUP($S$197,'TAR FIN'!$A$1:$O$85,15,0)),0,VLOOKUP($S$197,'TAR FIN'!$A$1:$O$85,15,0))</f>
        <v>0</v>
      </c>
      <c r="W197" s="6">
        <f>IF(ISERROR(VLOOKUP($T$197,'TAR FIN'!$A$1:$O$85,15,0)),0,VLOOKUP($T$197,'TAR FIN'!$A$1:$O$85,15,0))</f>
        <v>448.29</v>
      </c>
      <c r="X197" s="6">
        <f>IF(ISERROR(VLOOKUP($U$197,'TAR FIN'!$A$1:$O$85,15,0)),0,VLOOKUP($U$197,'TAR FIN'!$A$1:$O$85,15,0))</f>
        <v>221.63</v>
      </c>
      <c r="Y197" s="6"/>
      <c r="Z197" s="6">
        <f ca="1">('TUSD BE'!$AM$33+'TUSD BF'!$AM$33+'TUSD CVA'!$AM$33)*(1-CUSTOS!$M$38)</f>
        <v>618.4724353141047</v>
      </c>
      <c r="AA197" s="6">
        <f>('TE BE'!$AA$24+'TE BF'!$AA$24+'TE CVA'!$AA$24)*(1-CUSTOS!$M$38)</f>
        <v>241.29063495745513</v>
      </c>
      <c r="AB197" s="6">
        <f>$K$197*$V$197</f>
        <v>0</v>
      </c>
      <c r="AC197" s="6">
        <f>$M$197*$W$197</f>
        <v>83822.160780000006</v>
      </c>
      <c r="AD197" s="6">
        <f>$O$197*$X$197</f>
        <v>41440.820659999998</v>
      </c>
      <c r="AE197" s="6">
        <f>$K$197*$Y$197</f>
        <v>0</v>
      </c>
      <c r="AF197" s="6">
        <f ca="1">$M$197*$Z$197</f>
        <v>115643.21289990192</v>
      </c>
      <c r="AG197" s="6">
        <f>$O$197*$AA$197</f>
        <v>45117.005505614878</v>
      </c>
    </row>
    <row r="198" spans="1:33" ht="11.25" customHeight="1" x14ac:dyDescent="0.25">
      <c r="A198" s="4" t="s">
        <v>27</v>
      </c>
      <c r="B198" s="4" t="s">
        <v>41</v>
      </c>
      <c r="C198" s="4" t="s">
        <v>23</v>
      </c>
      <c r="D198" s="4" t="s">
        <v>42</v>
      </c>
      <c r="E198" s="4" t="s">
        <v>25</v>
      </c>
      <c r="F198" s="4" t="s">
        <v>25</v>
      </c>
      <c r="G198" s="4" t="s">
        <v>25</v>
      </c>
      <c r="H198" s="4" t="s">
        <v>25</v>
      </c>
      <c r="I198" s="5">
        <v>44440</v>
      </c>
      <c r="J198" s="6">
        <v>0</v>
      </c>
      <c r="K198" s="6">
        <v>0</v>
      </c>
      <c r="L198" s="6">
        <v>3.367</v>
      </c>
      <c r="M198" s="6">
        <v>3.367</v>
      </c>
      <c r="N198" s="6">
        <v>3.367</v>
      </c>
      <c r="O198" s="6">
        <v>3.367</v>
      </c>
      <c r="P198" s="6">
        <v>7</v>
      </c>
      <c r="Q198" s="4" t="s">
        <v>26</v>
      </c>
      <c r="R198" s="4">
        <v>0</v>
      </c>
      <c r="S198" s="6">
        <v>0</v>
      </c>
      <c r="T198" s="6">
        <v>29</v>
      </c>
      <c r="U198" s="6">
        <v>66</v>
      </c>
      <c r="V198" s="6">
        <f>IF(ISERROR(VLOOKUP($S$198,'TAR FIN'!$A$1:$O$85,15,0)),0,VLOOKUP($S$198,'TAR FIN'!$A$1:$O$85,15,0))</f>
        <v>0</v>
      </c>
      <c r="W198" s="6">
        <f>IF(ISERROR(VLOOKUP($T$198,'TAR FIN'!$A$1:$O$85,15,0)),0,VLOOKUP($T$198,'TAR FIN'!$A$1:$O$85,15,0))</f>
        <v>448.29</v>
      </c>
      <c r="X198" s="6">
        <f>IF(ISERROR(VLOOKUP($U$198,'TAR FIN'!$A$1:$O$85,15,0)),0,VLOOKUP($U$198,'TAR FIN'!$A$1:$O$85,15,0))</f>
        <v>221.63</v>
      </c>
      <c r="Y198" s="6"/>
      <c r="Z198" s="6">
        <f ca="1">('TUSD BE'!$AM$33+'TUSD BF'!$AM$33+'TUSD CVA'!$AM$33)*(1-CUSTOS!$M$38)</f>
        <v>618.4724353141047</v>
      </c>
      <c r="AA198" s="6">
        <f>('TE BE'!$AA$24+'TE BF'!$AA$24+'TE CVA'!$AA$24)*(1-CUSTOS!$M$38)</f>
        <v>241.29063495745513</v>
      </c>
      <c r="AB198" s="6">
        <f>$K$198*$V$198</f>
        <v>0</v>
      </c>
      <c r="AC198" s="6">
        <f>$M$198*$W$198</f>
        <v>1509.3924300000001</v>
      </c>
      <c r="AD198" s="6">
        <f>$O$198*$X$198</f>
        <v>746.22820999999999</v>
      </c>
      <c r="AE198" s="6">
        <f>$K$198*$Y$198</f>
        <v>0</v>
      </c>
      <c r="AF198" s="6">
        <f ca="1">$M$198*$Z$198</f>
        <v>2082.3966897025907</v>
      </c>
      <c r="AG198" s="6">
        <f>$O$198*$AA$198</f>
        <v>812.42556790175138</v>
      </c>
    </row>
    <row r="199" spans="1:33" ht="11.25" customHeight="1" x14ac:dyDescent="0.25">
      <c r="A199" s="4" t="s">
        <v>21</v>
      </c>
      <c r="B199" s="4" t="s">
        <v>41</v>
      </c>
      <c r="C199" s="4" t="s">
        <v>23</v>
      </c>
      <c r="D199" s="4" t="s">
        <v>42</v>
      </c>
      <c r="E199" s="4" t="s">
        <v>25</v>
      </c>
      <c r="F199" s="4" t="s">
        <v>25</v>
      </c>
      <c r="G199" s="4" t="s">
        <v>25</v>
      </c>
      <c r="H199" s="4" t="s">
        <v>25</v>
      </c>
      <c r="I199" s="5">
        <v>44470</v>
      </c>
      <c r="J199" s="6">
        <v>0</v>
      </c>
      <c r="K199" s="6">
        <v>0</v>
      </c>
      <c r="L199" s="6">
        <v>193.477</v>
      </c>
      <c r="M199" s="6">
        <v>193.477</v>
      </c>
      <c r="N199" s="6">
        <v>193.477</v>
      </c>
      <c r="O199" s="6">
        <v>193.477</v>
      </c>
      <c r="P199" s="6">
        <v>1761</v>
      </c>
      <c r="Q199" s="4" t="s">
        <v>26</v>
      </c>
      <c r="R199" s="4">
        <v>0</v>
      </c>
      <c r="S199" s="6">
        <v>0</v>
      </c>
      <c r="T199" s="6">
        <v>29</v>
      </c>
      <c r="U199" s="6">
        <v>66</v>
      </c>
      <c r="V199" s="6">
        <f>IF(ISERROR(VLOOKUP($S$199,'TAR FIN'!$A$1:$O$85,15,0)),0,VLOOKUP($S$199,'TAR FIN'!$A$1:$O$85,15,0))</f>
        <v>0</v>
      </c>
      <c r="W199" s="6">
        <f>IF(ISERROR(VLOOKUP($T$199,'TAR FIN'!$A$1:$O$85,15,0)),0,VLOOKUP($T$199,'TAR FIN'!$A$1:$O$85,15,0))</f>
        <v>448.29</v>
      </c>
      <c r="X199" s="6">
        <f>IF(ISERROR(VLOOKUP($U$199,'TAR FIN'!$A$1:$O$85,15,0)),0,VLOOKUP($U$199,'TAR FIN'!$A$1:$O$85,15,0))</f>
        <v>221.63</v>
      </c>
      <c r="Y199" s="6"/>
      <c r="Z199" s="6">
        <f ca="1">('TUSD BE'!$AM$33+'TUSD BF'!$AM$33+'TUSD CVA'!$AM$33)*(1-CUSTOS!$M$38)</f>
        <v>618.4724353141047</v>
      </c>
      <c r="AA199" s="6">
        <f>('TE BE'!$AA$24+'TE BF'!$AA$24+'TE CVA'!$AA$24)*(1-CUSTOS!$M$38)</f>
        <v>241.29063495745513</v>
      </c>
      <c r="AB199" s="6">
        <f>$K$199*$V$199</f>
        <v>0</v>
      </c>
      <c r="AC199" s="6">
        <f>$M$199*$W$199</f>
        <v>86733.804329999999</v>
      </c>
      <c r="AD199" s="6">
        <f>$O$199*$X$199</f>
        <v>42880.307509999999</v>
      </c>
      <c r="AE199" s="6">
        <f>$K$199*$Y$199</f>
        <v>0</v>
      </c>
      <c r="AF199" s="6">
        <f ca="1">$M$199*$Z$199</f>
        <v>119660.19136726703</v>
      </c>
      <c r="AG199" s="6">
        <f>$O$199*$AA$199</f>
        <v>46684.18817966355</v>
      </c>
    </row>
    <row r="200" spans="1:33" ht="11.25" customHeight="1" x14ac:dyDescent="0.25">
      <c r="A200" s="4" t="s">
        <v>27</v>
      </c>
      <c r="B200" s="4" t="s">
        <v>41</v>
      </c>
      <c r="C200" s="4" t="s">
        <v>23</v>
      </c>
      <c r="D200" s="4" t="s">
        <v>42</v>
      </c>
      <c r="E200" s="4" t="s">
        <v>25</v>
      </c>
      <c r="F200" s="4" t="s">
        <v>25</v>
      </c>
      <c r="G200" s="4" t="s">
        <v>25</v>
      </c>
      <c r="H200" s="4" t="s">
        <v>25</v>
      </c>
      <c r="I200" s="5">
        <v>44470</v>
      </c>
      <c r="J200" s="6">
        <v>0</v>
      </c>
      <c r="K200" s="6">
        <v>0</v>
      </c>
      <c r="L200" s="6">
        <v>1.6419999999999999</v>
      </c>
      <c r="M200" s="6">
        <v>1.6419999999999999</v>
      </c>
      <c r="N200" s="6">
        <v>1.6419999999999999</v>
      </c>
      <c r="O200" s="6">
        <v>1.6419999999999999</v>
      </c>
      <c r="P200" s="6">
        <v>7</v>
      </c>
      <c r="Q200" s="4" t="s">
        <v>26</v>
      </c>
      <c r="R200" s="4">
        <v>0</v>
      </c>
      <c r="S200" s="6">
        <v>0</v>
      </c>
      <c r="T200" s="6">
        <v>29</v>
      </c>
      <c r="U200" s="6">
        <v>66</v>
      </c>
      <c r="V200" s="6">
        <f>IF(ISERROR(VLOOKUP($S$200,'TAR FIN'!$A$1:$O$85,15,0)),0,VLOOKUP($S$200,'TAR FIN'!$A$1:$O$85,15,0))</f>
        <v>0</v>
      </c>
      <c r="W200" s="6">
        <f>IF(ISERROR(VLOOKUP($T$200,'TAR FIN'!$A$1:$O$85,15,0)),0,VLOOKUP($T$200,'TAR FIN'!$A$1:$O$85,15,0))</f>
        <v>448.29</v>
      </c>
      <c r="X200" s="6">
        <f>IF(ISERROR(VLOOKUP($U$200,'TAR FIN'!$A$1:$O$85,15,0)),0,VLOOKUP($U$200,'TAR FIN'!$A$1:$O$85,15,0))</f>
        <v>221.63</v>
      </c>
      <c r="Y200" s="6"/>
      <c r="Z200" s="6">
        <f ca="1">('TUSD BE'!$AM$33+'TUSD BF'!$AM$33+'TUSD CVA'!$AM$33)*(1-CUSTOS!$M$38)</f>
        <v>618.4724353141047</v>
      </c>
      <c r="AA200" s="6">
        <f>('TE BE'!$AA$24+'TE BF'!$AA$24+'TE CVA'!$AA$24)*(1-CUSTOS!$M$38)</f>
        <v>241.29063495745513</v>
      </c>
      <c r="AB200" s="6">
        <f>$K$200*$V$200</f>
        <v>0</v>
      </c>
      <c r="AC200" s="6">
        <f>$M$200*$W$200</f>
        <v>736.09217999999998</v>
      </c>
      <c r="AD200" s="6">
        <f>$O$200*$X$200</f>
        <v>363.91645999999997</v>
      </c>
      <c r="AE200" s="6">
        <f>$K$200*$Y$200</f>
        <v>0</v>
      </c>
      <c r="AF200" s="6">
        <f ca="1">$M$200*$Z$200</f>
        <v>1015.5317387857599</v>
      </c>
      <c r="AG200" s="6">
        <f>$O$200*$AA$200</f>
        <v>396.1992226001413</v>
      </c>
    </row>
    <row r="201" spans="1:33" ht="11.25" customHeight="1" x14ac:dyDescent="0.25">
      <c r="A201" s="4" t="s">
        <v>21</v>
      </c>
      <c r="B201" s="4" t="s">
        <v>41</v>
      </c>
      <c r="C201" s="4" t="s">
        <v>23</v>
      </c>
      <c r="D201" s="4" t="s">
        <v>42</v>
      </c>
      <c r="E201" s="4" t="s">
        <v>25</v>
      </c>
      <c r="F201" s="4" t="s">
        <v>25</v>
      </c>
      <c r="G201" s="4" t="s">
        <v>25</v>
      </c>
      <c r="H201" s="4" t="s">
        <v>25</v>
      </c>
      <c r="I201" s="5">
        <v>44501</v>
      </c>
      <c r="J201" s="6">
        <v>0</v>
      </c>
      <c r="K201" s="6">
        <v>0</v>
      </c>
      <c r="L201" s="6">
        <v>233.98599999999999</v>
      </c>
      <c r="M201" s="6">
        <v>233.98599999999999</v>
      </c>
      <c r="N201" s="6">
        <v>233.98599999999999</v>
      </c>
      <c r="O201" s="6">
        <v>233.98599999999999</v>
      </c>
      <c r="P201" s="6">
        <v>1752</v>
      </c>
      <c r="Q201" s="4" t="s">
        <v>26</v>
      </c>
      <c r="R201" s="4">
        <v>0</v>
      </c>
      <c r="S201" s="6">
        <v>0</v>
      </c>
      <c r="T201" s="6">
        <v>29</v>
      </c>
      <c r="U201" s="6">
        <v>66</v>
      </c>
      <c r="V201" s="6">
        <f>IF(ISERROR(VLOOKUP($S$201,'TAR FIN'!$A$1:$O$85,15,0)),0,VLOOKUP($S$201,'TAR FIN'!$A$1:$O$85,15,0))</f>
        <v>0</v>
      </c>
      <c r="W201" s="6">
        <f>IF(ISERROR(VLOOKUP($T$201,'TAR FIN'!$A$1:$O$85,15,0)),0,VLOOKUP($T$201,'TAR FIN'!$A$1:$O$85,15,0))</f>
        <v>448.29</v>
      </c>
      <c r="X201" s="6">
        <f>IF(ISERROR(VLOOKUP($U$201,'TAR FIN'!$A$1:$O$85,15,0)),0,VLOOKUP($U$201,'TAR FIN'!$A$1:$O$85,15,0))</f>
        <v>221.63</v>
      </c>
      <c r="Y201" s="6"/>
      <c r="Z201" s="6">
        <f ca="1">('TUSD BE'!$AM$33+'TUSD BF'!$AM$33+'TUSD CVA'!$AM$33)*(1-CUSTOS!$M$38)</f>
        <v>618.4724353141047</v>
      </c>
      <c r="AA201" s="6">
        <f>('TE BE'!$AA$24+'TE BF'!$AA$24+'TE CVA'!$AA$24)*(1-CUSTOS!$M$38)</f>
        <v>241.29063495745513</v>
      </c>
      <c r="AB201" s="6">
        <f>$K$201*$V$201</f>
        <v>0</v>
      </c>
      <c r="AC201" s="6">
        <f>$M$201*$W$201</f>
        <v>104893.58394</v>
      </c>
      <c r="AD201" s="6">
        <f>$O$201*$X$201</f>
        <v>51858.317179999998</v>
      </c>
      <c r="AE201" s="6">
        <f>$K$201*$Y$201</f>
        <v>0</v>
      </c>
      <c r="AF201" s="6">
        <f ca="1">$M$201*$Z$201</f>
        <v>144713.89124940609</v>
      </c>
      <c r="AG201" s="6">
        <f>$O$201*$AA$201</f>
        <v>56458.63051115509</v>
      </c>
    </row>
    <row r="202" spans="1:33" ht="11.25" customHeight="1" x14ac:dyDescent="0.25">
      <c r="A202" s="4" t="s">
        <v>27</v>
      </c>
      <c r="B202" s="4" t="s">
        <v>41</v>
      </c>
      <c r="C202" s="4" t="s">
        <v>23</v>
      </c>
      <c r="D202" s="4" t="s">
        <v>42</v>
      </c>
      <c r="E202" s="4" t="s">
        <v>25</v>
      </c>
      <c r="F202" s="4" t="s">
        <v>25</v>
      </c>
      <c r="G202" s="4" t="s">
        <v>25</v>
      </c>
      <c r="H202" s="4" t="s">
        <v>25</v>
      </c>
      <c r="I202" s="5">
        <v>44501</v>
      </c>
      <c r="J202" s="6">
        <v>0</v>
      </c>
      <c r="K202" s="6">
        <v>0</v>
      </c>
      <c r="L202" s="6">
        <v>5.5339999999999998</v>
      </c>
      <c r="M202" s="6">
        <v>5.5339999999999998</v>
      </c>
      <c r="N202" s="6">
        <v>5.5339999999999998</v>
      </c>
      <c r="O202" s="6">
        <v>5.5339999999999998</v>
      </c>
      <c r="P202" s="6">
        <v>7</v>
      </c>
      <c r="Q202" s="4" t="s">
        <v>26</v>
      </c>
      <c r="R202" s="4">
        <v>0</v>
      </c>
      <c r="S202" s="6">
        <v>0</v>
      </c>
      <c r="T202" s="6">
        <v>29</v>
      </c>
      <c r="U202" s="6">
        <v>66</v>
      </c>
      <c r="V202" s="6">
        <f>IF(ISERROR(VLOOKUP($S$202,'TAR FIN'!$A$1:$O$85,15,0)),0,VLOOKUP($S$202,'TAR FIN'!$A$1:$O$85,15,0))</f>
        <v>0</v>
      </c>
      <c r="W202" s="6">
        <f>IF(ISERROR(VLOOKUP($T$202,'TAR FIN'!$A$1:$O$85,15,0)),0,VLOOKUP($T$202,'TAR FIN'!$A$1:$O$85,15,0))</f>
        <v>448.29</v>
      </c>
      <c r="X202" s="6">
        <f>IF(ISERROR(VLOOKUP($U$202,'TAR FIN'!$A$1:$O$85,15,0)),0,VLOOKUP($U$202,'TAR FIN'!$A$1:$O$85,15,0))</f>
        <v>221.63</v>
      </c>
      <c r="Y202" s="6"/>
      <c r="Z202" s="6">
        <f ca="1">('TUSD BE'!$AM$33+'TUSD BF'!$AM$33+'TUSD CVA'!$AM$33)*(1-CUSTOS!$M$38)</f>
        <v>618.4724353141047</v>
      </c>
      <c r="AA202" s="6">
        <f>('TE BE'!$AA$24+'TE BF'!$AA$24+'TE CVA'!$AA$24)*(1-CUSTOS!$M$38)</f>
        <v>241.29063495745513</v>
      </c>
      <c r="AB202" s="6">
        <f>$K$202*$V$202</f>
        <v>0</v>
      </c>
      <c r="AC202" s="6">
        <f>$M$202*$W$202</f>
        <v>2480.8368599999999</v>
      </c>
      <c r="AD202" s="6">
        <f>$O$202*$X$202</f>
        <v>1226.5004199999998</v>
      </c>
      <c r="AE202" s="6">
        <f>$K$202*$Y$202</f>
        <v>0</v>
      </c>
      <c r="AF202" s="6">
        <f ca="1">$M$202*$Z$202</f>
        <v>3422.6264570282551</v>
      </c>
      <c r="AG202" s="6">
        <f>$O$202*$AA$202</f>
        <v>1335.3023738545567</v>
      </c>
    </row>
    <row r="203" spans="1:33" ht="11.25" customHeight="1" x14ac:dyDescent="0.25">
      <c r="A203" s="4" t="s">
        <v>21</v>
      </c>
      <c r="B203" s="4" t="s">
        <v>41</v>
      </c>
      <c r="C203" s="4" t="s">
        <v>23</v>
      </c>
      <c r="D203" s="4" t="s">
        <v>42</v>
      </c>
      <c r="E203" s="4" t="s">
        <v>25</v>
      </c>
      <c r="F203" s="4" t="s">
        <v>25</v>
      </c>
      <c r="G203" s="4" t="s">
        <v>25</v>
      </c>
      <c r="H203" s="4" t="s">
        <v>25</v>
      </c>
      <c r="I203" s="5">
        <v>44531</v>
      </c>
      <c r="J203" s="6">
        <v>0</v>
      </c>
      <c r="K203" s="6">
        <v>0</v>
      </c>
      <c r="L203" s="6">
        <v>212.27</v>
      </c>
      <c r="M203" s="6">
        <v>212.27</v>
      </c>
      <c r="N203" s="6">
        <v>212.27</v>
      </c>
      <c r="O203" s="6">
        <v>212.27</v>
      </c>
      <c r="P203" s="6">
        <v>1736</v>
      </c>
      <c r="Q203" s="4" t="s">
        <v>26</v>
      </c>
      <c r="R203" s="4">
        <v>0</v>
      </c>
      <c r="S203" s="6">
        <v>0</v>
      </c>
      <c r="T203" s="6">
        <v>29</v>
      </c>
      <c r="U203" s="6">
        <v>66</v>
      </c>
      <c r="V203" s="6">
        <f>IF(ISERROR(VLOOKUP($S$203,'TAR FIN'!$A$1:$O$85,15,0)),0,VLOOKUP($S$203,'TAR FIN'!$A$1:$O$85,15,0))</f>
        <v>0</v>
      </c>
      <c r="W203" s="6">
        <f>IF(ISERROR(VLOOKUP($T$203,'TAR FIN'!$A$1:$O$85,15,0)),0,VLOOKUP($T$203,'TAR FIN'!$A$1:$O$85,15,0))</f>
        <v>448.29</v>
      </c>
      <c r="X203" s="6">
        <f>IF(ISERROR(VLOOKUP($U$203,'TAR FIN'!$A$1:$O$85,15,0)),0,VLOOKUP($U$203,'TAR FIN'!$A$1:$O$85,15,0))</f>
        <v>221.63</v>
      </c>
      <c r="Y203" s="6"/>
      <c r="Z203" s="6">
        <f ca="1">('TUSD BE'!$AM$33+'TUSD BF'!$AM$33+'TUSD CVA'!$AM$33)*(1-CUSTOS!$M$38)</f>
        <v>618.4724353141047</v>
      </c>
      <c r="AA203" s="6">
        <f>('TE BE'!$AA$24+'TE BF'!$AA$24+'TE CVA'!$AA$24)*(1-CUSTOS!$M$38)</f>
        <v>241.29063495745513</v>
      </c>
      <c r="AB203" s="6">
        <f>$K$203*$V$203</f>
        <v>0</v>
      </c>
      <c r="AC203" s="6">
        <f>$M$203*$W$203</f>
        <v>95158.518300000011</v>
      </c>
      <c r="AD203" s="6">
        <f>$O$203*$X$203</f>
        <v>47045.400099999999</v>
      </c>
      <c r="AE203" s="6">
        <f>$K$203*$Y$203</f>
        <v>0</v>
      </c>
      <c r="AF203" s="6">
        <f ca="1">$M$203*$Z$203</f>
        <v>131283.14384412501</v>
      </c>
      <c r="AG203" s="6">
        <f>$O$203*$AA$203</f>
        <v>51218.763082419006</v>
      </c>
    </row>
    <row r="204" spans="1:33" ht="11.25" customHeight="1" x14ac:dyDescent="0.25">
      <c r="A204" s="4" t="s">
        <v>27</v>
      </c>
      <c r="B204" s="4" t="s">
        <v>41</v>
      </c>
      <c r="C204" s="4" t="s">
        <v>23</v>
      </c>
      <c r="D204" s="4" t="s">
        <v>42</v>
      </c>
      <c r="E204" s="4" t="s">
        <v>25</v>
      </c>
      <c r="F204" s="4" t="s">
        <v>25</v>
      </c>
      <c r="G204" s="4" t="s">
        <v>25</v>
      </c>
      <c r="H204" s="4" t="s">
        <v>25</v>
      </c>
      <c r="I204" s="5">
        <v>44531</v>
      </c>
      <c r="J204" s="6">
        <v>0</v>
      </c>
      <c r="K204" s="6">
        <v>0</v>
      </c>
      <c r="L204" s="6">
        <v>0.88800000000000001</v>
      </c>
      <c r="M204" s="6">
        <v>0.88800000000000001</v>
      </c>
      <c r="N204" s="6">
        <v>0.88800000000000001</v>
      </c>
      <c r="O204" s="6">
        <v>0.88800000000000001</v>
      </c>
      <c r="P204" s="6">
        <v>8</v>
      </c>
      <c r="Q204" s="4" t="s">
        <v>26</v>
      </c>
      <c r="R204" s="4">
        <v>0</v>
      </c>
      <c r="S204" s="6">
        <v>0</v>
      </c>
      <c r="T204" s="6">
        <v>29</v>
      </c>
      <c r="U204" s="6">
        <v>66</v>
      </c>
      <c r="V204" s="6">
        <f>IF(ISERROR(VLOOKUP($S$204,'TAR FIN'!$A$1:$O$85,15,0)),0,VLOOKUP($S$204,'TAR FIN'!$A$1:$O$85,15,0))</f>
        <v>0</v>
      </c>
      <c r="W204" s="6">
        <f>IF(ISERROR(VLOOKUP($T$204,'TAR FIN'!$A$1:$O$85,15,0)),0,VLOOKUP($T$204,'TAR FIN'!$A$1:$O$85,15,0))</f>
        <v>448.29</v>
      </c>
      <c r="X204" s="6">
        <f>IF(ISERROR(VLOOKUP($U$204,'TAR FIN'!$A$1:$O$85,15,0)),0,VLOOKUP($U$204,'TAR FIN'!$A$1:$O$85,15,0))</f>
        <v>221.63</v>
      </c>
      <c r="Y204" s="6"/>
      <c r="Z204" s="6">
        <f ca="1">('TUSD BE'!$AM$33+'TUSD BF'!$AM$33+'TUSD CVA'!$AM$33)*(1-CUSTOS!$M$38)</f>
        <v>618.4724353141047</v>
      </c>
      <c r="AA204" s="6">
        <f>('TE BE'!$AA$24+'TE BF'!$AA$24+'TE CVA'!$AA$24)*(1-CUSTOS!$M$38)</f>
        <v>241.29063495745513</v>
      </c>
      <c r="AB204" s="6">
        <f>$K$204*$V$204</f>
        <v>0</v>
      </c>
      <c r="AC204" s="6">
        <f>$M$204*$W$204</f>
        <v>398.08152000000001</v>
      </c>
      <c r="AD204" s="6">
        <f>$O$204*$X$204</f>
        <v>196.80743999999999</v>
      </c>
      <c r="AE204" s="6">
        <f>$K$204*$Y$204</f>
        <v>0</v>
      </c>
      <c r="AF204" s="6">
        <f ca="1">$M$204*$Z$204</f>
        <v>549.20352255892499</v>
      </c>
      <c r="AG204" s="6">
        <f>$O$204*$AA$204</f>
        <v>214.26608384222016</v>
      </c>
    </row>
    <row r="205" spans="1:33" ht="11.25" customHeight="1" x14ac:dyDescent="0.25">
      <c r="A205" s="4" t="s">
        <v>21</v>
      </c>
      <c r="B205" s="4" t="s">
        <v>41</v>
      </c>
      <c r="C205" s="4" t="s">
        <v>23</v>
      </c>
      <c r="D205" s="4" t="s">
        <v>42</v>
      </c>
      <c r="E205" s="4" t="s">
        <v>25</v>
      </c>
      <c r="F205" s="4" t="s">
        <v>25</v>
      </c>
      <c r="G205" s="4" t="s">
        <v>25</v>
      </c>
      <c r="H205" s="4" t="s">
        <v>25</v>
      </c>
      <c r="I205" s="5">
        <v>44562</v>
      </c>
      <c r="J205" s="6">
        <v>0</v>
      </c>
      <c r="K205" s="6">
        <v>0</v>
      </c>
      <c r="L205" s="6">
        <v>196.99100000000001</v>
      </c>
      <c r="M205" s="6">
        <v>196.99100000000001</v>
      </c>
      <c r="N205" s="6">
        <v>196.99100000000001</v>
      </c>
      <c r="O205" s="6">
        <v>196.99100000000001</v>
      </c>
      <c r="P205" s="6">
        <v>1715</v>
      </c>
      <c r="Q205" s="4" t="s">
        <v>26</v>
      </c>
      <c r="R205" s="4">
        <v>0</v>
      </c>
      <c r="S205" s="6">
        <v>0</v>
      </c>
      <c r="T205" s="6">
        <v>29</v>
      </c>
      <c r="U205" s="6">
        <v>66</v>
      </c>
      <c r="V205" s="6">
        <f>IF(ISERROR(VLOOKUP($S$205,'TAR FIN'!$A$1:$O$85,15,0)),0,VLOOKUP($S$205,'TAR FIN'!$A$1:$O$85,15,0))</f>
        <v>0</v>
      </c>
      <c r="W205" s="6">
        <f>IF(ISERROR(VLOOKUP($T$205,'TAR FIN'!$A$1:$O$85,15,0)),0,VLOOKUP($T$205,'TAR FIN'!$A$1:$O$85,15,0))</f>
        <v>448.29</v>
      </c>
      <c r="X205" s="6">
        <f>IF(ISERROR(VLOOKUP($U$205,'TAR FIN'!$A$1:$O$85,15,0)),0,VLOOKUP($U$205,'TAR FIN'!$A$1:$O$85,15,0))</f>
        <v>221.63</v>
      </c>
      <c r="Y205" s="6"/>
      <c r="Z205" s="6">
        <f ca="1">('TUSD BE'!$AM$33+'TUSD BF'!$AM$33+'TUSD CVA'!$AM$33)*(1-CUSTOS!$M$38)</f>
        <v>618.4724353141047</v>
      </c>
      <c r="AA205" s="6">
        <f>('TE BE'!$AA$24+'TE BF'!$AA$24+'TE CVA'!$AA$24)*(1-CUSTOS!$M$38)</f>
        <v>241.29063495745513</v>
      </c>
      <c r="AB205" s="6">
        <f>$K$205*$V$205</f>
        <v>0</v>
      </c>
      <c r="AC205" s="6">
        <f>$M$205*$W$205</f>
        <v>88309.095390000017</v>
      </c>
      <c r="AD205" s="6">
        <f>$O$205*$X$205</f>
        <v>43659.115330000001</v>
      </c>
      <c r="AE205" s="6">
        <f>$K$205*$Y$205</f>
        <v>0</v>
      </c>
      <c r="AF205" s="6">
        <f ca="1">$M$205*$Z$205</f>
        <v>121833.50350496081</v>
      </c>
      <c r="AG205" s="6">
        <f>$O$205*$AA$205</f>
        <v>47532.083470904043</v>
      </c>
    </row>
    <row r="206" spans="1:33" ht="11.25" customHeight="1" x14ac:dyDescent="0.25">
      <c r="A206" s="4" t="s">
        <v>27</v>
      </c>
      <c r="B206" s="4" t="s">
        <v>41</v>
      </c>
      <c r="C206" s="4" t="s">
        <v>23</v>
      </c>
      <c r="D206" s="4" t="s">
        <v>42</v>
      </c>
      <c r="E206" s="4" t="s">
        <v>25</v>
      </c>
      <c r="F206" s="4" t="s">
        <v>25</v>
      </c>
      <c r="G206" s="4" t="s">
        <v>25</v>
      </c>
      <c r="H206" s="4" t="s">
        <v>25</v>
      </c>
      <c r="I206" s="5">
        <v>44562</v>
      </c>
      <c r="J206" s="6">
        <v>0</v>
      </c>
      <c r="K206" s="6">
        <v>0</v>
      </c>
      <c r="L206" s="6">
        <v>8.8620000000000001</v>
      </c>
      <c r="M206" s="6">
        <v>8.8620000000000001</v>
      </c>
      <c r="N206" s="6">
        <v>8.8620000000000001</v>
      </c>
      <c r="O206" s="6">
        <v>8.8620000000000001</v>
      </c>
      <c r="P206" s="6">
        <v>8</v>
      </c>
      <c r="Q206" s="4" t="s">
        <v>26</v>
      </c>
      <c r="R206" s="4">
        <v>0</v>
      </c>
      <c r="S206" s="6">
        <v>0</v>
      </c>
      <c r="T206" s="6">
        <v>29</v>
      </c>
      <c r="U206" s="6">
        <v>66</v>
      </c>
      <c r="V206" s="6">
        <f>IF(ISERROR(VLOOKUP($S$206,'TAR FIN'!$A$1:$O$85,15,0)),0,VLOOKUP($S$206,'TAR FIN'!$A$1:$O$85,15,0))</f>
        <v>0</v>
      </c>
      <c r="W206" s="6">
        <f>IF(ISERROR(VLOOKUP($T$206,'TAR FIN'!$A$1:$O$85,15,0)),0,VLOOKUP($T$206,'TAR FIN'!$A$1:$O$85,15,0))</f>
        <v>448.29</v>
      </c>
      <c r="X206" s="6">
        <f>IF(ISERROR(VLOOKUP($U$206,'TAR FIN'!$A$1:$O$85,15,0)),0,VLOOKUP($U$206,'TAR FIN'!$A$1:$O$85,15,0))</f>
        <v>221.63</v>
      </c>
      <c r="Y206" s="6"/>
      <c r="Z206" s="6">
        <f ca="1">('TUSD BE'!$AM$33+'TUSD BF'!$AM$33+'TUSD CVA'!$AM$33)*(1-CUSTOS!$M$38)</f>
        <v>618.4724353141047</v>
      </c>
      <c r="AA206" s="6">
        <f>('TE BE'!$AA$24+'TE BF'!$AA$24+'TE CVA'!$AA$24)*(1-CUSTOS!$M$38)</f>
        <v>241.29063495745513</v>
      </c>
      <c r="AB206" s="6">
        <f>$K$206*$V$206</f>
        <v>0</v>
      </c>
      <c r="AC206" s="6">
        <f>$M$206*$W$206</f>
        <v>3972.7459800000001</v>
      </c>
      <c r="AD206" s="6">
        <f>$O$206*$X$206</f>
        <v>1964.0850599999999</v>
      </c>
      <c r="AE206" s="6">
        <f>$K$206*$Y$206</f>
        <v>0</v>
      </c>
      <c r="AF206" s="6">
        <f ca="1">$M$206*$Z$206</f>
        <v>5480.9027217535959</v>
      </c>
      <c r="AG206" s="6">
        <f>$O$206*$AA$206</f>
        <v>2138.3176069929673</v>
      </c>
    </row>
    <row r="207" spans="1:33" ht="11.25" customHeight="1" x14ac:dyDescent="0.25">
      <c r="A207" s="4" t="s">
        <v>21</v>
      </c>
      <c r="B207" s="4" t="s">
        <v>41</v>
      </c>
      <c r="C207" s="4" t="s">
        <v>23</v>
      </c>
      <c r="D207" s="4" t="s">
        <v>42</v>
      </c>
      <c r="E207" s="4" t="s">
        <v>25</v>
      </c>
      <c r="F207" s="4" t="s">
        <v>25</v>
      </c>
      <c r="G207" s="4" t="s">
        <v>25</v>
      </c>
      <c r="H207" s="4" t="s">
        <v>25</v>
      </c>
      <c r="I207" s="5">
        <v>44593</v>
      </c>
      <c r="J207" s="6">
        <v>0</v>
      </c>
      <c r="K207" s="6">
        <v>0</v>
      </c>
      <c r="L207" s="6">
        <v>194.405</v>
      </c>
      <c r="M207" s="6">
        <v>194.405</v>
      </c>
      <c r="N207" s="6">
        <v>194.405</v>
      </c>
      <c r="O207" s="6">
        <v>194.405</v>
      </c>
      <c r="P207" s="6">
        <v>1596</v>
      </c>
      <c r="Q207" s="4" t="s">
        <v>26</v>
      </c>
      <c r="R207" s="4">
        <v>0</v>
      </c>
      <c r="S207" s="6">
        <v>0</v>
      </c>
      <c r="T207" s="6">
        <v>29</v>
      </c>
      <c r="U207" s="6">
        <v>66</v>
      </c>
      <c r="V207" s="6">
        <f>IF(ISERROR(VLOOKUP($S$207,'TAR FIN'!$A$1:$O$85,15,0)),0,VLOOKUP($S$207,'TAR FIN'!$A$1:$O$85,15,0))</f>
        <v>0</v>
      </c>
      <c r="W207" s="6">
        <f>IF(ISERROR(VLOOKUP($T$207,'TAR FIN'!$A$1:$O$85,15,0)),0,VLOOKUP($T$207,'TAR FIN'!$A$1:$O$85,15,0))</f>
        <v>448.29</v>
      </c>
      <c r="X207" s="6">
        <f>IF(ISERROR(VLOOKUP($U$207,'TAR FIN'!$A$1:$O$85,15,0)),0,VLOOKUP($U$207,'TAR FIN'!$A$1:$O$85,15,0))</f>
        <v>221.63</v>
      </c>
      <c r="Y207" s="6"/>
      <c r="Z207" s="6">
        <f ca="1">('TUSD BE'!$AM$33+'TUSD BF'!$AM$33+'TUSD CVA'!$AM$33)*(1-CUSTOS!$M$38)</f>
        <v>618.4724353141047</v>
      </c>
      <c r="AA207" s="6">
        <f>('TE BE'!$AA$24+'TE BF'!$AA$24+'TE CVA'!$AA$24)*(1-CUSTOS!$M$38)</f>
        <v>241.29063495745513</v>
      </c>
      <c r="AB207" s="6">
        <f>$K$207*$V$207</f>
        <v>0</v>
      </c>
      <c r="AC207" s="6">
        <f>$M$207*$W$207</f>
        <v>87149.817450000002</v>
      </c>
      <c r="AD207" s="6">
        <f>$O$207*$X$207</f>
        <v>43085.980149999996</v>
      </c>
      <c r="AE207" s="6">
        <f>$K$207*$Y$207</f>
        <v>0</v>
      </c>
      <c r="AF207" s="6">
        <f ca="1">$M$207*$Z$207</f>
        <v>120234.13378723852</v>
      </c>
      <c r="AG207" s="6">
        <f>$O$207*$AA$207</f>
        <v>46908.105888904065</v>
      </c>
    </row>
    <row r="208" spans="1:33" ht="11.25" customHeight="1" x14ac:dyDescent="0.25">
      <c r="A208" s="4" t="s">
        <v>27</v>
      </c>
      <c r="B208" s="4" t="s">
        <v>41</v>
      </c>
      <c r="C208" s="4" t="s">
        <v>23</v>
      </c>
      <c r="D208" s="4" t="s">
        <v>42</v>
      </c>
      <c r="E208" s="4" t="s">
        <v>25</v>
      </c>
      <c r="F208" s="4" t="s">
        <v>25</v>
      </c>
      <c r="G208" s="4" t="s">
        <v>25</v>
      </c>
      <c r="H208" s="4" t="s">
        <v>25</v>
      </c>
      <c r="I208" s="5">
        <v>44593</v>
      </c>
      <c r="J208" s="6">
        <v>0</v>
      </c>
      <c r="K208" s="6">
        <v>0</v>
      </c>
      <c r="L208" s="6">
        <v>10.568</v>
      </c>
      <c r="M208" s="6">
        <v>10.568</v>
      </c>
      <c r="N208" s="6">
        <v>10.568</v>
      </c>
      <c r="O208" s="6">
        <v>10.568</v>
      </c>
      <c r="P208" s="6">
        <v>8</v>
      </c>
      <c r="Q208" s="4" t="s">
        <v>26</v>
      </c>
      <c r="R208" s="4">
        <v>0</v>
      </c>
      <c r="S208" s="6">
        <v>0</v>
      </c>
      <c r="T208" s="6">
        <v>29</v>
      </c>
      <c r="U208" s="6">
        <v>66</v>
      </c>
      <c r="V208" s="6">
        <f>IF(ISERROR(VLOOKUP($S$208,'TAR FIN'!$A$1:$O$85,15,0)),0,VLOOKUP($S$208,'TAR FIN'!$A$1:$O$85,15,0))</f>
        <v>0</v>
      </c>
      <c r="W208" s="6">
        <f>IF(ISERROR(VLOOKUP($T$208,'TAR FIN'!$A$1:$O$85,15,0)),0,VLOOKUP($T$208,'TAR FIN'!$A$1:$O$85,15,0))</f>
        <v>448.29</v>
      </c>
      <c r="X208" s="6">
        <f>IF(ISERROR(VLOOKUP($U$208,'TAR FIN'!$A$1:$O$85,15,0)),0,VLOOKUP($U$208,'TAR FIN'!$A$1:$O$85,15,0))</f>
        <v>221.63</v>
      </c>
      <c r="Y208" s="6"/>
      <c r="Z208" s="6">
        <f ca="1">('TUSD BE'!$AM$33+'TUSD BF'!$AM$33+'TUSD CVA'!$AM$33)*(1-CUSTOS!$M$38)</f>
        <v>618.4724353141047</v>
      </c>
      <c r="AA208" s="6">
        <f>('TE BE'!$AA$24+'TE BF'!$AA$24+'TE CVA'!$AA$24)*(1-CUSTOS!$M$38)</f>
        <v>241.29063495745513</v>
      </c>
      <c r="AB208" s="6">
        <f>$K$208*$V$208</f>
        <v>0</v>
      </c>
      <c r="AC208" s="6">
        <f>$M$208*$W$208</f>
        <v>4737.5287200000002</v>
      </c>
      <c r="AD208" s="6">
        <f>$O$208*$X$208</f>
        <v>2342.1858399999996</v>
      </c>
      <c r="AE208" s="6">
        <f>$K$208*$Y$208</f>
        <v>0</v>
      </c>
      <c r="AF208" s="6">
        <f ca="1">$M$208*$Z$208</f>
        <v>6536.0166963994579</v>
      </c>
      <c r="AG208" s="6">
        <f>$O$208*$AA$208</f>
        <v>2549.9594302303858</v>
      </c>
    </row>
    <row r="209" spans="1:33" ht="11.25" customHeight="1" x14ac:dyDescent="0.25">
      <c r="A209" s="4" t="s">
        <v>21</v>
      </c>
      <c r="B209" s="4" t="s">
        <v>41</v>
      </c>
      <c r="C209" s="4" t="s">
        <v>23</v>
      </c>
      <c r="D209" s="4" t="s">
        <v>42</v>
      </c>
      <c r="E209" s="4" t="s">
        <v>25</v>
      </c>
      <c r="F209" s="4" t="s">
        <v>25</v>
      </c>
      <c r="G209" s="4" t="s">
        <v>25</v>
      </c>
      <c r="H209" s="4" t="s">
        <v>25</v>
      </c>
      <c r="I209" s="5">
        <v>44621</v>
      </c>
      <c r="J209" s="6">
        <v>0</v>
      </c>
      <c r="K209" s="6">
        <v>0</v>
      </c>
      <c r="L209" s="6">
        <v>211.785</v>
      </c>
      <c r="M209" s="6">
        <v>211.785</v>
      </c>
      <c r="N209" s="6">
        <v>211.785</v>
      </c>
      <c r="O209" s="6">
        <v>211.785</v>
      </c>
      <c r="P209" s="6">
        <v>1573</v>
      </c>
      <c r="Q209" s="4" t="s">
        <v>26</v>
      </c>
      <c r="R209" s="4">
        <v>0</v>
      </c>
      <c r="S209" s="6">
        <v>0</v>
      </c>
      <c r="T209" s="6">
        <v>29</v>
      </c>
      <c r="U209" s="6">
        <v>66</v>
      </c>
      <c r="V209" s="6">
        <f>IF(ISERROR(VLOOKUP($S$209,'TAR FIN'!$A$1:$O$85,15,0)),0,VLOOKUP($S$209,'TAR FIN'!$A$1:$O$85,15,0))</f>
        <v>0</v>
      </c>
      <c r="W209" s="6">
        <f>IF(ISERROR(VLOOKUP($T$209,'TAR FIN'!$A$1:$O$85,15,0)),0,VLOOKUP($T$209,'TAR FIN'!$A$1:$O$85,15,0))</f>
        <v>448.29</v>
      </c>
      <c r="X209" s="6">
        <f>IF(ISERROR(VLOOKUP($U$209,'TAR FIN'!$A$1:$O$85,15,0)),0,VLOOKUP($U$209,'TAR FIN'!$A$1:$O$85,15,0))</f>
        <v>221.63</v>
      </c>
      <c r="Y209" s="6"/>
      <c r="Z209" s="6">
        <f ca="1">('TUSD BE'!$AM$33+'TUSD BF'!$AM$33+'TUSD CVA'!$AM$33)*(1-CUSTOS!$M$38)</f>
        <v>618.4724353141047</v>
      </c>
      <c r="AA209" s="6">
        <f>('TE BE'!$AA$24+'TE BF'!$AA$24+'TE CVA'!$AA$24)*(1-CUSTOS!$M$38)</f>
        <v>241.29063495745513</v>
      </c>
      <c r="AB209" s="6">
        <f>$K$209*$V$209</f>
        <v>0</v>
      </c>
      <c r="AC209" s="6">
        <f>$M$209*$W$209</f>
        <v>94941.097649999996</v>
      </c>
      <c r="AD209" s="6">
        <f>$O$209*$X$209</f>
        <v>46937.909549999997</v>
      </c>
      <c r="AE209" s="6">
        <f>$K$209*$Y$209</f>
        <v>0</v>
      </c>
      <c r="AF209" s="6">
        <f ca="1">$M$209*$Z$209</f>
        <v>130983.18471299767</v>
      </c>
      <c r="AG209" s="6">
        <f>$O$209*$AA$209</f>
        <v>51101.737124464635</v>
      </c>
    </row>
    <row r="210" spans="1:33" ht="11.25" customHeight="1" x14ac:dyDescent="0.25">
      <c r="A210" s="4" t="s">
        <v>27</v>
      </c>
      <c r="B210" s="4" t="s">
        <v>41</v>
      </c>
      <c r="C210" s="4" t="s">
        <v>23</v>
      </c>
      <c r="D210" s="4" t="s">
        <v>42</v>
      </c>
      <c r="E210" s="4" t="s">
        <v>25</v>
      </c>
      <c r="F210" s="4" t="s">
        <v>25</v>
      </c>
      <c r="G210" s="4" t="s">
        <v>25</v>
      </c>
      <c r="H210" s="4" t="s">
        <v>25</v>
      </c>
      <c r="I210" s="5">
        <v>44621</v>
      </c>
      <c r="J210" s="6">
        <v>0</v>
      </c>
      <c r="K210" s="6">
        <v>0</v>
      </c>
      <c r="L210" s="6">
        <v>1.1879999999999999</v>
      </c>
      <c r="M210" s="6">
        <v>1.1879999999999999</v>
      </c>
      <c r="N210" s="6">
        <v>1.1879999999999999</v>
      </c>
      <c r="O210" s="6">
        <v>1.1879999999999999</v>
      </c>
      <c r="P210" s="6">
        <v>8</v>
      </c>
      <c r="Q210" s="4" t="s">
        <v>26</v>
      </c>
      <c r="R210" s="4">
        <v>0</v>
      </c>
      <c r="S210" s="6">
        <v>0</v>
      </c>
      <c r="T210" s="6">
        <v>29</v>
      </c>
      <c r="U210" s="6">
        <v>66</v>
      </c>
      <c r="V210" s="6">
        <f>IF(ISERROR(VLOOKUP($S$210,'TAR FIN'!$A$1:$O$85,15,0)),0,VLOOKUP($S$210,'TAR FIN'!$A$1:$O$85,15,0))</f>
        <v>0</v>
      </c>
      <c r="W210" s="6">
        <f>IF(ISERROR(VLOOKUP($T$210,'TAR FIN'!$A$1:$O$85,15,0)),0,VLOOKUP($T$210,'TAR FIN'!$A$1:$O$85,15,0))</f>
        <v>448.29</v>
      </c>
      <c r="X210" s="6">
        <f>IF(ISERROR(VLOOKUP($U$210,'TAR FIN'!$A$1:$O$85,15,0)),0,VLOOKUP($U$210,'TAR FIN'!$A$1:$O$85,15,0))</f>
        <v>221.63</v>
      </c>
      <c r="Y210" s="6"/>
      <c r="Z210" s="6">
        <f ca="1">('TUSD BE'!$AM$33+'TUSD BF'!$AM$33+'TUSD CVA'!$AM$33)*(1-CUSTOS!$M$38)</f>
        <v>618.4724353141047</v>
      </c>
      <c r="AA210" s="6">
        <f>('TE BE'!$AA$24+'TE BF'!$AA$24+'TE CVA'!$AA$24)*(1-CUSTOS!$M$38)</f>
        <v>241.29063495745513</v>
      </c>
      <c r="AB210" s="6">
        <f>$K$210*$V$210</f>
        <v>0</v>
      </c>
      <c r="AC210" s="6">
        <f>$M$210*$W$210</f>
        <v>532.56852000000003</v>
      </c>
      <c r="AD210" s="6">
        <f>$O$210*$X$210</f>
        <v>263.29643999999996</v>
      </c>
      <c r="AE210" s="6">
        <f>$K$210*$Y$210</f>
        <v>0</v>
      </c>
      <c r="AF210" s="6">
        <f ca="1">$M$210*$Z$210</f>
        <v>734.74525315315634</v>
      </c>
      <c r="AG210" s="6">
        <f>$O$210*$AA$210</f>
        <v>286.65327432945668</v>
      </c>
    </row>
    <row r="211" spans="1:33" ht="11.25" customHeight="1" x14ac:dyDescent="0.25">
      <c r="A211" s="4" t="s">
        <v>21</v>
      </c>
      <c r="B211" s="4" t="s">
        <v>41</v>
      </c>
      <c r="C211" s="4" t="s">
        <v>23</v>
      </c>
      <c r="D211" s="4" t="s">
        <v>42</v>
      </c>
      <c r="E211" s="4" t="s">
        <v>25</v>
      </c>
      <c r="F211" s="4" t="s">
        <v>25</v>
      </c>
      <c r="G211" s="4" t="s">
        <v>25</v>
      </c>
      <c r="H211" s="4" t="s">
        <v>25</v>
      </c>
      <c r="I211" s="5">
        <v>44652</v>
      </c>
      <c r="J211" s="6">
        <v>0</v>
      </c>
      <c r="K211" s="6">
        <v>0</v>
      </c>
      <c r="L211" s="6">
        <v>184.376</v>
      </c>
      <c r="M211" s="6">
        <v>184.376</v>
      </c>
      <c r="N211" s="6">
        <v>184.376</v>
      </c>
      <c r="O211" s="6">
        <v>184.376</v>
      </c>
      <c r="P211" s="6">
        <v>1537</v>
      </c>
      <c r="Q211" s="4" t="s">
        <v>26</v>
      </c>
      <c r="R211" s="4">
        <v>0</v>
      </c>
      <c r="S211" s="6">
        <v>0</v>
      </c>
      <c r="T211" s="6">
        <v>29</v>
      </c>
      <c r="U211" s="6">
        <v>66</v>
      </c>
      <c r="V211" s="6">
        <f>IF(ISERROR(VLOOKUP($S$211,'TAR FIN'!$A$1:$O$85,15,0)),0,VLOOKUP($S$211,'TAR FIN'!$A$1:$O$85,15,0))</f>
        <v>0</v>
      </c>
      <c r="W211" s="6">
        <f>IF(ISERROR(VLOOKUP($T$211,'TAR FIN'!$A$1:$O$85,15,0)),0,VLOOKUP($T$211,'TAR FIN'!$A$1:$O$85,15,0))</f>
        <v>448.29</v>
      </c>
      <c r="X211" s="6">
        <f>IF(ISERROR(VLOOKUP($U$211,'TAR FIN'!$A$1:$O$85,15,0)),0,VLOOKUP($U$211,'TAR FIN'!$A$1:$O$85,15,0))</f>
        <v>221.63</v>
      </c>
      <c r="Y211" s="6"/>
      <c r="Z211" s="6">
        <f ca="1">('TUSD BE'!$AM$33+'TUSD BF'!$AM$33+'TUSD CVA'!$AM$33)*(1-CUSTOS!$M$38)</f>
        <v>618.4724353141047</v>
      </c>
      <c r="AA211" s="6">
        <f>('TE BE'!$AA$24+'TE BF'!$AA$24+'TE CVA'!$AA$24)*(1-CUSTOS!$M$38)</f>
        <v>241.29063495745513</v>
      </c>
      <c r="AB211" s="6">
        <f>$K$211*$V$211</f>
        <v>0</v>
      </c>
      <c r="AC211" s="6">
        <f>$M$211*$W$211</f>
        <v>82653.91704</v>
      </c>
      <c r="AD211" s="6">
        <f>$O$211*$X$211</f>
        <v>40863.25288</v>
      </c>
      <c r="AE211" s="6">
        <f>$K$211*$Y$211</f>
        <v>0</v>
      </c>
      <c r="AF211" s="6">
        <f ca="1">$M$211*$Z$211</f>
        <v>114031.47373347337</v>
      </c>
      <c r="AG211" s="6">
        <f>$O$211*$AA$211</f>
        <v>44488.20211091575</v>
      </c>
    </row>
    <row r="212" spans="1:33" ht="11.25" customHeight="1" x14ac:dyDescent="0.25">
      <c r="A212" s="4" t="s">
        <v>27</v>
      </c>
      <c r="B212" s="4" t="s">
        <v>41</v>
      </c>
      <c r="C212" s="4" t="s">
        <v>23</v>
      </c>
      <c r="D212" s="4" t="s">
        <v>42</v>
      </c>
      <c r="E212" s="4" t="s">
        <v>25</v>
      </c>
      <c r="F212" s="4" t="s">
        <v>25</v>
      </c>
      <c r="G212" s="4" t="s">
        <v>25</v>
      </c>
      <c r="H212" s="4" t="s">
        <v>25</v>
      </c>
      <c r="I212" s="5">
        <v>44652</v>
      </c>
      <c r="J212" s="6">
        <v>0</v>
      </c>
      <c r="K212" s="6">
        <v>0</v>
      </c>
      <c r="L212" s="6">
        <v>12.340999999999999</v>
      </c>
      <c r="M212" s="6">
        <v>12.340999999999999</v>
      </c>
      <c r="N212" s="6">
        <v>12.340999999999999</v>
      </c>
      <c r="O212" s="6">
        <v>12.340999999999999</v>
      </c>
      <c r="P212" s="6">
        <v>7</v>
      </c>
      <c r="Q212" s="4" t="s">
        <v>26</v>
      </c>
      <c r="R212" s="4">
        <v>0</v>
      </c>
      <c r="S212" s="6">
        <v>0</v>
      </c>
      <c r="T212" s="6">
        <v>29</v>
      </c>
      <c r="U212" s="6">
        <v>66</v>
      </c>
      <c r="V212" s="6">
        <f>IF(ISERROR(VLOOKUP($S$212,'TAR FIN'!$A$1:$O$85,15,0)),0,VLOOKUP($S$212,'TAR FIN'!$A$1:$O$85,15,0))</f>
        <v>0</v>
      </c>
      <c r="W212" s="6">
        <f>IF(ISERROR(VLOOKUP($T$212,'TAR FIN'!$A$1:$O$85,15,0)),0,VLOOKUP($T$212,'TAR FIN'!$A$1:$O$85,15,0))</f>
        <v>448.29</v>
      </c>
      <c r="X212" s="6">
        <f>IF(ISERROR(VLOOKUP($U$212,'TAR FIN'!$A$1:$O$85,15,0)),0,VLOOKUP($U$212,'TAR FIN'!$A$1:$O$85,15,0))</f>
        <v>221.63</v>
      </c>
      <c r="Y212" s="6"/>
      <c r="Z212" s="6">
        <f ca="1">('TUSD BE'!$AM$33+'TUSD BF'!$AM$33+'TUSD CVA'!$AM$33)*(1-CUSTOS!$M$38)</f>
        <v>618.4724353141047</v>
      </c>
      <c r="AA212" s="6">
        <f>('TE BE'!$AA$24+'TE BF'!$AA$24+'TE CVA'!$AA$24)*(1-CUSTOS!$M$38)</f>
        <v>241.29063495745513</v>
      </c>
      <c r="AB212" s="6">
        <f>$K$212*$V$212</f>
        <v>0</v>
      </c>
      <c r="AC212" s="6">
        <f>$M$212*$W$212</f>
        <v>5532.3468899999998</v>
      </c>
      <c r="AD212" s="6">
        <f>$O$212*$X$212</f>
        <v>2735.1358299999997</v>
      </c>
      <c r="AE212" s="6">
        <f>$K$212*$Y$212</f>
        <v>0</v>
      </c>
      <c r="AF212" s="6">
        <f ca="1">$M$212*$Z$212</f>
        <v>7632.5683242113655</v>
      </c>
      <c r="AG212" s="6">
        <f>$O$212*$AA$212</f>
        <v>2977.7677260099535</v>
      </c>
    </row>
    <row r="213" spans="1:33" ht="11.25" customHeight="1" x14ac:dyDescent="0.25">
      <c r="A213" s="4" t="s">
        <v>21</v>
      </c>
      <c r="B213" s="4" t="s">
        <v>32</v>
      </c>
      <c r="C213" s="4" t="s">
        <v>39</v>
      </c>
      <c r="D213" s="4" t="s">
        <v>38</v>
      </c>
      <c r="E213" s="4" t="s">
        <v>25</v>
      </c>
      <c r="F213" s="4" t="s">
        <v>25</v>
      </c>
      <c r="G213" s="4" t="s">
        <v>25</v>
      </c>
      <c r="H213" s="4" t="s">
        <v>37</v>
      </c>
      <c r="I213" s="5">
        <v>44317</v>
      </c>
      <c r="J213" s="6">
        <v>0</v>
      </c>
      <c r="K213" s="6">
        <v>0</v>
      </c>
      <c r="L213" s="6">
        <v>0.32700000000000001</v>
      </c>
      <c r="M213" s="6">
        <v>0.32700000000000001</v>
      </c>
      <c r="N213" s="6">
        <v>0.32700000000000001</v>
      </c>
      <c r="O213" s="6">
        <v>0.32700000000000001</v>
      </c>
      <c r="P213" s="6">
        <v>0</v>
      </c>
      <c r="Q213" s="4" t="s">
        <v>26</v>
      </c>
      <c r="R213" s="4">
        <v>0</v>
      </c>
      <c r="S213" s="6">
        <v>0</v>
      </c>
      <c r="T213" s="6">
        <v>43</v>
      </c>
      <c r="U213" s="6">
        <v>80</v>
      </c>
      <c r="V213" s="6">
        <f>IF(ISERROR(VLOOKUP($S$213,'TAR FIN'!$A$1:$O$85,15,0)),0,VLOOKUP($S$213,'TAR FIN'!$A$1:$O$85,15,0))</f>
        <v>0</v>
      </c>
      <c r="W213" s="6">
        <f>IF(ISERROR(VLOOKUP($T$213,'TAR FIN'!$A$1:$O$85,15,0)),0,VLOOKUP($T$213,'TAR FIN'!$A$1:$O$85,15,0))</f>
        <v>356</v>
      </c>
      <c r="X213" s="6">
        <f>IF(ISERROR(VLOOKUP($U$213,'TAR FIN'!$A$1:$O$85,15,0)),0,VLOOKUP($U$213,'TAR FIN'!$A$1:$O$85,15,0))</f>
        <v>251.85</v>
      </c>
      <c r="Y213" s="6"/>
      <c r="Z213" s="6">
        <f ca="1">('TUSD BE'!$AM$47+'TUSD BF'!$AM$47+'TUSD CVA'!$AM$47)*1</f>
        <v>460.98490773681584</v>
      </c>
      <c r="AA213" s="6">
        <f>('TE BE'!$AA$38+'TE BF'!$AA$38+'TE CVA'!$AA$38)*1</f>
        <v>256.69216484835653</v>
      </c>
      <c r="AB213" s="6">
        <f>$K$213*$V$213</f>
        <v>0</v>
      </c>
      <c r="AC213" s="6">
        <f>$M$213*$W$213</f>
        <v>116.41200000000001</v>
      </c>
      <c r="AD213" s="6">
        <f>$O$213*$X$213</f>
        <v>82.354950000000002</v>
      </c>
      <c r="AE213" s="6">
        <f>$K$213*$Y$213</f>
        <v>0</v>
      </c>
      <c r="AF213" s="6">
        <f ca="1">$M$213*$Z$213</f>
        <v>150.74206482993878</v>
      </c>
      <c r="AG213" s="6">
        <f>$O$213*$AA$213</f>
        <v>83.938337905412581</v>
      </c>
    </row>
    <row r="214" spans="1:33" ht="11.25" customHeight="1" x14ac:dyDescent="0.25">
      <c r="A214" s="4" t="s">
        <v>21</v>
      </c>
      <c r="B214" s="4" t="s">
        <v>32</v>
      </c>
      <c r="C214" s="4" t="s">
        <v>39</v>
      </c>
      <c r="D214" s="4" t="s">
        <v>38</v>
      </c>
      <c r="E214" s="4" t="s">
        <v>25</v>
      </c>
      <c r="F214" s="4" t="s">
        <v>25</v>
      </c>
      <c r="G214" s="4" t="s">
        <v>25</v>
      </c>
      <c r="H214" s="4" t="s">
        <v>37</v>
      </c>
      <c r="I214" s="5">
        <v>44348</v>
      </c>
      <c r="J214" s="6">
        <v>0</v>
      </c>
      <c r="K214" s="6">
        <v>0</v>
      </c>
      <c r="L214" s="6">
        <v>0.25700000000000001</v>
      </c>
      <c r="M214" s="6">
        <v>0.25700000000000001</v>
      </c>
      <c r="N214" s="6">
        <v>0.25700000000000001</v>
      </c>
      <c r="O214" s="6">
        <v>0.25700000000000001</v>
      </c>
      <c r="P214" s="6">
        <v>0</v>
      </c>
      <c r="Q214" s="4" t="s">
        <v>26</v>
      </c>
      <c r="R214" s="4">
        <v>0</v>
      </c>
      <c r="S214" s="6">
        <v>0</v>
      </c>
      <c r="T214" s="6">
        <v>43</v>
      </c>
      <c r="U214" s="6">
        <v>80</v>
      </c>
      <c r="V214" s="6">
        <f>IF(ISERROR(VLOOKUP($S$214,'TAR FIN'!$A$1:$O$85,15,0)),0,VLOOKUP($S$214,'TAR FIN'!$A$1:$O$85,15,0))</f>
        <v>0</v>
      </c>
      <c r="W214" s="6">
        <f>IF(ISERROR(VLOOKUP($T$214,'TAR FIN'!$A$1:$O$85,15,0)),0,VLOOKUP($T$214,'TAR FIN'!$A$1:$O$85,15,0))</f>
        <v>356</v>
      </c>
      <c r="X214" s="6">
        <f>IF(ISERROR(VLOOKUP($U$214,'TAR FIN'!$A$1:$O$85,15,0)),0,VLOOKUP($U$214,'TAR FIN'!$A$1:$O$85,15,0))</f>
        <v>251.85</v>
      </c>
      <c r="Y214" s="6"/>
      <c r="Z214" s="6">
        <f ca="1">('TUSD BE'!$AM$47+'TUSD BF'!$AM$47+'TUSD CVA'!$AM$47)*1</f>
        <v>460.98490773681584</v>
      </c>
      <c r="AA214" s="6">
        <f>('TE BE'!$AA$38+'TE BF'!$AA$38+'TE CVA'!$AA$38)*1</f>
        <v>256.69216484835653</v>
      </c>
      <c r="AB214" s="6">
        <f>$K$214*$V$214</f>
        <v>0</v>
      </c>
      <c r="AC214" s="6">
        <f>$M$214*$W$214</f>
        <v>91.492000000000004</v>
      </c>
      <c r="AD214" s="6">
        <f>$O$214*$X$214</f>
        <v>64.725449999999995</v>
      </c>
      <c r="AE214" s="6">
        <f>$K$214*$Y$214</f>
        <v>0</v>
      </c>
      <c r="AF214" s="6">
        <f ca="1">$M$214*$Z$214</f>
        <v>118.47312128836167</v>
      </c>
      <c r="AG214" s="6">
        <f>$O$214*$AA$214</f>
        <v>65.969886366027623</v>
      </c>
    </row>
    <row r="215" spans="1:33" ht="11.25" customHeight="1" x14ac:dyDescent="0.25">
      <c r="A215" s="4" t="s">
        <v>21</v>
      </c>
      <c r="B215" s="4" t="s">
        <v>32</v>
      </c>
      <c r="C215" s="4" t="s">
        <v>39</v>
      </c>
      <c r="D215" s="4" t="s">
        <v>38</v>
      </c>
      <c r="E215" s="4" t="s">
        <v>25</v>
      </c>
      <c r="F215" s="4" t="s">
        <v>25</v>
      </c>
      <c r="G215" s="4" t="s">
        <v>25</v>
      </c>
      <c r="H215" s="4" t="s">
        <v>37</v>
      </c>
      <c r="I215" s="5">
        <v>44378</v>
      </c>
      <c r="J215" s="6">
        <v>0</v>
      </c>
      <c r="K215" s="6">
        <v>0</v>
      </c>
      <c r="L215" s="6">
        <v>0.34399999999999997</v>
      </c>
      <c r="M215" s="6">
        <v>0.34399999999999997</v>
      </c>
      <c r="N215" s="6">
        <v>0.34399999999999997</v>
      </c>
      <c r="O215" s="6">
        <v>0.34399999999999997</v>
      </c>
      <c r="P215" s="6">
        <v>0</v>
      </c>
      <c r="Q215" s="4" t="s">
        <v>26</v>
      </c>
      <c r="R215" s="4">
        <v>0</v>
      </c>
      <c r="S215" s="6">
        <v>0</v>
      </c>
      <c r="T215" s="6">
        <v>43</v>
      </c>
      <c r="U215" s="6">
        <v>80</v>
      </c>
      <c r="V215" s="6">
        <f>IF(ISERROR(VLOOKUP($S$215,'TAR FIN'!$A$1:$O$85,15,0)),0,VLOOKUP($S$215,'TAR FIN'!$A$1:$O$85,15,0))</f>
        <v>0</v>
      </c>
      <c r="W215" s="6">
        <f>IF(ISERROR(VLOOKUP($T$215,'TAR FIN'!$A$1:$O$85,15,0)),0,VLOOKUP($T$215,'TAR FIN'!$A$1:$O$85,15,0))</f>
        <v>356</v>
      </c>
      <c r="X215" s="6">
        <f>IF(ISERROR(VLOOKUP($U$215,'TAR FIN'!$A$1:$O$85,15,0)),0,VLOOKUP($U$215,'TAR FIN'!$A$1:$O$85,15,0))</f>
        <v>251.85</v>
      </c>
      <c r="Y215" s="6"/>
      <c r="Z215" s="6">
        <f ca="1">('TUSD BE'!$AM$47+'TUSD BF'!$AM$47+'TUSD CVA'!$AM$47)*1</f>
        <v>460.98490773681584</v>
      </c>
      <c r="AA215" s="6">
        <f>('TE BE'!$AA$38+'TE BF'!$AA$38+'TE CVA'!$AA$38)*1</f>
        <v>256.69216484835653</v>
      </c>
      <c r="AB215" s="6">
        <f>$K$215*$V$215</f>
        <v>0</v>
      </c>
      <c r="AC215" s="6">
        <f>$M$215*$W$215</f>
        <v>122.46399999999998</v>
      </c>
      <c r="AD215" s="6">
        <f>$O$215*$X$215</f>
        <v>86.636399999999995</v>
      </c>
      <c r="AE215" s="6">
        <f>$K$215*$Y$215</f>
        <v>0</v>
      </c>
      <c r="AF215" s="6">
        <f ca="1">$M$215*$Z$215</f>
        <v>158.57880826146464</v>
      </c>
      <c r="AG215" s="6">
        <f>$O$215*$AA$215</f>
        <v>88.302104707834644</v>
      </c>
    </row>
    <row r="216" spans="1:33" ht="11.25" customHeight="1" x14ac:dyDescent="0.25">
      <c r="A216" s="4" t="s">
        <v>21</v>
      </c>
      <c r="B216" s="4" t="s">
        <v>32</v>
      </c>
      <c r="C216" s="4" t="s">
        <v>39</v>
      </c>
      <c r="D216" s="4" t="s">
        <v>38</v>
      </c>
      <c r="E216" s="4" t="s">
        <v>25</v>
      </c>
      <c r="F216" s="4" t="s">
        <v>25</v>
      </c>
      <c r="G216" s="4" t="s">
        <v>25</v>
      </c>
      <c r="H216" s="4" t="s">
        <v>37</v>
      </c>
      <c r="I216" s="5">
        <v>44409</v>
      </c>
      <c r="J216" s="6">
        <v>0</v>
      </c>
      <c r="K216" s="6">
        <v>0</v>
      </c>
      <c r="L216" s="6">
        <v>0.47299999999999998</v>
      </c>
      <c r="M216" s="6">
        <v>0.47299999999999998</v>
      </c>
      <c r="N216" s="6">
        <v>0.47299999999999998</v>
      </c>
      <c r="O216" s="6">
        <v>0.47299999999999998</v>
      </c>
      <c r="P216" s="6">
        <v>0</v>
      </c>
      <c r="Q216" s="4" t="s">
        <v>26</v>
      </c>
      <c r="R216" s="4">
        <v>0</v>
      </c>
      <c r="S216" s="6">
        <v>0</v>
      </c>
      <c r="T216" s="6">
        <v>43</v>
      </c>
      <c r="U216" s="6">
        <v>80</v>
      </c>
      <c r="V216" s="6">
        <f>IF(ISERROR(VLOOKUP($S$216,'TAR FIN'!$A$1:$O$85,15,0)),0,VLOOKUP($S$216,'TAR FIN'!$A$1:$O$85,15,0))</f>
        <v>0</v>
      </c>
      <c r="W216" s="6">
        <f>IF(ISERROR(VLOOKUP($T$216,'TAR FIN'!$A$1:$O$85,15,0)),0,VLOOKUP($T$216,'TAR FIN'!$A$1:$O$85,15,0))</f>
        <v>356</v>
      </c>
      <c r="X216" s="6">
        <f>IF(ISERROR(VLOOKUP($U$216,'TAR FIN'!$A$1:$O$85,15,0)),0,VLOOKUP($U$216,'TAR FIN'!$A$1:$O$85,15,0))</f>
        <v>251.85</v>
      </c>
      <c r="Y216" s="6"/>
      <c r="Z216" s="6">
        <f ca="1">('TUSD BE'!$AM$47+'TUSD BF'!$AM$47+'TUSD CVA'!$AM$47)*1</f>
        <v>460.98490773681584</v>
      </c>
      <c r="AA216" s="6">
        <f>('TE BE'!$AA$38+'TE BF'!$AA$38+'TE CVA'!$AA$38)*1</f>
        <v>256.69216484835653</v>
      </c>
      <c r="AB216" s="6">
        <f>$K$216*$V$216</f>
        <v>0</v>
      </c>
      <c r="AC216" s="6">
        <f>$M$216*$W$216</f>
        <v>168.38800000000001</v>
      </c>
      <c r="AD216" s="6">
        <f>$O$216*$X$216</f>
        <v>119.12504999999999</v>
      </c>
      <c r="AE216" s="6">
        <f>$K$216*$Y$216</f>
        <v>0</v>
      </c>
      <c r="AF216" s="6">
        <f ca="1">$M$216*$Z$216</f>
        <v>218.04586135951388</v>
      </c>
      <c r="AG216" s="6">
        <f>$O$216*$AA$216</f>
        <v>121.41539397327263</v>
      </c>
    </row>
    <row r="217" spans="1:33" ht="11.25" customHeight="1" x14ac:dyDescent="0.25">
      <c r="A217" s="4" t="s">
        <v>21</v>
      </c>
      <c r="B217" s="4" t="s">
        <v>32</v>
      </c>
      <c r="C217" s="4" t="s">
        <v>39</v>
      </c>
      <c r="D217" s="4" t="s">
        <v>38</v>
      </c>
      <c r="E217" s="4" t="s">
        <v>25</v>
      </c>
      <c r="F217" s="4" t="s">
        <v>25</v>
      </c>
      <c r="G217" s="4" t="s">
        <v>25</v>
      </c>
      <c r="H217" s="4" t="s">
        <v>37</v>
      </c>
      <c r="I217" s="5">
        <v>44440</v>
      </c>
      <c r="J217" s="6">
        <v>0</v>
      </c>
      <c r="K217" s="6">
        <v>0</v>
      </c>
      <c r="L217" s="6">
        <v>0.52200000000000002</v>
      </c>
      <c r="M217" s="6">
        <v>0.52200000000000002</v>
      </c>
      <c r="N217" s="6">
        <v>0.52200000000000002</v>
      </c>
      <c r="O217" s="6">
        <v>0.52200000000000002</v>
      </c>
      <c r="P217" s="6">
        <v>0</v>
      </c>
      <c r="Q217" s="4" t="s">
        <v>26</v>
      </c>
      <c r="R217" s="4">
        <v>0</v>
      </c>
      <c r="S217" s="6">
        <v>0</v>
      </c>
      <c r="T217" s="6">
        <v>43</v>
      </c>
      <c r="U217" s="6">
        <v>80</v>
      </c>
      <c r="V217" s="6">
        <f>IF(ISERROR(VLOOKUP($S$217,'TAR FIN'!$A$1:$O$85,15,0)),0,VLOOKUP($S$217,'TAR FIN'!$A$1:$O$85,15,0))</f>
        <v>0</v>
      </c>
      <c r="W217" s="6">
        <f>IF(ISERROR(VLOOKUP($T$217,'TAR FIN'!$A$1:$O$85,15,0)),0,VLOOKUP($T$217,'TAR FIN'!$A$1:$O$85,15,0))</f>
        <v>356</v>
      </c>
      <c r="X217" s="6">
        <f>IF(ISERROR(VLOOKUP($U$217,'TAR FIN'!$A$1:$O$85,15,0)),0,VLOOKUP($U$217,'TAR FIN'!$A$1:$O$85,15,0))</f>
        <v>251.85</v>
      </c>
      <c r="Y217" s="6"/>
      <c r="Z217" s="6">
        <f ca="1">('TUSD BE'!$AM$47+'TUSD BF'!$AM$47+'TUSD CVA'!$AM$47)*1</f>
        <v>460.98490773681584</v>
      </c>
      <c r="AA217" s="6">
        <f>('TE BE'!$AA$38+'TE BF'!$AA$38+'TE CVA'!$AA$38)*1</f>
        <v>256.69216484835653</v>
      </c>
      <c r="AB217" s="6">
        <f>$K$217*$V$217</f>
        <v>0</v>
      </c>
      <c r="AC217" s="6">
        <f>$M$217*$W$217</f>
        <v>185.83199999999999</v>
      </c>
      <c r="AD217" s="6">
        <f>$O$217*$X$217</f>
        <v>131.4657</v>
      </c>
      <c r="AE217" s="6">
        <f>$K$217*$Y$217</f>
        <v>0</v>
      </c>
      <c r="AF217" s="6">
        <f ca="1">$M$217*$Z$217</f>
        <v>240.63412183861789</v>
      </c>
      <c r="AG217" s="6">
        <f>$O$217*$AA$217</f>
        <v>133.9933100508421</v>
      </c>
    </row>
    <row r="218" spans="1:33" ht="11.25" customHeight="1" x14ac:dyDescent="0.25">
      <c r="A218" s="4" t="s">
        <v>21</v>
      </c>
      <c r="B218" s="4" t="s">
        <v>32</v>
      </c>
      <c r="C218" s="4" t="s">
        <v>39</v>
      </c>
      <c r="D218" s="4" t="s">
        <v>38</v>
      </c>
      <c r="E218" s="4" t="s">
        <v>25</v>
      </c>
      <c r="F218" s="4" t="s">
        <v>25</v>
      </c>
      <c r="G218" s="4" t="s">
        <v>25</v>
      </c>
      <c r="H218" s="4" t="s">
        <v>37</v>
      </c>
      <c r="I218" s="5">
        <v>44470</v>
      </c>
      <c r="J218" s="6">
        <v>0</v>
      </c>
      <c r="K218" s="6">
        <v>0</v>
      </c>
      <c r="L218" s="6">
        <v>0.501</v>
      </c>
      <c r="M218" s="6">
        <v>0.501</v>
      </c>
      <c r="N218" s="6">
        <v>0.501</v>
      </c>
      <c r="O218" s="6">
        <v>0.501</v>
      </c>
      <c r="P218" s="6">
        <v>0</v>
      </c>
      <c r="Q218" s="4" t="s">
        <v>26</v>
      </c>
      <c r="R218" s="4">
        <v>0</v>
      </c>
      <c r="S218" s="6">
        <v>0</v>
      </c>
      <c r="T218" s="6">
        <v>43</v>
      </c>
      <c r="U218" s="6">
        <v>80</v>
      </c>
      <c r="V218" s="6">
        <f>IF(ISERROR(VLOOKUP($S$218,'TAR FIN'!$A$1:$O$85,15,0)),0,VLOOKUP($S$218,'TAR FIN'!$A$1:$O$85,15,0))</f>
        <v>0</v>
      </c>
      <c r="W218" s="6">
        <f>IF(ISERROR(VLOOKUP($T$218,'TAR FIN'!$A$1:$O$85,15,0)),0,VLOOKUP($T$218,'TAR FIN'!$A$1:$O$85,15,0))</f>
        <v>356</v>
      </c>
      <c r="X218" s="6">
        <f>IF(ISERROR(VLOOKUP($U$218,'TAR FIN'!$A$1:$O$85,15,0)),0,VLOOKUP($U$218,'TAR FIN'!$A$1:$O$85,15,0))</f>
        <v>251.85</v>
      </c>
      <c r="Y218" s="6"/>
      <c r="Z218" s="6">
        <f ca="1">('TUSD BE'!$AM$47+'TUSD BF'!$AM$47+'TUSD CVA'!$AM$47)*1</f>
        <v>460.98490773681584</v>
      </c>
      <c r="AA218" s="6">
        <f>('TE BE'!$AA$38+'TE BF'!$AA$38+'TE CVA'!$AA$38)*1</f>
        <v>256.69216484835653</v>
      </c>
      <c r="AB218" s="6">
        <f>$K$218*$V$218</f>
        <v>0</v>
      </c>
      <c r="AC218" s="6">
        <f>$M$218*$W$218</f>
        <v>178.35599999999999</v>
      </c>
      <c r="AD218" s="6">
        <f>$O$218*$X$218</f>
        <v>126.17685</v>
      </c>
      <c r="AE218" s="6">
        <f>$K$218*$Y$218</f>
        <v>0</v>
      </c>
      <c r="AF218" s="6">
        <f ca="1">$M$218*$Z$218</f>
        <v>230.95343877614474</v>
      </c>
      <c r="AG218" s="6">
        <f>$O$218*$AA$218</f>
        <v>128.60277458902661</v>
      </c>
    </row>
    <row r="219" spans="1:33" ht="11.25" customHeight="1" x14ac:dyDescent="0.25">
      <c r="A219" s="4" t="s">
        <v>21</v>
      </c>
      <c r="B219" s="4" t="s">
        <v>32</v>
      </c>
      <c r="C219" s="4" t="s">
        <v>39</v>
      </c>
      <c r="D219" s="4" t="s">
        <v>38</v>
      </c>
      <c r="E219" s="4" t="s">
        <v>25</v>
      </c>
      <c r="F219" s="4" t="s">
        <v>25</v>
      </c>
      <c r="G219" s="4" t="s">
        <v>25</v>
      </c>
      <c r="H219" s="4" t="s">
        <v>37</v>
      </c>
      <c r="I219" s="5">
        <v>44501</v>
      </c>
      <c r="J219" s="6">
        <v>0</v>
      </c>
      <c r="K219" s="6">
        <v>0</v>
      </c>
      <c r="L219" s="6">
        <v>0.53900000000000003</v>
      </c>
      <c r="M219" s="6">
        <v>0.53900000000000003</v>
      </c>
      <c r="N219" s="6">
        <v>0.53900000000000003</v>
      </c>
      <c r="O219" s="6">
        <v>0.53900000000000003</v>
      </c>
      <c r="P219" s="6">
        <v>0</v>
      </c>
      <c r="Q219" s="4" t="s">
        <v>26</v>
      </c>
      <c r="R219" s="4">
        <v>0</v>
      </c>
      <c r="S219" s="6">
        <v>0</v>
      </c>
      <c r="T219" s="6">
        <v>43</v>
      </c>
      <c r="U219" s="6">
        <v>80</v>
      </c>
      <c r="V219" s="6">
        <f>IF(ISERROR(VLOOKUP($S$219,'TAR FIN'!$A$1:$O$85,15,0)),0,VLOOKUP($S$219,'TAR FIN'!$A$1:$O$85,15,0))</f>
        <v>0</v>
      </c>
      <c r="W219" s="6">
        <f>IF(ISERROR(VLOOKUP($T$219,'TAR FIN'!$A$1:$O$85,15,0)),0,VLOOKUP($T$219,'TAR FIN'!$A$1:$O$85,15,0))</f>
        <v>356</v>
      </c>
      <c r="X219" s="6">
        <f>IF(ISERROR(VLOOKUP($U$219,'TAR FIN'!$A$1:$O$85,15,0)),0,VLOOKUP($U$219,'TAR FIN'!$A$1:$O$85,15,0))</f>
        <v>251.85</v>
      </c>
      <c r="Y219" s="6"/>
      <c r="Z219" s="6">
        <f ca="1">('TUSD BE'!$AM$47+'TUSD BF'!$AM$47+'TUSD CVA'!$AM$47)*1</f>
        <v>460.98490773681584</v>
      </c>
      <c r="AA219" s="6">
        <f>('TE BE'!$AA$38+'TE BF'!$AA$38+'TE CVA'!$AA$38)*1</f>
        <v>256.69216484835653</v>
      </c>
      <c r="AB219" s="6">
        <f>$K$219*$V$219</f>
        <v>0</v>
      </c>
      <c r="AC219" s="6">
        <f>$M$219*$W$219</f>
        <v>191.88400000000001</v>
      </c>
      <c r="AD219" s="6">
        <f>$O$219*$X$219</f>
        <v>135.74715</v>
      </c>
      <c r="AE219" s="6">
        <f>$K$219*$Y$219</f>
        <v>0</v>
      </c>
      <c r="AF219" s="6">
        <f ca="1">$M$219*$Z$219</f>
        <v>248.47086527014375</v>
      </c>
      <c r="AG219" s="6">
        <f>$O$219*$AA$219</f>
        <v>138.35707685326418</v>
      </c>
    </row>
    <row r="220" spans="1:33" ht="11.25" customHeight="1" x14ac:dyDescent="0.25">
      <c r="A220" s="4" t="s">
        <v>21</v>
      </c>
      <c r="B220" s="4" t="s">
        <v>32</v>
      </c>
      <c r="C220" s="4" t="s">
        <v>39</v>
      </c>
      <c r="D220" s="4" t="s">
        <v>38</v>
      </c>
      <c r="E220" s="4" t="s">
        <v>25</v>
      </c>
      <c r="F220" s="4" t="s">
        <v>25</v>
      </c>
      <c r="G220" s="4" t="s">
        <v>25</v>
      </c>
      <c r="H220" s="4" t="s">
        <v>37</v>
      </c>
      <c r="I220" s="5">
        <v>44531</v>
      </c>
      <c r="J220" s="6">
        <v>0</v>
      </c>
      <c r="K220" s="6">
        <v>0</v>
      </c>
      <c r="L220" s="6">
        <v>0.56599999999999995</v>
      </c>
      <c r="M220" s="6">
        <v>0.56599999999999995</v>
      </c>
      <c r="N220" s="6">
        <v>0.56599999999999995</v>
      </c>
      <c r="O220" s="6">
        <v>0.56599999999999995</v>
      </c>
      <c r="P220" s="6">
        <v>0</v>
      </c>
      <c r="Q220" s="4" t="s">
        <v>26</v>
      </c>
      <c r="R220" s="4">
        <v>0</v>
      </c>
      <c r="S220" s="6">
        <v>0</v>
      </c>
      <c r="T220" s="6">
        <v>43</v>
      </c>
      <c r="U220" s="6">
        <v>80</v>
      </c>
      <c r="V220" s="6">
        <f>IF(ISERROR(VLOOKUP($S$220,'TAR FIN'!$A$1:$O$85,15,0)),0,VLOOKUP($S$220,'TAR FIN'!$A$1:$O$85,15,0))</f>
        <v>0</v>
      </c>
      <c r="W220" s="6">
        <f>IF(ISERROR(VLOOKUP($T$220,'TAR FIN'!$A$1:$O$85,15,0)),0,VLOOKUP($T$220,'TAR FIN'!$A$1:$O$85,15,0))</f>
        <v>356</v>
      </c>
      <c r="X220" s="6">
        <f>IF(ISERROR(VLOOKUP($U$220,'TAR FIN'!$A$1:$O$85,15,0)),0,VLOOKUP($U$220,'TAR FIN'!$A$1:$O$85,15,0))</f>
        <v>251.85</v>
      </c>
      <c r="Y220" s="6"/>
      <c r="Z220" s="6">
        <f ca="1">('TUSD BE'!$AM$47+'TUSD BF'!$AM$47+'TUSD CVA'!$AM$47)*1</f>
        <v>460.98490773681584</v>
      </c>
      <c r="AA220" s="6">
        <f>('TE BE'!$AA$38+'TE BF'!$AA$38+'TE CVA'!$AA$38)*1</f>
        <v>256.69216484835653</v>
      </c>
      <c r="AB220" s="6">
        <f>$K$220*$V$220</f>
        <v>0</v>
      </c>
      <c r="AC220" s="6">
        <f>$M$220*$W$220</f>
        <v>201.49599999999998</v>
      </c>
      <c r="AD220" s="6">
        <f>$O$220*$X$220</f>
        <v>142.54709999999997</v>
      </c>
      <c r="AE220" s="6">
        <f>$K$220*$Y$220</f>
        <v>0</v>
      </c>
      <c r="AF220" s="6">
        <f ca="1">$M$220*$Z$220</f>
        <v>260.91745777903776</v>
      </c>
      <c r="AG220" s="6">
        <f>$O$220*$AA$220</f>
        <v>145.28776530416977</v>
      </c>
    </row>
    <row r="221" spans="1:33" ht="11.25" customHeight="1" x14ac:dyDescent="0.25">
      <c r="A221" s="4" t="s">
        <v>21</v>
      </c>
      <c r="B221" s="4" t="s">
        <v>32</v>
      </c>
      <c r="C221" s="4" t="s">
        <v>39</v>
      </c>
      <c r="D221" s="4" t="s">
        <v>38</v>
      </c>
      <c r="E221" s="4" t="s">
        <v>25</v>
      </c>
      <c r="F221" s="4" t="s">
        <v>25</v>
      </c>
      <c r="G221" s="4" t="s">
        <v>25</v>
      </c>
      <c r="H221" s="4" t="s">
        <v>37</v>
      </c>
      <c r="I221" s="5">
        <v>44562</v>
      </c>
      <c r="J221" s="6">
        <v>0</v>
      </c>
      <c r="K221" s="6">
        <v>0</v>
      </c>
      <c r="L221" s="6">
        <v>0.39500000000000002</v>
      </c>
      <c r="M221" s="6">
        <v>0.39500000000000002</v>
      </c>
      <c r="N221" s="6">
        <v>0.39500000000000002</v>
      </c>
      <c r="O221" s="6">
        <v>0.39500000000000002</v>
      </c>
      <c r="P221" s="6">
        <v>0</v>
      </c>
      <c r="Q221" s="4" t="s">
        <v>26</v>
      </c>
      <c r="R221" s="4">
        <v>0</v>
      </c>
      <c r="S221" s="6">
        <v>0</v>
      </c>
      <c r="T221" s="6">
        <v>43</v>
      </c>
      <c r="U221" s="6">
        <v>80</v>
      </c>
      <c r="V221" s="6">
        <f>IF(ISERROR(VLOOKUP($S$221,'TAR FIN'!$A$1:$O$85,15,0)),0,VLOOKUP($S$221,'TAR FIN'!$A$1:$O$85,15,0))</f>
        <v>0</v>
      </c>
      <c r="W221" s="6">
        <f>IF(ISERROR(VLOOKUP($T$221,'TAR FIN'!$A$1:$O$85,15,0)),0,VLOOKUP($T$221,'TAR FIN'!$A$1:$O$85,15,0))</f>
        <v>356</v>
      </c>
      <c r="X221" s="6">
        <f>IF(ISERROR(VLOOKUP($U$221,'TAR FIN'!$A$1:$O$85,15,0)),0,VLOOKUP($U$221,'TAR FIN'!$A$1:$O$85,15,0))</f>
        <v>251.85</v>
      </c>
      <c r="Y221" s="6"/>
      <c r="Z221" s="6">
        <f ca="1">('TUSD BE'!$AM$47+'TUSD BF'!$AM$47+'TUSD CVA'!$AM$47)*1</f>
        <v>460.98490773681584</v>
      </c>
      <c r="AA221" s="6">
        <f>('TE BE'!$AA$38+'TE BF'!$AA$38+'TE CVA'!$AA$38)*1</f>
        <v>256.69216484835653</v>
      </c>
      <c r="AB221" s="6">
        <f>$K$221*$V$221</f>
        <v>0</v>
      </c>
      <c r="AC221" s="6">
        <f>$M$221*$W$221</f>
        <v>140.62</v>
      </c>
      <c r="AD221" s="6">
        <f>$O$221*$X$221</f>
        <v>99.48075</v>
      </c>
      <c r="AE221" s="6">
        <f>$K$221*$Y$221</f>
        <v>0</v>
      </c>
      <c r="AF221" s="6">
        <f ca="1">$M$221*$Z$221</f>
        <v>182.08903855604225</v>
      </c>
      <c r="AG221" s="6">
        <f>$O$221*$AA$221</f>
        <v>101.39340511510083</v>
      </c>
    </row>
    <row r="222" spans="1:33" ht="11.25" customHeight="1" x14ac:dyDescent="0.25">
      <c r="A222" s="4" t="s">
        <v>21</v>
      </c>
      <c r="B222" s="4" t="s">
        <v>32</v>
      </c>
      <c r="C222" s="4" t="s">
        <v>39</v>
      </c>
      <c r="D222" s="4" t="s">
        <v>38</v>
      </c>
      <c r="E222" s="4" t="s">
        <v>25</v>
      </c>
      <c r="F222" s="4" t="s">
        <v>25</v>
      </c>
      <c r="G222" s="4" t="s">
        <v>25</v>
      </c>
      <c r="H222" s="4" t="s">
        <v>37</v>
      </c>
      <c r="I222" s="5">
        <v>44593</v>
      </c>
      <c r="J222" s="6">
        <v>0</v>
      </c>
      <c r="K222" s="6">
        <v>0</v>
      </c>
      <c r="L222" s="6">
        <v>0.35899999999999999</v>
      </c>
      <c r="M222" s="6">
        <v>0.35899999999999999</v>
      </c>
      <c r="N222" s="6">
        <v>0.35899999999999999</v>
      </c>
      <c r="O222" s="6">
        <v>0.35899999999999999</v>
      </c>
      <c r="P222" s="6">
        <v>0</v>
      </c>
      <c r="Q222" s="4" t="s">
        <v>26</v>
      </c>
      <c r="R222" s="4">
        <v>0</v>
      </c>
      <c r="S222" s="6">
        <v>0</v>
      </c>
      <c r="T222" s="6">
        <v>43</v>
      </c>
      <c r="U222" s="6">
        <v>80</v>
      </c>
      <c r="V222" s="6">
        <f>IF(ISERROR(VLOOKUP($S$222,'TAR FIN'!$A$1:$O$85,15,0)),0,VLOOKUP($S$222,'TAR FIN'!$A$1:$O$85,15,0))</f>
        <v>0</v>
      </c>
      <c r="W222" s="6">
        <f>IF(ISERROR(VLOOKUP($T$222,'TAR FIN'!$A$1:$O$85,15,0)),0,VLOOKUP($T$222,'TAR FIN'!$A$1:$O$85,15,0))</f>
        <v>356</v>
      </c>
      <c r="X222" s="6">
        <f>IF(ISERROR(VLOOKUP($U$222,'TAR FIN'!$A$1:$O$85,15,0)),0,VLOOKUP($U$222,'TAR FIN'!$A$1:$O$85,15,0))</f>
        <v>251.85</v>
      </c>
      <c r="Y222" s="6"/>
      <c r="Z222" s="6">
        <f ca="1">('TUSD BE'!$AM$47+'TUSD BF'!$AM$47+'TUSD CVA'!$AM$47)*1</f>
        <v>460.98490773681584</v>
      </c>
      <c r="AA222" s="6">
        <f>('TE BE'!$AA$38+'TE BF'!$AA$38+'TE CVA'!$AA$38)*1</f>
        <v>256.69216484835653</v>
      </c>
      <c r="AB222" s="6">
        <f>$K$222*$V$222</f>
        <v>0</v>
      </c>
      <c r="AC222" s="6">
        <f>$M$222*$W$222</f>
        <v>127.804</v>
      </c>
      <c r="AD222" s="6">
        <f>$O$222*$X$222</f>
        <v>90.414149999999992</v>
      </c>
      <c r="AE222" s="6">
        <f>$K$222*$Y$222</f>
        <v>0</v>
      </c>
      <c r="AF222" s="6">
        <f ca="1">$M$222*$Z$222</f>
        <v>165.49358187751687</v>
      </c>
      <c r="AG222" s="6">
        <f>$O$222*$AA$222</f>
        <v>92.152487180559987</v>
      </c>
    </row>
    <row r="223" spans="1:33" ht="11.25" customHeight="1" x14ac:dyDescent="0.25">
      <c r="A223" s="4" t="s">
        <v>21</v>
      </c>
      <c r="B223" s="4" t="s">
        <v>32</v>
      </c>
      <c r="C223" s="4" t="s">
        <v>39</v>
      </c>
      <c r="D223" s="4" t="s">
        <v>38</v>
      </c>
      <c r="E223" s="4" t="s">
        <v>25</v>
      </c>
      <c r="F223" s="4" t="s">
        <v>25</v>
      </c>
      <c r="G223" s="4" t="s">
        <v>25</v>
      </c>
      <c r="H223" s="4" t="s">
        <v>37</v>
      </c>
      <c r="I223" s="5">
        <v>44621</v>
      </c>
      <c r="J223" s="6">
        <v>0</v>
      </c>
      <c r="K223" s="6">
        <v>0</v>
      </c>
      <c r="L223" s="6">
        <v>0.41099999999999998</v>
      </c>
      <c r="M223" s="6">
        <v>0.41099999999999998</v>
      </c>
      <c r="N223" s="6">
        <v>0.41099999999999998</v>
      </c>
      <c r="O223" s="6">
        <v>0.41099999999999998</v>
      </c>
      <c r="P223" s="6">
        <v>0</v>
      </c>
      <c r="Q223" s="4" t="s">
        <v>26</v>
      </c>
      <c r="R223" s="4">
        <v>0</v>
      </c>
      <c r="S223" s="6">
        <v>0</v>
      </c>
      <c r="T223" s="6">
        <v>43</v>
      </c>
      <c r="U223" s="6">
        <v>80</v>
      </c>
      <c r="V223" s="6">
        <f>IF(ISERROR(VLOOKUP($S$223,'TAR FIN'!$A$1:$O$85,15,0)),0,VLOOKUP($S$223,'TAR FIN'!$A$1:$O$85,15,0))</f>
        <v>0</v>
      </c>
      <c r="W223" s="6">
        <f>IF(ISERROR(VLOOKUP($T$223,'TAR FIN'!$A$1:$O$85,15,0)),0,VLOOKUP($T$223,'TAR FIN'!$A$1:$O$85,15,0))</f>
        <v>356</v>
      </c>
      <c r="X223" s="6">
        <f>IF(ISERROR(VLOOKUP($U$223,'TAR FIN'!$A$1:$O$85,15,0)),0,VLOOKUP($U$223,'TAR FIN'!$A$1:$O$85,15,0))</f>
        <v>251.85</v>
      </c>
      <c r="Y223" s="6"/>
      <c r="Z223" s="6">
        <f ca="1">('TUSD BE'!$AM$47+'TUSD BF'!$AM$47+'TUSD CVA'!$AM$47)*1</f>
        <v>460.98490773681584</v>
      </c>
      <c r="AA223" s="6">
        <f>('TE BE'!$AA$38+'TE BF'!$AA$38+'TE CVA'!$AA$38)*1</f>
        <v>256.69216484835653</v>
      </c>
      <c r="AB223" s="6">
        <f>$K$223*$V$223</f>
        <v>0</v>
      </c>
      <c r="AC223" s="6">
        <f>$M$223*$W$223</f>
        <v>146.316</v>
      </c>
      <c r="AD223" s="6">
        <f>$O$223*$X$223</f>
        <v>103.51034999999999</v>
      </c>
      <c r="AE223" s="6">
        <f>$K$223*$Y$223</f>
        <v>0</v>
      </c>
      <c r="AF223" s="6">
        <f ca="1">$M$223*$Z$223</f>
        <v>189.4647970798313</v>
      </c>
      <c r="AG223" s="6">
        <f>$O$223*$AA$223</f>
        <v>105.50047975267452</v>
      </c>
    </row>
    <row r="224" spans="1:33" ht="11.25" customHeight="1" x14ac:dyDescent="0.25">
      <c r="A224" s="4" t="s">
        <v>21</v>
      </c>
      <c r="B224" s="4" t="s">
        <v>32</v>
      </c>
      <c r="C224" s="4" t="s">
        <v>39</v>
      </c>
      <c r="D224" s="4" t="s">
        <v>38</v>
      </c>
      <c r="E224" s="4" t="s">
        <v>25</v>
      </c>
      <c r="F224" s="4" t="s">
        <v>25</v>
      </c>
      <c r="G224" s="4" t="s">
        <v>25</v>
      </c>
      <c r="H224" s="4" t="s">
        <v>37</v>
      </c>
      <c r="I224" s="5">
        <v>44652</v>
      </c>
      <c r="J224" s="6">
        <v>0</v>
      </c>
      <c r="K224" s="6">
        <v>0</v>
      </c>
      <c r="L224" s="6">
        <v>0.378</v>
      </c>
      <c r="M224" s="6">
        <v>0.378</v>
      </c>
      <c r="N224" s="6">
        <v>0.378</v>
      </c>
      <c r="O224" s="6">
        <v>0.378</v>
      </c>
      <c r="P224" s="6">
        <v>0</v>
      </c>
      <c r="Q224" s="4" t="s">
        <v>26</v>
      </c>
      <c r="R224" s="4">
        <v>0</v>
      </c>
      <c r="S224" s="6">
        <v>0</v>
      </c>
      <c r="T224" s="6">
        <v>43</v>
      </c>
      <c r="U224" s="6">
        <v>80</v>
      </c>
      <c r="V224" s="6">
        <f>IF(ISERROR(VLOOKUP($S$224,'TAR FIN'!$A$1:$O$85,15,0)),0,VLOOKUP($S$224,'TAR FIN'!$A$1:$O$85,15,0))</f>
        <v>0</v>
      </c>
      <c r="W224" s="6">
        <f>IF(ISERROR(VLOOKUP($T$224,'TAR FIN'!$A$1:$O$85,15,0)),0,VLOOKUP($T$224,'TAR FIN'!$A$1:$O$85,15,0))</f>
        <v>356</v>
      </c>
      <c r="X224" s="6">
        <f>IF(ISERROR(VLOOKUP($U$224,'TAR FIN'!$A$1:$O$85,15,0)),0,VLOOKUP($U$224,'TAR FIN'!$A$1:$O$85,15,0))</f>
        <v>251.85</v>
      </c>
      <c r="Y224" s="6"/>
      <c r="Z224" s="6">
        <f ca="1">('TUSD BE'!$AM$47+'TUSD BF'!$AM$47+'TUSD CVA'!$AM$47)*1</f>
        <v>460.98490773681584</v>
      </c>
      <c r="AA224" s="6">
        <f>('TE BE'!$AA$38+'TE BF'!$AA$38+'TE CVA'!$AA$38)*1</f>
        <v>256.69216484835653</v>
      </c>
      <c r="AB224" s="6">
        <f>$K$224*$V$224</f>
        <v>0</v>
      </c>
      <c r="AC224" s="6">
        <f>$M$224*$W$224</f>
        <v>134.56800000000001</v>
      </c>
      <c r="AD224" s="6">
        <f>$O$224*$X$224</f>
        <v>95.199299999999994</v>
      </c>
      <c r="AE224" s="6">
        <f>$K$224*$Y$224</f>
        <v>0</v>
      </c>
      <c r="AF224" s="6">
        <f ca="1">$M$224*$Z$224</f>
        <v>174.25229512451639</v>
      </c>
      <c r="AG224" s="6">
        <f>$O$224*$AA$224</f>
        <v>97.02963831267877</v>
      </c>
    </row>
    <row r="225" spans="1:33" ht="11.25" customHeight="1" x14ac:dyDescent="0.25">
      <c r="A225" s="4" t="s">
        <v>21</v>
      </c>
      <c r="B225" s="4" t="s">
        <v>32</v>
      </c>
      <c r="C225" s="4" t="s">
        <v>39</v>
      </c>
      <c r="D225" s="4" t="s">
        <v>38</v>
      </c>
      <c r="E225" s="4" t="s">
        <v>25</v>
      </c>
      <c r="F225" s="4" t="s">
        <v>25</v>
      </c>
      <c r="G225" s="4" t="s">
        <v>25</v>
      </c>
      <c r="H225" s="4" t="s">
        <v>40</v>
      </c>
      <c r="I225" s="5">
        <v>44317</v>
      </c>
      <c r="J225" s="6">
        <v>0</v>
      </c>
      <c r="K225" s="6">
        <v>0</v>
      </c>
      <c r="L225" s="6">
        <v>1.0999999999999999E-2</v>
      </c>
      <c r="M225" s="6">
        <v>1.0999999999999999E-2</v>
      </c>
      <c r="N225" s="6">
        <v>1.0999999999999999E-2</v>
      </c>
      <c r="O225" s="6">
        <v>1.0999999999999999E-2</v>
      </c>
      <c r="P225" s="6">
        <v>0</v>
      </c>
      <c r="Q225" s="4" t="s">
        <v>26</v>
      </c>
      <c r="R225" s="4">
        <v>0</v>
      </c>
      <c r="S225" s="6">
        <v>0</v>
      </c>
      <c r="T225" s="6">
        <v>42</v>
      </c>
      <c r="U225" s="6">
        <v>79</v>
      </c>
      <c r="V225" s="6">
        <f>IF(ISERROR(VLOOKUP($S$225,'TAR FIN'!$A$1:$O$85,15,0)),0,VLOOKUP($S$225,'TAR FIN'!$A$1:$O$85,15,0))</f>
        <v>0</v>
      </c>
      <c r="W225" s="6">
        <f>IF(ISERROR(VLOOKUP($T$225,'TAR FIN'!$A$1:$O$85,15,0)),0,VLOOKUP($T$225,'TAR FIN'!$A$1:$O$85,15,0))</f>
        <v>925.88</v>
      </c>
      <c r="X225" s="6">
        <f>IF(ISERROR(VLOOKUP($U$225,'TAR FIN'!$A$1:$O$85,15,0)),0,VLOOKUP($U$225,'TAR FIN'!$A$1:$O$85,15,0))</f>
        <v>251.85</v>
      </c>
      <c r="Y225" s="6"/>
      <c r="Z225" s="6">
        <f ca="1">('TUSD BE'!$AM$46+'TUSD BF'!$AM$46+'TUSD CVA'!$AM$46)*1</f>
        <v>1192.5744635440142</v>
      </c>
      <c r="AA225" s="6">
        <f>('TE BE'!$AA$37+'TE BF'!$AA$37+'TE CVA'!$AA$37)*1</f>
        <v>256.69216484835653</v>
      </c>
      <c r="AB225" s="6">
        <f>$K$225*$V$225</f>
        <v>0</v>
      </c>
      <c r="AC225" s="6">
        <f>$M$225*$W$225</f>
        <v>10.18468</v>
      </c>
      <c r="AD225" s="6">
        <f>$O$225*$X$225</f>
        <v>2.7703499999999996</v>
      </c>
      <c r="AE225" s="6">
        <f>$K$225*$Y$225</f>
        <v>0</v>
      </c>
      <c r="AF225" s="6">
        <f ca="1">$M$225*$Z$225</f>
        <v>13.118319098984156</v>
      </c>
      <c r="AG225" s="6">
        <f>$O$225*$AA$225</f>
        <v>2.8236138133319217</v>
      </c>
    </row>
    <row r="226" spans="1:33" ht="11.25" customHeight="1" x14ac:dyDescent="0.25">
      <c r="A226" s="4" t="s">
        <v>21</v>
      </c>
      <c r="B226" s="4" t="s">
        <v>32</v>
      </c>
      <c r="C226" s="4" t="s">
        <v>39</v>
      </c>
      <c r="D226" s="4" t="s">
        <v>38</v>
      </c>
      <c r="E226" s="4" t="s">
        <v>25</v>
      </c>
      <c r="F226" s="4" t="s">
        <v>25</v>
      </c>
      <c r="G226" s="4" t="s">
        <v>25</v>
      </c>
      <c r="H226" s="4" t="s">
        <v>40</v>
      </c>
      <c r="I226" s="5">
        <v>44348</v>
      </c>
      <c r="J226" s="6">
        <v>0</v>
      </c>
      <c r="K226" s="6">
        <v>0</v>
      </c>
      <c r="L226" s="6">
        <v>8.9999999999999993E-3</v>
      </c>
      <c r="M226" s="6">
        <v>8.9999999999999993E-3</v>
      </c>
      <c r="N226" s="6">
        <v>8.9999999999999993E-3</v>
      </c>
      <c r="O226" s="6">
        <v>8.9999999999999993E-3</v>
      </c>
      <c r="P226" s="6">
        <v>0</v>
      </c>
      <c r="Q226" s="4" t="s">
        <v>26</v>
      </c>
      <c r="R226" s="4">
        <v>0</v>
      </c>
      <c r="S226" s="6">
        <v>0</v>
      </c>
      <c r="T226" s="6">
        <v>42</v>
      </c>
      <c r="U226" s="6">
        <v>79</v>
      </c>
      <c r="V226" s="6">
        <f>IF(ISERROR(VLOOKUP($S$226,'TAR FIN'!$A$1:$O$85,15,0)),0,VLOOKUP($S$226,'TAR FIN'!$A$1:$O$85,15,0))</f>
        <v>0</v>
      </c>
      <c r="W226" s="6">
        <f>IF(ISERROR(VLOOKUP($T$226,'TAR FIN'!$A$1:$O$85,15,0)),0,VLOOKUP($T$226,'TAR FIN'!$A$1:$O$85,15,0))</f>
        <v>925.88</v>
      </c>
      <c r="X226" s="6">
        <f>IF(ISERROR(VLOOKUP($U$226,'TAR FIN'!$A$1:$O$85,15,0)),0,VLOOKUP($U$226,'TAR FIN'!$A$1:$O$85,15,0))</f>
        <v>251.85</v>
      </c>
      <c r="Y226" s="6"/>
      <c r="Z226" s="6">
        <f ca="1">('TUSD BE'!$AM$46+'TUSD BF'!$AM$46+'TUSD CVA'!$AM$46)*1</f>
        <v>1192.5744635440142</v>
      </c>
      <c r="AA226" s="6">
        <f>('TE BE'!$AA$37+'TE BF'!$AA$37+'TE CVA'!$AA$37)*1</f>
        <v>256.69216484835653</v>
      </c>
      <c r="AB226" s="6">
        <f>$K$226*$V$226</f>
        <v>0</v>
      </c>
      <c r="AC226" s="6">
        <f>$M$226*$W$226</f>
        <v>8.3329199999999997</v>
      </c>
      <c r="AD226" s="6">
        <f>$O$226*$X$226</f>
        <v>2.2666499999999998</v>
      </c>
      <c r="AE226" s="6">
        <f>$K$226*$Y$226</f>
        <v>0</v>
      </c>
      <c r="AF226" s="6">
        <f ca="1">$M$226*$Z$226</f>
        <v>10.733170171896127</v>
      </c>
      <c r="AG226" s="6">
        <f>$O$226*$AA$226</f>
        <v>2.3102294836352084</v>
      </c>
    </row>
    <row r="227" spans="1:33" ht="11.25" customHeight="1" x14ac:dyDescent="0.25">
      <c r="A227" s="4" t="s">
        <v>21</v>
      </c>
      <c r="B227" s="4" t="s">
        <v>32</v>
      </c>
      <c r="C227" s="4" t="s">
        <v>39</v>
      </c>
      <c r="D227" s="4" t="s">
        <v>38</v>
      </c>
      <c r="E227" s="4" t="s">
        <v>25</v>
      </c>
      <c r="F227" s="4" t="s">
        <v>25</v>
      </c>
      <c r="G227" s="4" t="s">
        <v>25</v>
      </c>
      <c r="H227" s="4" t="s">
        <v>40</v>
      </c>
      <c r="I227" s="5">
        <v>44378</v>
      </c>
      <c r="J227" s="6">
        <v>0</v>
      </c>
      <c r="K227" s="6">
        <v>0</v>
      </c>
      <c r="L227" s="6">
        <v>1.9E-2</v>
      </c>
      <c r="M227" s="6">
        <v>1.9E-2</v>
      </c>
      <c r="N227" s="6">
        <v>1.9E-2</v>
      </c>
      <c r="O227" s="6">
        <v>1.9E-2</v>
      </c>
      <c r="P227" s="6">
        <v>0</v>
      </c>
      <c r="Q227" s="4" t="s">
        <v>26</v>
      </c>
      <c r="R227" s="4">
        <v>0</v>
      </c>
      <c r="S227" s="6">
        <v>0</v>
      </c>
      <c r="T227" s="6">
        <v>42</v>
      </c>
      <c r="U227" s="6">
        <v>79</v>
      </c>
      <c r="V227" s="6">
        <f>IF(ISERROR(VLOOKUP($S$227,'TAR FIN'!$A$1:$O$85,15,0)),0,VLOOKUP($S$227,'TAR FIN'!$A$1:$O$85,15,0))</f>
        <v>0</v>
      </c>
      <c r="W227" s="6">
        <f>IF(ISERROR(VLOOKUP($T$227,'TAR FIN'!$A$1:$O$85,15,0)),0,VLOOKUP($T$227,'TAR FIN'!$A$1:$O$85,15,0))</f>
        <v>925.88</v>
      </c>
      <c r="X227" s="6">
        <f>IF(ISERROR(VLOOKUP($U$227,'TAR FIN'!$A$1:$O$85,15,0)),0,VLOOKUP($U$227,'TAR FIN'!$A$1:$O$85,15,0))</f>
        <v>251.85</v>
      </c>
      <c r="Y227" s="6"/>
      <c r="Z227" s="6">
        <f ca="1">('TUSD BE'!$AM$46+'TUSD BF'!$AM$46+'TUSD CVA'!$AM$46)*1</f>
        <v>1192.5744635440142</v>
      </c>
      <c r="AA227" s="6">
        <f>('TE BE'!$AA$37+'TE BF'!$AA$37+'TE CVA'!$AA$37)*1</f>
        <v>256.69216484835653</v>
      </c>
      <c r="AB227" s="6">
        <f>$K$227*$V$227</f>
        <v>0</v>
      </c>
      <c r="AC227" s="6">
        <f>$M$227*$W$227</f>
        <v>17.591719999999999</v>
      </c>
      <c r="AD227" s="6">
        <f>$O$227*$X$227</f>
        <v>4.7851499999999998</v>
      </c>
      <c r="AE227" s="6">
        <f>$K$227*$Y$227</f>
        <v>0</v>
      </c>
      <c r="AF227" s="6">
        <f ca="1">$M$227*$Z$227</f>
        <v>22.65891480733627</v>
      </c>
      <c r="AG227" s="6">
        <f>$O$227*$AA$227</f>
        <v>4.8771511321187742</v>
      </c>
    </row>
    <row r="228" spans="1:33" ht="11.25" customHeight="1" x14ac:dyDescent="0.25">
      <c r="A228" s="4" t="s">
        <v>21</v>
      </c>
      <c r="B228" s="4" t="s">
        <v>32</v>
      </c>
      <c r="C228" s="4" t="s">
        <v>39</v>
      </c>
      <c r="D228" s="4" t="s">
        <v>38</v>
      </c>
      <c r="E228" s="4" t="s">
        <v>25</v>
      </c>
      <c r="F228" s="4" t="s">
        <v>25</v>
      </c>
      <c r="G228" s="4" t="s">
        <v>25</v>
      </c>
      <c r="H228" s="4" t="s">
        <v>40</v>
      </c>
      <c r="I228" s="5">
        <v>44409</v>
      </c>
      <c r="J228" s="6">
        <v>0</v>
      </c>
      <c r="K228" s="6">
        <v>0</v>
      </c>
      <c r="L228" s="6">
        <v>1.2999999999999999E-2</v>
      </c>
      <c r="M228" s="6">
        <v>1.2999999999999999E-2</v>
      </c>
      <c r="N228" s="6">
        <v>1.2999999999999999E-2</v>
      </c>
      <c r="O228" s="6">
        <v>1.2999999999999999E-2</v>
      </c>
      <c r="P228" s="6">
        <v>0</v>
      </c>
      <c r="Q228" s="4" t="s">
        <v>26</v>
      </c>
      <c r="R228" s="4">
        <v>0</v>
      </c>
      <c r="S228" s="6">
        <v>0</v>
      </c>
      <c r="T228" s="6">
        <v>42</v>
      </c>
      <c r="U228" s="6">
        <v>79</v>
      </c>
      <c r="V228" s="6">
        <f>IF(ISERROR(VLOOKUP($S$228,'TAR FIN'!$A$1:$O$85,15,0)),0,VLOOKUP($S$228,'TAR FIN'!$A$1:$O$85,15,0))</f>
        <v>0</v>
      </c>
      <c r="W228" s="6">
        <f>IF(ISERROR(VLOOKUP($T$228,'TAR FIN'!$A$1:$O$85,15,0)),0,VLOOKUP($T$228,'TAR FIN'!$A$1:$O$85,15,0))</f>
        <v>925.88</v>
      </c>
      <c r="X228" s="6">
        <f>IF(ISERROR(VLOOKUP($U$228,'TAR FIN'!$A$1:$O$85,15,0)),0,VLOOKUP($U$228,'TAR FIN'!$A$1:$O$85,15,0))</f>
        <v>251.85</v>
      </c>
      <c r="Y228" s="6"/>
      <c r="Z228" s="6">
        <f ca="1">('TUSD BE'!$AM$46+'TUSD BF'!$AM$46+'TUSD CVA'!$AM$46)*1</f>
        <v>1192.5744635440142</v>
      </c>
      <c r="AA228" s="6">
        <f>('TE BE'!$AA$37+'TE BF'!$AA$37+'TE CVA'!$AA$37)*1</f>
        <v>256.69216484835653</v>
      </c>
      <c r="AB228" s="6">
        <f>$K$228*$V$228</f>
        <v>0</v>
      </c>
      <c r="AC228" s="6">
        <f>$M$228*$W$228</f>
        <v>12.036439999999999</v>
      </c>
      <c r="AD228" s="6">
        <f>$O$228*$X$228</f>
        <v>3.2740499999999999</v>
      </c>
      <c r="AE228" s="6">
        <f>$K$228*$Y$228</f>
        <v>0</v>
      </c>
      <c r="AF228" s="6">
        <f ca="1">$M$228*$Z$228</f>
        <v>15.503468026072184</v>
      </c>
      <c r="AG228" s="6">
        <f>$O$228*$AA$228</f>
        <v>3.3369981430286346</v>
      </c>
    </row>
    <row r="229" spans="1:33" ht="11.25" customHeight="1" x14ac:dyDescent="0.25">
      <c r="A229" s="4" t="s">
        <v>21</v>
      </c>
      <c r="B229" s="4" t="s">
        <v>32</v>
      </c>
      <c r="C229" s="4" t="s">
        <v>39</v>
      </c>
      <c r="D229" s="4" t="s">
        <v>38</v>
      </c>
      <c r="E229" s="4" t="s">
        <v>25</v>
      </c>
      <c r="F229" s="4" t="s">
        <v>25</v>
      </c>
      <c r="G229" s="4" t="s">
        <v>25</v>
      </c>
      <c r="H229" s="4" t="s">
        <v>40</v>
      </c>
      <c r="I229" s="5">
        <v>44440</v>
      </c>
      <c r="J229" s="6">
        <v>0</v>
      </c>
      <c r="K229" s="6">
        <v>0</v>
      </c>
      <c r="L229" s="6">
        <v>1.2E-2</v>
      </c>
      <c r="M229" s="6">
        <v>1.2E-2</v>
      </c>
      <c r="N229" s="6">
        <v>1.2E-2</v>
      </c>
      <c r="O229" s="6">
        <v>1.2E-2</v>
      </c>
      <c r="P229" s="6">
        <v>0</v>
      </c>
      <c r="Q229" s="4" t="s">
        <v>26</v>
      </c>
      <c r="R229" s="4">
        <v>0</v>
      </c>
      <c r="S229" s="6">
        <v>0</v>
      </c>
      <c r="T229" s="6">
        <v>42</v>
      </c>
      <c r="U229" s="6">
        <v>79</v>
      </c>
      <c r="V229" s="6">
        <f>IF(ISERROR(VLOOKUP($S$229,'TAR FIN'!$A$1:$O$85,15,0)),0,VLOOKUP($S$229,'TAR FIN'!$A$1:$O$85,15,0))</f>
        <v>0</v>
      </c>
      <c r="W229" s="6">
        <f>IF(ISERROR(VLOOKUP($T$229,'TAR FIN'!$A$1:$O$85,15,0)),0,VLOOKUP($T$229,'TAR FIN'!$A$1:$O$85,15,0))</f>
        <v>925.88</v>
      </c>
      <c r="X229" s="6">
        <f>IF(ISERROR(VLOOKUP($U$229,'TAR FIN'!$A$1:$O$85,15,0)),0,VLOOKUP($U$229,'TAR FIN'!$A$1:$O$85,15,0))</f>
        <v>251.85</v>
      </c>
      <c r="Y229" s="6"/>
      <c r="Z229" s="6">
        <f ca="1">('TUSD BE'!$AM$46+'TUSD BF'!$AM$46+'TUSD CVA'!$AM$46)*1</f>
        <v>1192.5744635440142</v>
      </c>
      <c r="AA229" s="6">
        <f>('TE BE'!$AA$37+'TE BF'!$AA$37+'TE CVA'!$AA$37)*1</f>
        <v>256.69216484835653</v>
      </c>
      <c r="AB229" s="6">
        <f>$K$229*$V$229</f>
        <v>0</v>
      </c>
      <c r="AC229" s="6">
        <f>$M$229*$W$229</f>
        <v>11.11056</v>
      </c>
      <c r="AD229" s="6">
        <f>$O$229*$X$229</f>
        <v>3.0221999999999998</v>
      </c>
      <c r="AE229" s="6">
        <f>$K$229*$Y$229</f>
        <v>0</v>
      </c>
      <c r="AF229" s="6">
        <f ca="1">$M$229*$Z$229</f>
        <v>14.31089356252817</v>
      </c>
      <c r="AG229" s="6">
        <f>$O$229*$AA$229</f>
        <v>3.0803059781802782</v>
      </c>
    </row>
    <row r="230" spans="1:33" ht="11.25" customHeight="1" x14ac:dyDescent="0.25">
      <c r="A230" s="4" t="s">
        <v>21</v>
      </c>
      <c r="B230" s="4" t="s">
        <v>32</v>
      </c>
      <c r="C230" s="4" t="s">
        <v>39</v>
      </c>
      <c r="D230" s="4" t="s">
        <v>38</v>
      </c>
      <c r="E230" s="4" t="s">
        <v>25</v>
      </c>
      <c r="F230" s="4" t="s">
        <v>25</v>
      </c>
      <c r="G230" s="4" t="s">
        <v>25</v>
      </c>
      <c r="H230" s="4" t="s">
        <v>40</v>
      </c>
      <c r="I230" s="5">
        <v>44470</v>
      </c>
      <c r="J230" s="6">
        <v>0</v>
      </c>
      <c r="K230" s="6">
        <v>0</v>
      </c>
      <c r="L230" s="6">
        <v>1.0999999999999999E-2</v>
      </c>
      <c r="M230" s="6">
        <v>1.0999999999999999E-2</v>
      </c>
      <c r="N230" s="6">
        <v>1.0999999999999999E-2</v>
      </c>
      <c r="O230" s="6">
        <v>1.0999999999999999E-2</v>
      </c>
      <c r="P230" s="6">
        <v>0</v>
      </c>
      <c r="Q230" s="4" t="s">
        <v>26</v>
      </c>
      <c r="R230" s="4">
        <v>0</v>
      </c>
      <c r="S230" s="6">
        <v>0</v>
      </c>
      <c r="T230" s="6">
        <v>42</v>
      </c>
      <c r="U230" s="6">
        <v>79</v>
      </c>
      <c r="V230" s="6">
        <f>IF(ISERROR(VLOOKUP($S$230,'TAR FIN'!$A$1:$O$85,15,0)),0,VLOOKUP($S$230,'TAR FIN'!$A$1:$O$85,15,0))</f>
        <v>0</v>
      </c>
      <c r="W230" s="6">
        <f>IF(ISERROR(VLOOKUP($T$230,'TAR FIN'!$A$1:$O$85,15,0)),0,VLOOKUP($T$230,'TAR FIN'!$A$1:$O$85,15,0))</f>
        <v>925.88</v>
      </c>
      <c r="X230" s="6">
        <f>IF(ISERROR(VLOOKUP($U$230,'TAR FIN'!$A$1:$O$85,15,0)),0,VLOOKUP($U$230,'TAR FIN'!$A$1:$O$85,15,0))</f>
        <v>251.85</v>
      </c>
      <c r="Y230" s="6"/>
      <c r="Z230" s="6">
        <f ca="1">('TUSD BE'!$AM$46+'TUSD BF'!$AM$46+'TUSD CVA'!$AM$46)*1</f>
        <v>1192.5744635440142</v>
      </c>
      <c r="AA230" s="6">
        <f>('TE BE'!$AA$37+'TE BF'!$AA$37+'TE CVA'!$AA$37)*1</f>
        <v>256.69216484835653</v>
      </c>
      <c r="AB230" s="6">
        <f>$K$230*$V$230</f>
        <v>0</v>
      </c>
      <c r="AC230" s="6">
        <f>$M$230*$W$230</f>
        <v>10.18468</v>
      </c>
      <c r="AD230" s="6">
        <f>$O$230*$X$230</f>
        <v>2.7703499999999996</v>
      </c>
      <c r="AE230" s="6">
        <f>$K$230*$Y$230</f>
        <v>0</v>
      </c>
      <c r="AF230" s="6">
        <f ca="1">$M$230*$Z$230</f>
        <v>13.118319098984156</v>
      </c>
      <c r="AG230" s="6">
        <f>$O$230*$AA$230</f>
        <v>2.8236138133319217</v>
      </c>
    </row>
    <row r="231" spans="1:33" ht="11.25" customHeight="1" x14ac:dyDescent="0.25">
      <c r="A231" s="4" t="s">
        <v>21</v>
      </c>
      <c r="B231" s="4" t="s">
        <v>32</v>
      </c>
      <c r="C231" s="4" t="s">
        <v>39</v>
      </c>
      <c r="D231" s="4" t="s">
        <v>38</v>
      </c>
      <c r="E231" s="4" t="s">
        <v>25</v>
      </c>
      <c r="F231" s="4" t="s">
        <v>25</v>
      </c>
      <c r="G231" s="4" t="s">
        <v>25</v>
      </c>
      <c r="H231" s="4" t="s">
        <v>40</v>
      </c>
      <c r="I231" s="5">
        <v>44501</v>
      </c>
      <c r="J231" s="6">
        <v>0</v>
      </c>
      <c r="K231" s="6">
        <v>0</v>
      </c>
      <c r="L231" s="6">
        <v>1.9E-2</v>
      </c>
      <c r="M231" s="6">
        <v>1.9E-2</v>
      </c>
      <c r="N231" s="6">
        <v>1.9E-2</v>
      </c>
      <c r="O231" s="6">
        <v>1.9E-2</v>
      </c>
      <c r="P231" s="6">
        <v>0</v>
      </c>
      <c r="Q231" s="4" t="s">
        <v>26</v>
      </c>
      <c r="R231" s="4">
        <v>0</v>
      </c>
      <c r="S231" s="6">
        <v>0</v>
      </c>
      <c r="T231" s="6">
        <v>42</v>
      </c>
      <c r="U231" s="6">
        <v>79</v>
      </c>
      <c r="V231" s="6">
        <f>IF(ISERROR(VLOOKUP($S$231,'TAR FIN'!$A$1:$O$85,15,0)),0,VLOOKUP($S$231,'TAR FIN'!$A$1:$O$85,15,0))</f>
        <v>0</v>
      </c>
      <c r="W231" s="6">
        <f>IF(ISERROR(VLOOKUP($T$231,'TAR FIN'!$A$1:$O$85,15,0)),0,VLOOKUP($T$231,'TAR FIN'!$A$1:$O$85,15,0))</f>
        <v>925.88</v>
      </c>
      <c r="X231" s="6">
        <f>IF(ISERROR(VLOOKUP($U$231,'TAR FIN'!$A$1:$O$85,15,0)),0,VLOOKUP($U$231,'TAR FIN'!$A$1:$O$85,15,0))</f>
        <v>251.85</v>
      </c>
      <c r="Y231" s="6"/>
      <c r="Z231" s="6">
        <f ca="1">('TUSD BE'!$AM$46+'TUSD BF'!$AM$46+'TUSD CVA'!$AM$46)*1</f>
        <v>1192.5744635440142</v>
      </c>
      <c r="AA231" s="6">
        <f>('TE BE'!$AA$37+'TE BF'!$AA$37+'TE CVA'!$AA$37)*1</f>
        <v>256.69216484835653</v>
      </c>
      <c r="AB231" s="6">
        <f>$K$231*$V$231</f>
        <v>0</v>
      </c>
      <c r="AC231" s="6">
        <f>$M$231*$W$231</f>
        <v>17.591719999999999</v>
      </c>
      <c r="AD231" s="6">
        <f>$O$231*$X$231</f>
        <v>4.7851499999999998</v>
      </c>
      <c r="AE231" s="6">
        <f>$K$231*$Y$231</f>
        <v>0</v>
      </c>
      <c r="AF231" s="6">
        <f ca="1">$M$231*$Z$231</f>
        <v>22.65891480733627</v>
      </c>
      <c r="AG231" s="6">
        <f>$O$231*$AA$231</f>
        <v>4.8771511321187742</v>
      </c>
    </row>
    <row r="232" spans="1:33" ht="11.25" customHeight="1" x14ac:dyDescent="0.25">
      <c r="A232" s="4" t="s">
        <v>21</v>
      </c>
      <c r="B232" s="4" t="s">
        <v>32</v>
      </c>
      <c r="C232" s="4" t="s">
        <v>39</v>
      </c>
      <c r="D232" s="4" t="s">
        <v>38</v>
      </c>
      <c r="E232" s="4" t="s">
        <v>25</v>
      </c>
      <c r="F232" s="4" t="s">
        <v>25</v>
      </c>
      <c r="G232" s="4" t="s">
        <v>25</v>
      </c>
      <c r="H232" s="4" t="s">
        <v>40</v>
      </c>
      <c r="I232" s="5">
        <v>44531</v>
      </c>
      <c r="J232" s="6">
        <v>0</v>
      </c>
      <c r="K232" s="6">
        <v>0</v>
      </c>
      <c r="L232" s="6">
        <v>0.02</v>
      </c>
      <c r="M232" s="6">
        <v>0.02</v>
      </c>
      <c r="N232" s="6">
        <v>0.02</v>
      </c>
      <c r="O232" s="6">
        <v>0.02</v>
      </c>
      <c r="P232" s="6">
        <v>0</v>
      </c>
      <c r="Q232" s="4" t="s">
        <v>26</v>
      </c>
      <c r="R232" s="4">
        <v>0</v>
      </c>
      <c r="S232" s="6">
        <v>0</v>
      </c>
      <c r="T232" s="6">
        <v>42</v>
      </c>
      <c r="U232" s="6">
        <v>79</v>
      </c>
      <c r="V232" s="6">
        <f>IF(ISERROR(VLOOKUP($S$232,'TAR FIN'!$A$1:$O$85,15,0)),0,VLOOKUP($S$232,'TAR FIN'!$A$1:$O$85,15,0))</f>
        <v>0</v>
      </c>
      <c r="W232" s="6">
        <f>IF(ISERROR(VLOOKUP($T$232,'TAR FIN'!$A$1:$O$85,15,0)),0,VLOOKUP($T$232,'TAR FIN'!$A$1:$O$85,15,0))</f>
        <v>925.88</v>
      </c>
      <c r="X232" s="6">
        <f>IF(ISERROR(VLOOKUP($U$232,'TAR FIN'!$A$1:$O$85,15,0)),0,VLOOKUP($U$232,'TAR FIN'!$A$1:$O$85,15,0))</f>
        <v>251.85</v>
      </c>
      <c r="Y232" s="6"/>
      <c r="Z232" s="6">
        <f ca="1">('TUSD BE'!$AM$46+'TUSD BF'!$AM$46+'TUSD CVA'!$AM$46)*1</f>
        <v>1192.5744635440142</v>
      </c>
      <c r="AA232" s="6">
        <f>('TE BE'!$AA$37+'TE BF'!$AA$37+'TE CVA'!$AA$37)*1</f>
        <v>256.69216484835653</v>
      </c>
      <c r="AB232" s="6">
        <f>$K$232*$V$232</f>
        <v>0</v>
      </c>
      <c r="AC232" s="6">
        <f>$M$232*$W$232</f>
        <v>18.517600000000002</v>
      </c>
      <c r="AD232" s="6">
        <f>$O$232*$X$232</f>
        <v>5.0369999999999999</v>
      </c>
      <c r="AE232" s="6">
        <f>$K$232*$Y$232</f>
        <v>0</v>
      </c>
      <c r="AF232" s="6">
        <f ca="1">$M$232*$Z$232</f>
        <v>23.851489270880283</v>
      </c>
      <c r="AG232" s="6">
        <f>$O$232*$AA$232</f>
        <v>5.1338432969671306</v>
      </c>
    </row>
    <row r="233" spans="1:33" ht="11.25" customHeight="1" x14ac:dyDescent="0.25">
      <c r="A233" s="4" t="s">
        <v>21</v>
      </c>
      <c r="B233" s="4" t="s">
        <v>32</v>
      </c>
      <c r="C233" s="4" t="s">
        <v>39</v>
      </c>
      <c r="D233" s="4" t="s">
        <v>38</v>
      </c>
      <c r="E233" s="4" t="s">
        <v>25</v>
      </c>
      <c r="F233" s="4" t="s">
        <v>25</v>
      </c>
      <c r="G233" s="4" t="s">
        <v>25</v>
      </c>
      <c r="H233" s="4" t="s">
        <v>40</v>
      </c>
      <c r="I233" s="5">
        <v>44562</v>
      </c>
      <c r="J233" s="6">
        <v>0</v>
      </c>
      <c r="K233" s="6">
        <v>0</v>
      </c>
      <c r="L233" s="6">
        <v>1.2999999999999999E-2</v>
      </c>
      <c r="M233" s="6">
        <v>1.2999999999999999E-2</v>
      </c>
      <c r="N233" s="6">
        <v>1.2999999999999999E-2</v>
      </c>
      <c r="O233" s="6">
        <v>1.2999999999999999E-2</v>
      </c>
      <c r="P233" s="6">
        <v>0</v>
      </c>
      <c r="Q233" s="4" t="s">
        <v>26</v>
      </c>
      <c r="R233" s="4">
        <v>0</v>
      </c>
      <c r="S233" s="6">
        <v>0</v>
      </c>
      <c r="T233" s="6">
        <v>42</v>
      </c>
      <c r="U233" s="6">
        <v>79</v>
      </c>
      <c r="V233" s="6">
        <f>IF(ISERROR(VLOOKUP($S$233,'TAR FIN'!$A$1:$O$85,15,0)),0,VLOOKUP($S$233,'TAR FIN'!$A$1:$O$85,15,0))</f>
        <v>0</v>
      </c>
      <c r="W233" s="6">
        <f>IF(ISERROR(VLOOKUP($T$233,'TAR FIN'!$A$1:$O$85,15,0)),0,VLOOKUP($T$233,'TAR FIN'!$A$1:$O$85,15,0))</f>
        <v>925.88</v>
      </c>
      <c r="X233" s="6">
        <f>IF(ISERROR(VLOOKUP($U$233,'TAR FIN'!$A$1:$O$85,15,0)),0,VLOOKUP($U$233,'TAR FIN'!$A$1:$O$85,15,0))</f>
        <v>251.85</v>
      </c>
      <c r="Y233" s="6"/>
      <c r="Z233" s="6">
        <f ca="1">('TUSD BE'!$AM$46+'TUSD BF'!$AM$46+'TUSD CVA'!$AM$46)*1</f>
        <v>1192.5744635440142</v>
      </c>
      <c r="AA233" s="6">
        <f>('TE BE'!$AA$37+'TE BF'!$AA$37+'TE CVA'!$AA$37)*1</f>
        <v>256.69216484835653</v>
      </c>
      <c r="AB233" s="6">
        <f>$K$233*$V$233</f>
        <v>0</v>
      </c>
      <c r="AC233" s="6">
        <f>$M$233*$W$233</f>
        <v>12.036439999999999</v>
      </c>
      <c r="AD233" s="6">
        <f>$O$233*$X$233</f>
        <v>3.2740499999999999</v>
      </c>
      <c r="AE233" s="6">
        <f>$K$233*$Y$233</f>
        <v>0</v>
      </c>
      <c r="AF233" s="6">
        <f ca="1">$M$233*$Z$233</f>
        <v>15.503468026072184</v>
      </c>
      <c r="AG233" s="6">
        <f>$O$233*$AA$233</f>
        <v>3.3369981430286346</v>
      </c>
    </row>
    <row r="234" spans="1:33" ht="11.25" customHeight="1" x14ac:dyDescent="0.25">
      <c r="A234" s="4" t="s">
        <v>21</v>
      </c>
      <c r="B234" s="4" t="s">
        <v>32</v>
      </c>
      <c r="C234" s="4" t="s">
        <v>39</v>
      </c>
      <c r="D234" s="4" t="s">
        <v>38</v>
      </c>
      <c r="E234" s="4" t="s">
        <v>25</v>
      </c>
      <c r="F234" s="4" t="s">
        <v>25</v>
      </c>
      <c r="G234" s="4" t="s">
        <v>25</v>
      </c>
      <c r="H234" s="4" t="s">
        <v>40</v>
      </c>
      <c r="I234" s="5">
        <v>44593</v>
      </c>
      <c r="J234" s="6">
        <v>0</v>
      </c>
      <c r="K234" s="6">
        <v>0</v>
      </c>
      <c r="L234" s="6">
        <v>1.2E-2</v>
      </c>
      <c r="M234" s="6">
        <v>1.2E-2</v>
      </c>
      <c r="N234" s="6">
        <v>1.2E-2</v>
      </c>
      <c r="O234" s="6">
        <v>1.2E-2</v>
      </c>
      <c r="P234" s="6">
        <v>0</v>
      </c>
      <c r="Q234" s="4" t="s">
        <v>26</v>
      </c>
      <c r="R234" s="4">
        <v>0</v>
      </c>
      <c r="S234" s="6">
        <v>0</v>
      </c>
      <c r="T234" s="6">
        <v>42</v>
      </c>
      <c r="U234" s="6">
        <v>79</v>
      </c>
      <c r="V234" s="6">
        <f>IF(ISERROR(VLOOKUP($S$234,'TAR FIN'!$A$1:$O$85,15,0)),0,VLOOKUP($S$234,'TAR FIN'!$A$1:$O$85,15,0))</f>
        <v>0</v>
      </c>
      <c r="W234" s="6">
        <f>IF(ISERROR(VLOOKUP($T$234,'TAR FIN'!$A$1:$O$85,15,0)),0,VLOOKUP($T$234,'TAR FIN'!$A$1:$O$85,15,0))</f>
        <v>925.88</v>
      </c>
      <c r="X234" s="6">
        <f>IF(ISERROR(VLOOKUP($U$234,'TAR FIN'!$A$1:$O$85,15,0)),0,VLOOKUP($U$234,'TAR FIN'!$A$1:$O$85,15,0))</f>
        <v>251.85</v>
      </c>
      <c r="Y234" s="6"/>
      <c r="Z234" s="6">
        <f ca="1">('TUSD BE'!$AM$46+'TUSD BF'!$AM$46+'TUSD CVA'!$AM$46)*1</f>
        <v>1192.5744635440142</v>
      </c>
      <c r="AA234" s="6">
        <f>('TE BE'!$AA$37+'TE BF'!$AA$37+'TE CVA'!$AA$37)*1</f>
        <v>256.69216484835653</v>
      </c>
      <c r="AB234" s="6">
        <f>$K$234*$V$234</f>
        <v>0</v>
      </c>
      <c r="AC234" s="6">
        <f>$M$234*$W$234</f>
        <v>11.11056</v>
      </c>
      <c r="AD234" s="6">
        <f>$O$234*$X$234</f>
        <v>3.0221999999999998</v>
      </c>
      <c r="AE234" s="6">
        <f>$K$234*$Y$234</f>
        <v>0</v>
      </c>
      <c r="AF234" s="6">
        <f ca="1">$M$234*$Z$234</f>
        <v>14.31089356252817</v>
      </c>
      <c r="AG234" s="6">
        <f>$O$234*$AA$234</f>
        <v>3.0803059781802782</v>
      </c>
    </row>
    <row r="235" spans="1:33" ht="11.25" customHeight="1" x14ac:dyDescent="0.25">
      <c r="A235" s="4" t="s">
        <v>21</v>
      </c>
      <c r="B235" s="4" t="s">
        <v>32</v>
      </c>
      <c r="C235" s="4" t="s">
        <v>39</v>
      </c>
      <c r="D235" s="4" t="s">
        <v>38</v>
      </c>
      <c r="E235" s="4" t="s">
        <v>25</v>
      </c>
      <c r="F235" s="4" t="s">
        <v>25</v>
      </c>
      <c r="G235" s="4" t="s">
        <v>25</v>
      </c>
      <c r="H235" s="4" t="s">
        <v>40</v>
      </c>
      <c r="I235" s="5">
        <v>44621</v>
      </c>
      <c r="J235" s="6">
        <v>0</v>
      </c>
      <c r="K235" s="6">
        <v>0</v>
      </c>
      <c r="L235" s="6">
        <v>1.4E-2</v>
      </c>
      <c r="M235" s="6">
        <v>1.4E-2</v>
      </c>
      <c r="N235" s="6">
        <v>1.4E-2</v>
      </c>
      <c r="O235" s="6">
        <v>1.4E-2</v>
      </c>
      <c r="P235" s="6">
        <v>0</v>
      </c>
      <c r="Q235" s="4" t="s">
        <v>26</v>
      </c>
      <c r="R235" s="4">
        <v>0</v>
      </c>
      <c r="S235" s="6">
        <v>0</v>
      </c>
      <c r="T235" s="6">
        <v>42</v>
      </c>
      <c r="U235" s="6">
        <v>79</v>
      </c>
      <c r="V235" s="6">
        <f>IF(ISERROR(VLOOKUP($S$235,'TAR FIN'!$A$1:$O$85,15,0)),0,VLOOKUP($S$235,'TAR FIN'!$A$1:$O$85,15,0))</f>
        <v>0</v>
      </c>
      <c r="W235" s="6">
        <f>IF(ISERROR(VLOOKUP($T$235,'TAR FIN'!$A$1:$O$85,15,0)),0,VLOOKUP($T$235,'TAR FIN'!$A$1:$O$85,15,0))</f>
        <v>925.88</v>
      </c>
      <c r="X235" s="6">
        <f>IF(ISERROR(VLOOKUP($U$235,'TAR FIN'!$A$1:$O$85,15,0)),0,VLOOKUP($U$235,'TAR FIN'!$A$1:$O$85,15,0))</f>
        <v>251.85</v>
      </c>
      <c r="Y235" s="6"/>
      <c r="Z235" s="6">
        <f ca="1">('TUSD BE'!$AM$46+'TUSD BF'!$AM$46+'TUSD CVA'!$AM$46)*1</f>
        <v>1192.5744635440142</v>
      </c>
      <c r="AA235" s="6">
        <f>('TE BE'!$AA$37+'TE BF'!$AA$37+'TE CVA'!$AA$37)*1</f>
        <v>256.69216484835653</v>
      </c>
      <c r="AB235" s="6">
        <f>$K$235*$V$235</f>
        <v>0</v>
      </c>
      <c r="AC235" s="6">
        <f>$M$235*$W$235</f>
        <v>12.96232</v>
      </c>
      <c r="AD235" s="6">
        <f>$O$235*$X$235</f>
        <v>3.5259</v>
      </c>
      <c r="AE235" s="6">
        <f>$K$235*$Y$235</f>
        <v>0</v>
      </c>
      <c r="AF235" s="6">
        <f ca="1">$M$235*$Z$235</f>
        <v>16.6960424896162</v>
      </c>
      <c r="AG235" s="6">
        <f>$O$235*$AA$235</f>
        <v>3.5936903078769915</v>
      </c>
    </row>
    <row r="236" spans="1:33" ht="11.25" customHeight="1" x14ac:dyDescent="0.25">
      <c r="A236" s="4" t="s">
        <v>21</v>
      </c>
      <c r="B236" s="4" t="s">
        <v>32</v>
      </c>
      <c r="C236" s="4" t="s">
        <v>39</v>
      </c>
      <c r="D236" s="4" t="s">
        <v>38</v>
      </c>
      <c r="E236" s="4" t="s">
        <v>25</v>
      </c>
      <c r="F236" s="4" t="s">
        <v>25</v>
      </c>
      <c r="G236" s="4" t="s">
        <v>25</v>
      </c>
      <c r="H236" s="4" t="s">
        <v>40</v>
      </c>
      <c r="I236" s="5">
        <v>44652</v>
      </c>
      <c r="J236" s="6">
        <v>0</v>
      </c>
      <c r="K236" s="6">
        <v>0</v>
      </c>
      <c r="L236" s="6">
        <v>1.0999999999999999E-2</v>
      </c>
      <c r="M236" s="6">
        <v>1.0999999999999999E-2</v>
      </c>
      <c r="N236" s="6">
        <v>1.0999999999999999E-2</v>
      </c>
      <c r="O236" s="6">
        <v>1.0999999999999999E-2</v>
      </c>
      <c r="P236" s="6">
        <v>0</v>
      </c>
      <c r="Q236" s="4" t="s">
        <v>26</v>
      </c>
      <c r="R236" s="4">
        <v>0</v>
      </c>
      <c r="S236" s="6">
        <v>0</v>
      </c>
      <c r="T236" s="6">
        <v>42</v>
      </c>
      <c r="U236" s="6">
        <v>79</v>
      </c>
      <c r="V236" s="6">
        <f>IF(ISERROR(VLOOKUP($S$236,'TAR FIN'!$A$1:$O$85,15,0)),0,VLOOKUP($S$236,'TAR FIN'!$A$1:$O$85,15,0))</f>
        <v>0</v>
      </c>
      <c r="W236" s="6">
        <f>IF(ISERROR(VLOOKUP($T$236,'TAR FIN'!$A$1:$O$85,15,0)),0,VLOOKUP($T$236,'TAR FIN'!$A$1:$O$85,15,0))</f>
        <v>925.88</v>
      </c>
      <c r="X236" s="6">
        <f>IF(ISERROR(VLOOKUP($U$236,'TAR FIN'!$A$1:$O$85,15,0)),0,VLOOKUP($U$236,'TAR FIN'!$A$1:$O$85,15,0))</f>
        <v>251.85</v>
      </c>
      <c r="Y236" s="6"/>
      <c r="Z236" s="6">
        <f ca="1">('TUSD BE'!$AM$46+'TUSD BF'!$AM$46+'TUSD CVA'!$AM$46)*1</f>
        <v>1192.5744635440142</v>
      </c>
      <c r="AA236" s="6">
        <f>('TE BE'!$AA$37+'TE BF'!$AA$37+'TE CVA'!$AA$37)*1</f>
        <v>256.69216484835653</v>
      </c>
      <c r="AB236" s="6">
        <f>$K$236*$V$236</f>
        <v>0</v>
      </c>
      <c r="AC236" s="6">
        <f>$M$236*$W$236</f>
        <v>10.18468</v>
      </c>
      <c r="AD236" s="6">
        <f>$O$236*$X$236</f>
        <v>2.7703499999999996</v>
      </c>
      <c r="AE236" s="6">
        <f>$K$236*$Y$236</f>
        <v>0</v>
      </c>
      <c r="AF236" s="6">
        <f ca="1">$M$236*$Z$236</f>
        <v>13.118319098984156</v>
      </c>
      <c r="AG236" s="6">
        <f>$O$236*$AA$236</f>
        <v>2.8236138133319217</v>
      </c>
    </row>
    <row r="237" spans="1:33" ht="11.25" customHeight="1" x14ac:dyDescent="0.25">
      <c r="A237" s="4" t="s">
        <v>21</v>
      </c>
      <c r="B237" s="4" t="s">
        <v>32</v>
      </c>
      <c r="C237" s="4" t="s">
        <v>39</v>
      </c>
      <c r="D237" s="4" t="s">
        <v>38</v>
      </c>
      <c r="E237" s="4" t="s">
        <v>25</v>
      </c>
      <c r="F237" s="4" t="s">
        <v>25</v>
      </c>
      <c r="G237" s="4" t="s">
        <v>25</v>
      </c>
      <c r="H237" s="4" t="s">
        <v>36</v>
      </c>
      <c r="I237" s="5">
        <v>44317</v>
      </c>
      <c r="J237" s="6">
        <v>0</v>
      </c>
      <c r="K237" s="6">
        <v>0</v>
      </c>
      <c r="L237" s="6">
        <v>8.9999999999999993E-3</v>
      </c>
      <c r="M237" s="6">
        <v>8.9999999999999993E-3</v>
      </c>
      <c r="N237" s="6">
        <v>8.9999999999999993E-3</v>
      </c>
      <c r="O237" s="6">
        <v>8.9999999999999993E-3</v>
      </c>
      <c r="P237" s="6">
        <v>0</v>
      </c>
      <c r="Q237" s="4" t="s">
        <v>26</v>
      </c>
      <c r="R237" s="4">
        <v>0</v>
      </c>
      <c r="S237" s="6">
        <v>0</v>
      </c>
      <c r="T237" s="6">
        <v>41</v>
      </c>
      <c r="U237" s="6">
        <v>78</v>
      </c>
      <c r="V237" s="6">
        <f>IF(ISERROR(VLOOKUP($S$237,'TAR FIN'!$A$1:$O$85,15,0)),0,VLOOKUP($S$237,'TAR FIN'!$A$1:$O$85,15,0))</f>
        <v>0</v>
      </c>
      <c r="W237" s="6">
        <f>IF(ISERROR(VLOOKUP($T$237,'TAR FIN'!$A$1:$O$85,15,0)),0,VLOOKUP($T$237,'TAR FIN'!$A$1:$O$85,15,0))</f>
        <v>1495.77</v>
      </c>
      <c r="X237" s="6">
        <f>IF(ISERROR(VLOOKUP($U$237,'TAR FIN'!$A$1:$O$85,15,0)),0,VLOOKUP($U$237,'TAR FIN'!$A$1:$O$85,15,0))</f>
        <v>251.85</v>
      </c>
      <c r="Y237" s="6"/>
      <c r="Z237" s="6">
        <f ca="1">('TUSD BE'!$AM$45+'TUSD BF'!$AM$45+'TUSD CVA'!$AM$45)*1</f>
        <v>1924.161512922497</v>
      </c>
      <c r="AA237" s="6">
        <f>('TE BE'!$AA$36+'TE BF'!$AA$36+'TE CVA'!$AA$36)*1</f>
        <v>256.69216484835653</v>
      </c>
      <c r="AB237" s="6">
        <f>$K$237*$V$237</f>
        <v>0</v>
      </c>
      <c r="AC237" s="6">
        <f>$M$237*$W$237</f>
        <v>13.461929999999999</v>
      </c>
      <c r="AD237" s="6">
        <f>$O$237*$X$237</f>
        <v>2.2666499999999998</v>
      </c>
      <c r="AE237" s="6">
        <f>$K$237*$Y$237</f>
        <v>0</v>
      </c>
      <c r="AF237" s="6">
        <f ca="1">$M$237*$Z$237</f>
        <v>17.317453616302473</v>
      </c>
      <c r="AG237" s="6">
        <f>$O$237*$AA$237</f>
        <v>2.3102294836352084</v>
      </c>
    </row>
    <row r="238" spans="1:33" ht="11.25" customHeight="1" x14ac:dyDescent="0.25">
      <c r="A238" s="4" t="s">
        <v>21</v>
      </c>
      <c r="B238" s="4" t="s">
        <v>32</v>
      </c>
      <c r="C238" s="4" t="s">
        <v>39</v>
      </c>
      <c r="D238" s="4" t="s">
        <v>38</v>
      </c>
      <c r="E238" s="4" t="s">
        <v>25</v>
      </c>
      <c r="F238" s="4" t="s">
        <v>25</v>
      </c>
      <c r="G238" s="4" t="s">
        <v>25</v>
      </c>
      <c r="H238" s="4" t="s">
        <v>36</v>
      </c>
      <c r="I238" s="5">
        <v>44348</v>
      </c>
      <c r="J238" s="6">
        <v>0</v>
      </c>
      <c r="K238" s="6">
        <v>0</v>
      </c>
      <c r="L238" s="6">
        <v>1.2E-2</v>
      </c>
      <c r="M238" s="6">
        <v>1.2E-2</v>
      </c>
      <c r="N238" s="6">
        <v>1.2E-2</v>
      </c>
      <c r="O238" s="6">
        <v>1.2E-2</v>
      </c>
      <c r="P238" s="6">
        <v>0</v>
      </c>
      <c r="Q238" s="4" t="s">
        <v>26</v>
      </c>
      <c r="R238" s="4">
        <v>0</v>
      </c>
      <c r="S238" s="6">
        <v>0</v>
      </c>
      <c r="T238" s="6">
        <v>41</v>
      </c>
      <c r="U238" s="6">
        <v>78</v>
      </c>
      <c r="V238" s="6">
        <f>IF(ISERROR(VLOOKUP($S$238,'TAR FIN'!$A$1:$O$85,15,0)),0,VLOOKUP($S$238,'TAR FIN'!$A$1:$O$85,15,0))</f>
        <v>0</v>
      </c>
      <c r="W238" s="6">
        <f>IF(ISERROR(VLOOKUP($T$238,'TAR FIN'!$A$1:$O$85,15,0)),0,VLOOKUP($T$238,'TAR FIN'!$A$1:$O$85,15,0))</f>
        <v>1495.77</v>
      </c>
      <c r="X238" s="6">
        <f>IF(ISERROR(VLOOKUP($U$238,'TAR FIN'!$A$1:$O$85,15,0)),0,VLOOKUP($U$238,'TAR FIN'!$A$1:$O$85,15,0))</f>
        <v>251.85</v>
      </c>
      <c r="Y238" s="6"/>
      <c r="Z238" s="6">
        <f ca="1">('TUSD BE'!$AM$45+'TUSD BF'!$AM$45+'TUSD CVA'!$AM$45)*1</f>
        <v>1924.161512922497</v>
      </c>
      <c r="AA238" s="6">
        <f>('TE BE'!$AA$36+'TE BF'!$AA$36+'TE CVA'!$AA$36)*1</f>
        <v>256.69216484835653</v>
      </c>
      <c r="AB238" s="6">
        <f>$K$238*$V$238</f>
        <v>0</v>
      </c>
      <c r="AC238" s="6">
        <f>$M$238*$W$238</f>
        <v>17.94924</v>
      </c>
      <c r="AD238" s="6">
        <f>$O$238*$X$238</f>
        <v>3.0221999999999998</v>
      </c>
      <c r="AE238" s="6">
        <f>$K$238*$Y$238</f>
        <v>0</v>
      </c>
      <c r="AF238" s="6">
        <f ca="1">$M$238*$Z$238</f>
        <v>23.089938155069966</v>
      </c>
      <c r="AG238" s="6">
        <f>$O$238*$AA$238</f>
        <v>3.0803059781802782</v>
      </c>
    </row>
    <row r="239" spans="1:33" ht="11.25" customHeight="1" x14ac:dyDescent="0.25">
      <c r="A239" s="4" t="s">
        <v>21</v>
      </c>
      <c r="B239" s="4" t="s">
        <v>32</v>
      </c>
      <c r="C239" s="4" t="s">
        <v>39</v>
      </c>
      <c r="D239" s="4" t="s">
        <v>38</v>
      </c>
      <c r="E239" s="4" t="s">
        <v>25</v>
      </c>
      <c r="F239" s="4" t="s">
        <v>25</v>
      </c>
      <c r="G239" s="4" t="s">
        <v>25</v>
      </c>
      <c r="H239" s="4" t="s">
        <v>36</v>
      </c>
      <c r="I239" s="5">
        <v>44378</v>
      </c>
      <c r="J239" s="6">
        <v>0</v>
      </c>
      <c r="K239" s="6">
        <v>0</v>
      </c>
      <c r="L239" s="6">
        <v>1.4E-2</v>
      </c>
      <c r="M239" s="6">
        <v>1.4E-2</v>
      </c>
      <c r="N239" s="6">
        <v>1.4E-2</v>
      </c>
      <c r="O239" s="6">
        <v>1.4E-2</v>
      </c>
      <c r="P239" s="6">
        <v>0</v>
      </c>
      <c r="Q239" s="4" t="s">
        <v>26</v>
      </c>
      <c r="R239" s="4">
        <v>0</v>
      </c>
      <c r="S239" s="6">
        <v>0</v>
      </c>
      <c r="T239" s="6">
        <v>41</v>
      </c>
      <c r="U239" s="6">
        <v>78</v>
      </c>
      <c r="V239" s="6">
        <f>IF(ISERROR(VLOOKUP($S$239,'TAR FIN'!$A$1:$O$85,15,0)),0,VLOOKUP($S$239,'TAR FIN'!$A$1:$O$85,15,0))</f>
        <v>0</v>
      </c>
      <c r="W239" s="6">
        <f>IF(ISERROR(VLOOKUP($T$239,'TAR FIN'!$A$1:$O$85,15,0)),0,VLOOKUP($T$239,'TAR FIN'!$A$1:$O$85,15,0))</f>
        <v>1495.77</v>
      </c>
      <c r="X239" s="6">
        <f>IF(ISERROR(VLOOKUP($U$239,'TAR FIN'!$A$1:$O$85,15,0)),0,VLOOKUP($U$239,'TAR FIN'!$A$1:$O$85,15,0))</f>
        <v>251.85</v>
      </c>
      <c r="Y239" s="6"/>
      <c r="Z239" s="6">
        <f ca="1">('TUSD BE'!$AM$45+'TUSD BF'!$AM$45+'TUSD CVA'!$AM$45)*1</f>
        <v>1924.161512922497</v>
      </c>
      <c r="AA239" s="6">
        <f>('TE BE'!$AA$36+'TE BF'!$AA$36+'TE CVA'!$AA$36)*1</f>
        <v>256.69216484835653</v>
      </c>
      <c r="AB239" s="6">
        <f>$K$239*$V$239</f>
        <v>0</v>
      </c>
      <c r="AC239" s="6">
        <f>$M$239*$W$239</f>
        <v>20.94078</v>
      </c>
      <c r="AD239" s="6">
        <f>$O$239*$X$239</f>
        <v>3.5259</v>
      </c>
      <c r="AE239" s="6">
        <f>$K$239*$Y$239</f>
        <v>0</v>
      </c>
      <c r="AF239" s="6">
        <f ca="1">$M$239*$Z$239</f>
        <v>26.938261180914957</v>
      </c>
      <c r="AG239" s="6">
        <f>$O$239*$AA$239</f>
        <v>3.5936903078769915</v>
      </c>
    </row>
    <row r="240" spans="1:33" ht="11.25" customHeight="1" x14ac:dyDescent="0.25">
      <c r="A240" s="4" t="s">
        <v>21</v>
      </c>
      <c r="B240" s="4" t="s">
        <v>32</v>
      </c>
      <c r="C240" s="4" t="s">
        <v>39</v>
      </c>
      <c r="D240" s="4" t="s">
        <v>38</v>
      </c>
      <c r="E240" s="4" t="s">
        <v>25</v>
      </c>
      <c r="F240" s="4" t="s">
        <v>25</v>
      </c>
      <c r="G240" s="4" t="s">
        <v>25</v>
      </c>
      <c r="H240" s="4" t="s">
        <v>36</v>
      </c>
      <c r="I240" s="5">
        <v>44409</v>
      </c>
      <c r="J240" s="6">
        <v>0</v>
      </c>
      <c r="K240" s="6">
        <v>0</v>
      </c>
      <c r="L240" s="6">
        <v>1.4999999999999999E-2</v>
      </c>
      <c r="M240" s="6">
        <v>1.4999999999999999E-2</v>
      </c>
      <c r="N240" s="6">
        <v>1.4999999999999999E-2</v>
      </c>
      <c r="O240" s="6">
        <v>1.4999999999999999E-2</v>
      </c>
      <c r="P240" s="6">
        <v>0</v>
      </c>
      <c r="Q240" s="4" t="s">
        <v>26</v>
      </c>
      <c r="R240" s="4">
        <v>0</v>
      </c>
      <c r="S240" s="6">
        <v>0</v>
      </c>
      <c r="T240" s="6">
        <v>41</v>
      </c>
      <c r="U240" s="6">
        <v>78</v>
      </c>
      <c r="V240" s="6">
        <f>IF(ISERROR(VLOOKUP($S$240,'TAR FIN'!$A$1:$O$85,15,0)),0,VLOOKUP($S$240,'TAR FIN'!$A$1:$O$85,15,0))</f>
        <v>0</v>
      </c>
      <c r="W240" s="6">
        <f>IF(ISERROR(VLOOKUP($T$240,'TAR FIN'!$A$1:$O$85,15,0)),0,VLOOKUP($T$240,'TAR FIN'!$A$1:$O$85,15,0))</f>
        <v>1495.77</v>
      </c>
      <c r="X240" s="6">
        <f>IF(ISERROR(VLOOKUP($U$240,'TAR FIN'!$A$1:$O$85,15,0)),0,VLOOKUP($U$240,'TAR FIN'!$A$1:$O$85,15,0))</f>
        <v>251.85</v>
      </c>
      <c r="Y240" s="6"/>
      <c r="Z240" s="6">
        <f ca="1">('TUSD BE'!$AM$45+'TUSD BF'!$AM$45+'TUSD CVA'!$AM$45)*1</f>
        <v>1924.161512922497</v>
      </c>
      <c r="AA240" s="6">
        <f>('TE BE'!$AA$36+'TE BF'!$AA$36+'TE CVA'!$AA$36)*1</f>
        <v>256.69216484835653</v>
      </c>
      <c r="AB240" s="6">
        <f>$K$240*$V$240</f>
        <v>0</v>
      </c>
      <c r="AC240" s="6">
        <f>$M$240*$W$240</f>
        <v>22.43655</v>
      </c>
      <c r="AD240" s="6">
        <f>$O$240*$X$240</f>
        <v>3.7777499999999997</v>
      </c>
      <c r="AE240" s="6">
        <f>$K$240*$Y$240</f>
        <v>0</v>
      </c>
      <c r="AF240" s="6">
        <f ca="1">$M$240*$Z$240</f>
        <v>28.862422693837452</v>
      </c>
      <c r="AG240" s="6">
        <f>$O$240*$AA$240</f>
        <v>3.8503824727253479</v>
      </c>
    </row>
    <row r="241" spans="1:33" ht="11.25" customHeight="1" x14ac:dyDescent="0.25">
      <c r="A241" s="4" t="s">
        <v>21</v>
      </c>
      <c r="B241" s="4" t="s">
        <v>32</v>
      </c>
      <c r="C241" s="4" t="s">
        <v>39</v>
      </c>
      <c r="D241" s="4" t="s">
        <v>38</v>
      </c>
      <c r="E241" s="4" t="s">
        <v>25</v>
      </c>
      <c r="F241" s="4" t="s">
        <v>25</v>
      </c>
      <c r="G241" s="4" t="s">
        <v>25</v>
      </c>
      <c r="H241" s="4" t="s">
        <v>36</v>
      </c>
      <c r="I241" s="5">
        <v>44440</v>
      </c>
      <c r="J241" s="6">
        <v>0</v>
      </c>
      <c r="K241" s="6">
        <v>0</v>
      </c>
      <c r="L241" s="6">
        <v>1.2E-2</v>
      </c>
      <c r="M241" s="6">
        <v>1.2E-2</v>
      </c>
      <c r="N241" s="6">
        <v>1.2E-2</v>
      </c>
      <c r="O241" s="6">
        <v>1.2E-2</v>
      </c>
      <c r="P241" s="6">
        <v>0</v>
      </c>
      <c r="Q241" s="4" t="s">
        <v>26</v>
      </c>
      <c r="R241" s="4">
        <v>0</v>
      </c>
      <c r="S241" s="6">
        <v>0</v>
      </c>
      <c r="T241" s="6">
        <v>41</v>
      </c>
      <c r="U241" s="6">
        <v>78</v>
      </c>
      <c r="V241" s="6">
        <f>IF(ISERROR(VLOOKUP($S$241,'TAR FIN'!$A$1:$O$85,15,0)),0,VLOOKUP($S$241,'TAR FIN'!$A$1:$O$85,15,0))</f>
        <v>0</v>
      </c>
      <c r="W241" s="6">
        <f>IF(ISERROR(VLOOKUP($T$241,'TAR FIN'!$A$1:$O$85,15,0)),0,VLOOKUP($T$241,'TAR FIN'!$A$1:$O$85,15,0))</f>
        <v>1495.77</v>
      </c>
      <c r="X241" s="6">
        <f>IF(ISERROR(VLOOKUP($U$241,'TAR FIN'!$A$1:$O$85,15,0)),0,VLOOKUP($U$241,'TAR FIN'!$A$1:$O$85,15,0))</f>
        <v>251.85</v>
      </c>
      <c r="Y241" s="6"/>
      <c r="Z241" s="6">
        <f ca="1">('TUSD BE'!$AM$45+'TUSD BF'!$AM$45+'TUSD CVA'!$AM$45)*1</f>
        <v>1924.161512922497</v>
      </c>
      <c r="AA241" s="6">
        <f>('TE BE'!$AA$36+'TE BF'!$AA$36+'TE CVA'!$AA$36)*1</f>
        <v>256.69216484835653</v>
      </c>
      <c r="AB241" s="6">
        <f>$K$241*$V$241</f>
        <v>0</v>
      </c>
      <c r="AC241" s="6">
        <f>$M$241*$W$241</f>
        <v>17.94924</v>
      </c>
      <c r="AD241" s="6">
        <f>$O$241*$X$241</f>
        <v>3.0221999999999998</v>
      </c>
      <c r="AE241" s="6">
        <f>$K$241*$Y$241</f>
        <v>0</v>
      </c>
      <c r="AF241" s="6">
        <f ca="1">$M$241*$Z$241</f>
        <v>23.089938155069966</v>
      </c>
      <c r="AG241" s="6">
        <f>$O$241*$AA$241</f>
        <v>3.0803059781802782</v>
      </c>
    </row>
    <row r="242" spans="1:33" ht="11.25" customHeight="1" x14ac:dyDescent="0.25">
      <c r="A242" s="4" t="s">
        <v>21</v>
      </c>
      <c r="B242" s="4" t="s">
        <v>32</v>
      </c>
      <c r="C242" s="4" t="s">
        <v>39</v>
      </c>
      <c r="D242" s="4" t="s">
        <v>38</v>
      </c>
      <c r="E242" s="4" t="s">
        <v>25</v>
      </c>
      <c r="F242" s="4" t="s">
        <v>25</v>
      </c>
      <c r="G242" s="4" t="s">
        <v>25</v>
      </c>
      <c r="H242" s="4" t="s">
        <v>36</v>
      </c>
      <c r="I242" s="5">
        <v>44470</v>
      </c>
      <c r="J242" s="6">
        <v>0</v>
      </c>
      <c r="K242" s="6">
        <v>0</v>
      </c>
      <c r="L242" s="6">
        <v>1.2999999999999999E-2</v>
      </c>
      <c r="M242" s="6">
        <v>1.2999999999999999E-2</v>
      </c>
      <c r="N242" s="6">
        <v>1.2999999999999999E-2</v>
      </c>
      <c r="O242" s="6">
        <v>1.2999999999999999E-2</v>
      </c>
      <c r="P242" s="6">
        <v>0</v>
      </c>
      <c r="Q242" s="4" t="s">
        <v>26</v>
      </c>
      <c r="R242" s="4">
        <v>0</v>
      </c>
      <c r="S242" s="6">
        <v>0</v>
      </c>
      <c r="T242" s="6">
        <v>41</v>
      </c>
      <c r="U242" s="6">
        <v>78</v>
      </c>
      <c r="V242" s="6">
        <f>IF(ISERROR(VLOOKUP($S$242,'TAR FIN'!$A$1:$O$85,15,0)),0,VLOOKUP($S$242,'TAR FIN'!$A$1:$O$85,15,0))</f>
        <v>0</v>
      </c>
      <c r="W242" s="6">
        <f>IF(ISERROR(VLOOKUP($T$242,'TAR FIN'!$A$1:$O$85,15,0)),0,VLOOKUP($T$242,'TAR FIN'!$A$1:$O$85,15,0))</f>
        <v>1495.77</v>
      </c>
      <c r="X242" s="6">
        <f>IF(ISERROR(VLOOKUP($U$242,'TAR FIN'!$A$1:$O$85,15,0)),0,VLOOKUP($U$242,'TAR FIN'!$A$1:$O$85,15,0))</f>
        <v>251.85</v>
      </c>
      <c r="Y242" s="6"/>
      <c r="Z242" s="6">
        <f ca="1">('TUSD BE'!$AM$45+'TUSD BF'!$AM$45+'TUSD CVA'!$AM$45)*1</f>
        <v>1924.161512922497</v>
      </c>
      <c r="AA242" s="6">
        <f>('TE BE'!$AA$36+'TE BF'!$AA$36+'TE CVA'!$AA$36)*1</f>
        <v>256.69216484835653</v>
      </c>
      <c r="AB242" s="6">
        <f>$K$242*$V$242</f>
        <v>0</v>
      </c>
      <c r="AC242" s="6">
        <f>$M$242*$W$242</f>
        <v>19.44501</v>
      </c>
      <c r="AD242" s="6">
        <f>$O$242*$X$242</f>
        <v>3.2740499999999999</v>
      </c>
      <c r="AE242" s="6">
        <f>$K$242*$Y$242</f>
        <v>0</v>
      </c>
      <c r="AF242" s="6">
        <f ca="1">$M$242*$Z$242</f>
        <v>25.014099667992461</v>
      </c>
      <c r="AG242" s="6">
        <f>$O$242*$AA$242</f>
        <v>3.3369981430286346</v>
      </c>
    </row>
    <row r="243" spans="1:33" ht="11.25" customHeight="1" x14ac:dyDescent="0.25">
      <c r="A243" s="4" t="s">
        <v>21</v>
      </c>
      <c r="B243" s="4" t="s">
        <v>32</v>
      </c>
      <c r="C243" s="4" t="s">
        <v>39</v>
      </c>
      <c r="D243" s="4" t="s">
        <v>38</v>
      </c>
      <c r="E243" s="4" t="s">
        <v>25</v>
      </c>
      <c r="F243" s="4" t="s">
        <v>25</v>
      </c>
      <c r="G243" s="4" t="s">
        <v>25</v>
      </c>
      <c r="H243" s="4" t="s">
        <v>36</v>
      </c>
      <c r="I243" s="5">
        <v>44501</v>
      </c>
      <c r="J243" s="6">
        <v>0</v>
      </c>
      <c r="K243" s="6">
        <v>0</v>
      </c>
      <c r="L243" s="6">
        <v>1.2E-2</v>
      </c>
      <c r="M243" s="6">
        <v>1.2E-2</v>
      </c>
      <c r="N243" s="6">
        <v>1.2E-2</v>
      </c>
      <c r="O243" s="6">
        <v>1.2E-2</v>
      </c>
      <c r="P243" s="6">
        <v>0</v>
      </c>
      <c r="Q243" s="4" t="s">
        <v>26</v>
      </c>
      <c r="R243" s="4">
        <v>0</v>
      </c>
      <c r="S243" s="6">
        <v>0</v>
      </c>
      <c r="T243" s="6">
        <v>41</v>
      </c>
      <c r="U243" s="6">
        <v>78</v>
      </c>
      <c r="V243" s="6">
        <f>IF(ISERROR(VLOOKUP($S$243,'TAR FIN'!$A$1:$O$85,15,0)),0,VLOOKUP($S$243,'TAR FIN'!$A$1:$O$85,15,0))</f>
        <v>0</v>
      </c>
      <c r="W243" s="6">
        <f>IF(ISERROR(VLOOKUP($T$243,'TAR FIN'!$A$1:$O$85,15,0)),0,VLOOKUP($T$243,'TAR FIN'!$A$1:$O$85,15,0))</f>
        <v>1495.77</v>
      </c>
      <c r="X243" s="6">
        <f>IF(ISERROR(VLOOKUP($U$243,'TAR FIN'!$A$1:$O$85,15,0)),0,VLOOKUP($U$243,'TAR FIN'!$A$1:$O$85,15,0))</f>
        <v>251.85</v>
      </c>
      <c r="Y243" s="6"/>
      <c r="Z243" s="6">
        <f ca="1">('TUSD BE'!$AM$45+'TUSD BF'!$AM$45+'TUSD CVA'!$AM$45)*1</f>
        <v>1924.161512922497</v>
      </c>
      <c r="AA243" s="6">
        <f>('TE BE'!$AA$36+'TE BF'!$AA$36+'TE CVA'!$AA$36)*1</f>
        <v>256.69216484835653</v>
      </c>
      <c r="AB243" s="6">
        <f>$K$243*$V$243</f>
        <v>0</v>
      </c>
      <c r="AC243" s="6">
        <f>$M$243*$W$243</f>
        <v>17.94924</v>
      </c>
      <c r="AD243" s="6">
        <f>$O$243*$X$243</f>
        <v>3.0221999999999998</v>
      </c>
      <c r="AE243" s="6">
        <f>$K$243*$Y$243</f>
        <v>0</v>
      </c>
      <c r="AF243" s="6">
        <f ca="1">$M$243*$Z$243</f>
        <v>23.089938155069966</v>
      </c>
      <c r="AG243" s="6">
        <f>$O$243*$AA$243</f>
        <v>3.0803059781802782</v>
      </c>
    </row>
    <row r="244" spans="1:33" ht="11.25" customHeight="1" x14ac:dyDescent="0.25">
      <c r="A244" s="4" t="s">
        <v>21</v>
      </c>
      <c r="B244" s="4" t="s">
        <v>32</v>
      </c>
      <c r="C244" s="4" t="s">
        <v>39</v>
      </c>
      <c r="D244" s="4" t="s">
        <v>38</v>
      </c>
      <c r="E244" s="4" t="s">
        <v>25</v>
      </c>
      <c r="F244" s="4" t="s">
        <v>25</v>
      </c>
      <c r="G244" s="4" t="s">
        <v>25</v>
      </c>
      <c r="H244" s="4" t="s">
        <v>36</v>
      </c>
      <c r="I244" s="5">
        <v>44531</v>
      </c>
      <c r="J244" s="6">
        <v>0</v>
      </c>
      <c r="K244" s="6">
        <v>0</v>
      </c>
      <c r="L244" s="6">
        <v>1.7000000000000001E-2</v>
      </c>
      <c r="M244" s="6">
        <v>1.7000000000000001E-2</v>
      </c>
      <c r="N244" s="6">
        <v>1.7000000000000001E-2</v>
      </c>
      <c r="O244" s="6">
        <v>1.7000000000000001E-2</v>
      </c>
      <c r="P244" s="6">
        <v>0</v>
      </c>
      <c r="Q244" s="4" t="s">
        <v>26</v>
      </c>
      <c r="R244" s="4">
        <v>0</v>
      </c>
      <c r="S244" s="6">
        <v>0</v>
      </c>
      <c r="T244" s="6">
        <v>41</v>
      </c>
      <c r="U244" s="6">
        <v>78</v>
      </c>
      <c r="V244" s="6">
        <f>IF(ISERROR(VLOOKUP($S$244,'TAR FIN'!$A$1:$O$85,15,0)),0,VLOOKUP($S$244,'TAR FIN'!$A$1:$O$85,15,0))</f>
        <v>0</v>
      </c>
      <c r="W244" s="6">
        <f>IF(ISERROR(VLOOKUP($T$244,'TAR FIN'!$A$1:$O$85,15,0)),0,VLOOKUP($T$244,'TAR FIN'!$A$1:$O$85,15,0))</f>
        <v>1495.77</v>
      </c>
      <c r="X244" s="6">
        <f>IF(ISERROR(VLOOKUP($U$244,'TAR FIN'!$A$1:$O$85,15,0)),0,VLOOKUP($U$244,'TAR FIN'!$A$1:$O$85,15,0))</f>
        <v>251.85</v>
      </c>
      <c r="Y244" s="6"/>
      <c r="Z244" s="6">
        <f ca="1">('TUSD BE'!$AM$45+'TUSD BF'!$AM$45+'TUSD CVA'!$AM$45)*1</f>
        <v>1924.161512922497</v>
      </c>
      <c r="AA244" s="6">
        <f>('TE BE'!$AA$36+'TE BF'!$AA$36+'TE CVA'!$AA$36)*1</f>
        <v>256.69216484835653</v>
      </c>
      <c r="AB244" s="6">
        <f>$K$244*$V$244</f>
        <v>0</v>
      </c>
      <c r="AC244" s="6">
        <f>$M$244*$W$244</f>
        <v>25.428090000000001</v>
      </c>
      <c r="AD244" s="6">
        <f>$O$244*$X$244</f>
        <v>4.2814500000000004</v>
      </c>
      <c r="AE244" s="6">
        <f>$K$244*$Y$244</f>
        <v>0</v>
      </c>
      <c r="AF244" s="6">
        <f ca="1">$M$244*$Z$244</f>
        <v>32.71074571968245</v>
      </c>
      <c r="AG244" s="6">
        <f>$O$244*$AA$244</f>
        <v>4.3637668024220613</v>
      </c>
    </row>
    <row r="245" spans="1:33" ht="11.25" customHeight="1" x14ac:dyDescent="0.25">
      <c r="A245" s="4" t="s">
        <v>21</v>
      </c>
      <c r="B245" s="4" t="s">
        <v>32</v>
      </c>
      <c r="C245" s="4" t="s">
        <v>39</v>
      </c>
      <c r="D245" s="4" t="s">
        <v>38</v>
      </c>
      <c r="E245" s="4" t="s">
        <v>25</v>
      </c>
      <c r="F245" s="4" t="s">
        <v>25</v>
      </c>
      <c r="G245" s="4" t="s">
        <v>25</v>
      </c>
      <c r="H245" s="4" t="s">
        <v>36</v>
      </c>
      <c r="I245" s="5">
        <v>44562</v>
      </c>
      <c r="J245" s="6">
        <v>0</v>
      </c>
      <c r="K245" s="6">
        <v>0</v>
      </c>
      <c r="L245" s="6">
        <v>7.0000000000000001E-3</v>
      </c>
      <c r="M245" s="6">
        <v>7.0000000000000001E-3</v>
      </c>
      <c r="N245" s="6">
        <v>7.0000000000000001E-3</v>
      </c>
      <c r="O245" s="6">
        <v>7.0000000000000001E-3</v>
      </c>
      <c r="P245" s="6">
        <v>0</v>
      </c>
      <c r="Q245" s="4" t="s">
        <v>26</v>
      </c>
      <c r="R245" s="4">
        <v>0</v>
      </c>
      <c r="S245" s="6">
        <v>0</v>
      </c>
      <c r="T245" s="6">
        <v>41</v>
      </c>
      <c r="U245" s="6">
        <v>78</v>
      </c>
      <c r="V245" s="6">
        <f>IF(ISERROR(VLOOKUP($S$245,'TAR FIN'!$A$1:$O$85,15,0)),0,VLOOKUP($S$245,'TAR FIN'!$A$1:$O$85,15,0))</f>
        <v>0</v>
      </c>
      <c r="W245" s="6">
        <f>IF(ISERROR(VLOOKUP($T$245,'TAR FIN'!$A$1:$O$85,15,0)),0,VLOOKUP($T$245,'TAR FIN'!$A$1:$O$85,15,0))</f>
        <v>1495.77</v>
      </c>
      <c r="X245" s="6">
        <f>IF(ISERROR(VLOOKUP($U$245,'TAR FIN'!$A$1:$O$85,15,0)),0,VLOOKUP($U$245,'TAR FIN'!$A$1:$O$85,15,0))</f>
        <v>251.85</v>
      </c>
      <c r="Y245" s="6"/>
      <c r="Z245" s="6">
        <f ca="1">('TUSD BE'!$AM$45+'TUSD BF'!$AM$45+'TUSD CVA'!$AM$45)*1</f>
        <v>1924.161512922497</v>
      </c>
      <c r="AA245" s="6">
        <f>('TE BE'!$AA$36+'TE BF'!$AA$36+'TE CVA'!$AA$36)*1</f>
        <v>256.69216484835653</v>
      </c>
      <c r="AB245" s="6">
        <f>$K$245*$V$245</f>
        <v>0</v>
      </c>
      <c r="AC245" s="6">
        <f>$M$245*$W$245</f>
        <v>10.47039</v>
      </c>
      <c r="AD245" s="6">
        <f>$O$245*$X$245</f>
        <v>1.76295</v>
      </c>
      <c r="AE245" s="6">
        <f>$K$245*$Y$245</f>
        <v>0</v>
      </c>
      <c r="AF245" s="6">
        <f ca="1">$M$245*$Z$245</f>
        <v>13.469130590457478</v>
      </c>
      <c r="AG245" s="6">
        <f>$O$245*$AA$245</f>
        <v>1.7968451539384958</v>
      </c>
    </row>
    <row r="246" spans="1:33" ht="11.25" customHeight="1" x14ac:dyDescent="0.25">
      <c r="A246" s="4" t="s">
        <v>21</v>
      </c>
      <c r="B246" s="4" t="s">
        <v>32</v>
      </c>
      <c r="C246" s="4" t="s">
        <v>39</v>
      </c>
      <c r="D246" s="4" t="s">
        <v>38</v>
      </c>
      <c r="E246" s="4" t="s">
        <v>25</v>
      </c>
      <c r="F246" s="4" t="s">
        <v>25</v>
      </c>
      <c r="G246" s="4" t="s">
        <v>25</v>
      </c>
      <c r="H246" s="4" t="s">
        <v>36</v>
      </c>
      <c r="I246" s="5">
        <v>44593</v>
      </c>
      <c r="J246" s="6">
        <v>0</v>
      </c>
      <c r="K246" s="6">
        <v>0</v>
      </c>
      <c r="L246" s="6">
        <v>5.0000000000000001E-3</v>
      </c>
      <c r="M246" s="6">
        <v>5.0000000000000001E-3</v>
      </c>
      <c r="N246" s="6">
        <v>5.0000000000000001E-3</v>
      </c>
      <c r="O246" s="6">
        <v>5.0000000000000001E-3</v>
      </c>
      <c r="P246" s="6">
        <v>0</v>
      </c>
      <c r="Q246" s="4" t="s">
        <v>26</v>
      </c>
      <c r="R246" s="4">
        <v>0</v>
      </c>
      <c r="S246" s="6">
        <v>0</v>
      </c>
      <c r="T246" s="6">
        <v>41</v>
      </c>
      <c r="U246" s="6">
        <v>78</v>
      </c>
      <c r="V246" s="6">
        <f>IF(ISERROR(VLOOKUP($S$246,'TAR FIN'!$A$1:$O$85,15,0)),0,VLOOKUP($S$246,'TAR FIN'!$A$1:$O$85,15,0))</f>
        <v>0</v>
      </c>
      <c r="W246" s="6">
        <f>IF(ISERROR(VLOOKUP($T$246,'TAR FIN'!$A$1:$O$85,15,0)),0,VLOOKUP($T$246,'TAR FIN'!$A$1:$O$85,15,0))</f>
        <v>1495.77</v>
      </c>
      <c r="X246" s="6">
        <f>IF(ISERROR(VLOOKUP($U$246,'TAR FIN'!$A$1:$O$85,15,0)),0,VLOOKUP($U$246,'TAR FIN'!$A$1:$O$85,15,0))</f>
        <v>251.85</v>
      </c>
      <c r="Y246" s="6"/>
      <c r="Z246" s="6">
        <f ca="1">('TUSD BE'!$AM$45+'TUSD BF'!$AM$45+'TUSD CVA'!$AM$45)*1</f>
        <v>1924.161512922497</v>
      </c>
      <c r="AA246" s="6">
        <f>('TE BE'!$AA$36+'TE BF'!$AA$36+'TE CVA'!$AA$36)*1</f>
        <v>256.69216484835653</v>
      </c>
      <c r="AB246" s="6">
        <f>$K$246*$V$246</f>
        <v>0</v>
      </c>
      <c r="AC246" s="6">
        <f>$M$246*$W$246</f>
        <v>7.4788500000000004</v>
      </c>
      <c r="AD246" s="6">
        <f>$O$246*$X$246</f>
        <v>1.25925</v>
      </c>
      <c r="AE246" s="6">
        <f>$K$246*$Y$246</f>
        <v>0</v>
      </c>
      <c r="AF246" s="6">
        <f ca="1">$M$246*$Z$246</f>
        <v>9.6208075646124858</v>
      </c>
      <c r="AG246" s="6">
        <f>$O$246*$AA$246</f>
        <v>1.2834608242417826</v>
      </c>
    </row>
    <row r="247" spans="1:33" ht="11.25" customHeight="1" x14ac:dyDescent="0.25">
      <c r="A247" s="4" t="s">
        <v>21</v>
      </c>
      <c r="B247" s="4" t="s">
        <v>32</v>
      </c>
      <c r="C247" s="4" t="s">
        <v>39</v>
      </c>
      <c r="D247" s="4" t="s">
        <v>38</v>
      </c>
      <c r="E247" s="4" t="s">
        <v>25</v>
      </c>
      <c r="F247" s="4" t="s">
        <v>25</v>
      </c>
      <c r="G247" s="4" t="s">
        <v>25</v>
      </c>
      <c r="H247" s="4" t="s">
        <v>36</v>
      </c>
      <c r="I247" s="5">
        <v>44621</v>
      </c>
      <c r="J247" s="6">
        <v>0</v>
      </c>
      <c r="K247" s="6">
        <v>0</v>
      </c>
      <c r="L247" s="6">
        <v>1.2E-2</v>
      </c>
      <c r="M247" s="6">
        <v>1.2E-2</v>
      </c>
      <c r="N247" s="6">
        <v>1.2E-2</v>
      </c>
      <c r="O247" s="6">
        <v>1.2E-2</v>
      </c>
      <c r="P247" s="6">
        <v>0</v>
      </c>
      <c r="Q247" s="4" t="s">
        <v>26</v>
      </c>
      <c r="R247" s="4">
        <v>0</v>
      </c>
      <c r="S247" s="6">
        <v>0</v>
      </c>
      <c r="T247" s="6">
        <v>41</v>
      </c>
      <c r="U247" s="6">
        <v>78</v>
      </c>
      <c r="V247" s="6">
        <f>IF(ISERROR(VLOOKUP($S$247,'TAR FIN'!$A$1:$O$85,15,0)),0,VLOOKUP($S$247,'TAR FIN'!$A$1:$O$85,15,0))</f>
        <v>0</v>
      </c>
      <c r="W247" s="6">
        <f>IF(ISERROR(VLOOKUP($T$247,'TAR FIN'!$A$1:$O$85,15,0)),0,VLOOKUP($T$247,'TAR FIN'!$A$1:$O$85,15,0))</f>
        <v>1495.77</v>
      </c>
      <c r="X247" s="6">
        <f>IF(ISERROR(VLOOKUP($U$247,'TAR FIN'!$A$1:$O$85,15,0)),0,VLOOKUP($U$247,'TAR FIN'!$A$1:$O$85,15,0))</f>
        <v>251.85</v>
      </c>
      <c r="Y247" s="6"/>
      <c r="Z247" s="6">
        <f ca="1">('TUSD BE'!$AM$45+'TUSD BF'!$AM$45+'TUSD CVA'!$AM$45)*1</f>
        <v>1924.161512922497</v>
      </c>
      <c r="AA247" s="6">
        <f>('TE BE'!$AA$36+'TE BF'!$AA$36+'TE CVA'!$AA$36)*1</f>
        <v>256.69216484835653</v>
      </c>
      <c r="AB247" s="6">
        <f>$K$247*$V$247</f>
        <v>0</v>
      </c>
      <c r="AC247" s="6">
        <f>$M$247*$W$247</f>
        <v>17.94924</v>
      </c>
      <c r="AD247" s="6">
        <f>$O$247*$X$247</f>
        <v>3.0221999999999998</v>
      </c>
      <c r="AE247" s="6">
        <f>$K$247*$Y$247</f>
        <v>0</v>
      </c>
      <c r="AF247" s="6">
        <f ca="1">$M$247*$Z$247</f>
        <v>23.089938155069966</v>
      </c>
      <c r="AG247" s="6">
        <f>$O$247*$AA$247</f>
        <v>3.0803059781802782</v>
      </c>
    </row>
    <row r="248" spans="1:33" ht="11.25" customHeight="1" x14ac:dyDescent="0.25">
      <c r="A248" s="4" t="s">
        <v>21</v>
      </c>
      <c r="B248" s="4" t="s">
        <v>32</v>
      </c>
      <c r="C248" s="4" t="s">
        <v>39</v>
      </c>
      <c r="D248" s="4" t="s">
        <v>38</v>
      </c>
      <c r="E248" s="4" t="s">
        <v>25</v>
      </c>
      <c r="F248" s="4" t="s">
        <v>25</v>
      </c>
      <c r="G248" s="4" t="s">
        <v>25</v>
      </c>
      <c r="H248" s="4" t="s">
        <v>36</v>
      </c>
      <c r="I248" s="5">
        <v>44652</v>
      </c>
      <c r="J248" s="6">
        <v>0</v>
      </c>
      <c r="K248" s="6">
        <v>0</v>
      </c>
      <c r="L248" s="6">
        <v>8.0000000000000002E-3</v>
      </c>
      <c r="M248" s="6">
        <v>8.0000000000000002E-3</v>
      </c>
      <c r="N248" s="6">
        <v>8.0000000000000002E-3</v>
      </c>
      <c r="O248" s="6">
        <v>8.0000000000000002E-3</v>
      </c>
      <c r="P248" s="6">
        <v>0</v>
      </c>
      <c r="Q248" s="4" t="s">
        <v>26</v>
      </c>
      <c r="R248" s="4">
        <v>0</v>
      </c>
      <c r="S248" s="6">
        <v>0</v>
      </c>
      <c r="T248" s="6">
        <v>41</v>
      </c>
      <c r="U248" s="6">
        <v>78</v>
      </c>
      <c r="V248" s="6">
        <f>IF(ISERROR(VLOOKUP($S$248,'TAR FIN'!$A$1:$O$85,15,0)),0,VLOOKUP($S$248,'TAR FIN'!$A$1:$O$85,15,0))</f>
        <v>0</v>
      </c>
      <c r="W248" s="6">
        <f>IF(ISERROR(VLOOKUP($T$248,'TAR FIN'!$A$1:$O$85,15,0)),0,VLOOKUP($T$248,'TAR FIN'!$A$1:$O$85,15,0))</f>
        <v>1495.77</v>
      </c>
      <c r="X248" s="6">
        <f>IF(ISERROR(VLOOKUP($U$248,'TAR FIN'!$A$1:$O$85,15,0)),0,VLOOKUP($U$248,'TAR FIN'!$A$1:$O$85,15,0))</f>
        <v>251.85</v>
      </c>
      <c r="Y248" s="6"/>
      <c r="Z248" s="6">
        <f ca="1">('TUSD BE'!$AM$45+'TUSD BF'!$AM$45+'TUSD CVA'!$AM$45)*1</f>
        <v>1924.161512922497</v>
      </c>
      <c r="AA248" s="6">
        <f>('TE BE'!$AA$36+'TE BF'!$AA$36+'TE CVA'!$AA$36)*1</f>
        <v>256.69216484835653</v>
      </c>
      <c r="AB248" s="6">
        <f>$K$248*$V$248</f>
        <v>0</v>
      </c>
      <c r="AC248" s="6">
        <f>$M$248*$W$248</f>
        <v>11.96616</v>
      </c>
      <c r="AD248" s="6">
        <f>$O$248*$X$248</f>
        <v>2.0148000000000001</v>
      </c>
      <c r="AE248" s="6">
        <f>$K$248*$Y$248</f>
        <v>0</v>
      </c>
      <c r="AF248" s="6">
        <f ca="1">$M$248*$Z$248</f>
        <v>15.393292103379975</v>
      </c>
      <c r="AG248" s="6">
        <f>$O$248*$AA$248</f>
        <v>2.0535373187868524</v>
      </c>
    </row>
    <row r="249" spans="1:33" ht="11.25" customHeight="1" x14ac:dyDescent="0.25">
      <c r="A249" s="4" t="s">
        <v>21</v>
      </c>
      <c r="B249" s="4" t="s">
        <v>32</v>
      </c>
      <c r="C249" s="4" t="s">
        <v>23</v>
      </c>
      <c r="D249" s="4" t="s">
        <v>38</v>
      </c>
      <c r="E249" s="4" t="s">
        <v>25</v>
      </c>
      <c r="F249" s="4" t="s">
        <v>25</v>
      </c>
      <c r="G249" s="4" t="s">
        <v>25</v>
      </c>
      <c r="H249" s="4" t="s">
        <v>25</v>
      </c>
      <c r="I249" s="5">
        <v>44317</v>
      </c>
      <c r="J249" s="6">
        <v>0</v>
      </c>
      <c r="K249" s="6">
        <v>0</v>
      </c>
      <c r="L249" s="6">
        <v>62.146000000000001</v>
      </c>
      <c r="M249" s="6">
        <v>62.146000000000001</v>
      </c>
      <c r="N249" s="6">
        <v>62.146000000000001</v>
      </c>
      <c r="O249" s="6">
        <v>62.146000000000001</v>
      </c>
      <c r="P249" s="6">
        <v>208</v>
      </c>
      <c r="Q249" s="4" t="s">
        <v>26</v>
      </c>
      <c r="R249" s="4">
        <v>0</v>
      </c>
      <c r="S249" s="6">
        <v>0</v>
      </c>
      <c r="T249" s="6">
        <v>44</v>
      </c>
      <c r="U249" s="6">
        <v>81</v>
      </c>
      <c r="V249" s="6">
        <f>IF(ISERROR(VLOOKUP($S$249,'TAR FIN'!$A$1:$O$85,15,0)),0,VLOOKUP($S$249,'TAR FIN'!$A$1:$O$85,15,0))</f>
        <v>0</v>
      </c>
      <c r="W249" s="6">
        <f>IF(ISERROR(VLOOKUP($T$249,'TAR FIN'!$A$1:$O$85,15,0)),0,VLOOKUP($T$249,'TAR FIN'!$A$1:$O$85,15,0))</f>
        <v>509.43</v>
      </c>
      <c r="X249" s="6">
        <f>IF(ISERROR(VLOOKUP($U$249,'TAR FIN'!$A$1:$O$85,15,0)),0,VLOOKUP($U$249,'TAR FIN'!$A$1:$O$85,15,0))</f>
        <v>251.85</v>
      </c>
      <c r="Y249" s="6"/>
      <c r="Z249" s="6">
        <f ca="1">('TUSD BE'!$AM$48+'TUSD BF'!$AM$48+'TUSD CVA'!$AM$48)*1</f>
        <v>657.94939927032419</v>
      </c>
      <c r="AA249" s="6">
        <f>('TE BE'!$AA$39+'TE BF'!$AA$39+'TE CVA'!$AA$39)*1</f>
        <v>256.69216484835653</v>
      </c>
      <c r="AB249" s="6">
        <f>$K$249*$V$249</f>
        <v>0</v>
      </c>
      <c r="AC249" s="6">
        <f>$M$249*$W$249</f>
        <v>31659.036780000002</v>
      </c>
      <c r="AD249" s="6">
        <f>$O$249*$X$249</f>
        <v>15651.4701</v>
      </c>
      <c r="AE249" s="6">
        <f>$K$249*$Y$249</f>
        <v>0</v>
      </c>
      <c r="AF249" s="6">
        <f ca="1">$M$249*$Z$249</f>
        <v>40888.923367053569</v>
      </c>
      <c r="AG249" s="6">
        <f>$O$249*$AA$249</f>
        <v>15952.391276665965</v>
      </c>
    </row>
    <row r="250" spans="1:33" ht="11.25" customHeight="1" x14ac:dyDescent="0.25">
      <c r="A250" s="4" t="s">
        <v>27</v>
      </c>
      <c r="B250" s="4" t="s">
        <v>32</v>
      </c>
      <c r="C250" s="4" t="s">
        <v>23</v>
      </c>
      <c r="D250" s="4" t="s">
        <v>38</v>
      </c>
      <c r="E250" s="4" t="s">
        <v>25</v>
      </c>
      <c r="F250" s="4" t="s">
        <v>25</v>
      </c>
      <c r="G250" s="4" t="s">
        <v>25</v>
      </c>
      <c r="H250" s="4" t="s">
        <v>25</v>
      </c>
      <c r="I250" s="5">
        <v>44317</v>
      </c>
      <c r="J250" s="6">
        <v>0</v>
      </c>
      <c r="K250" s="6">
        <v>0</v>
      </c>
      <c r="L250" s="6">
        <v>5.3890000000000002</v>
      </c>
      <c r="M250" s="6">
        <v>5.3890000000000002</v>
      </c>
      <c r="N250" s="6">
        <v>5.3890000000000002</v>
      </c>
      <c r="O250" s="6">
        <v>5.3890000000000002</v>
      </c>
      <c r="P250" s="6">
        <v>6</v>
      </c>
      <c r="Q250" s="4" t="s">
        <v>26</v>
      </c>
      <c r="R250" s="4">
        <v>0</v>
      </c>
      <c r="S250" s="6">
        <v>0</v>
      </c>
      <c r="T250" s="6">
        <v>44</v>
      </c>
      <c r="U250" s="6">
        <v>81</v>
      </c>
      <c r="V250" s="6">
        <f>IF(ISERROR(VLOOKUP($S$250,'TAR FIN'!$A$1:$O$85,15,0)),0,VLOOKUP($S$250,'TAR FIN'!$A$1:$O$85,15,0))</f>
        <v>0</v>
      </c>
      <c r="W250" s="6">
        <f>IF(ISERROR(VLOOKUP($T$250,'TAR FIN'!$A$1:$O$85,15,0)),0,VLOOKUP($T$250,'TAR FIN'!$A$1:$O$85,15,0))</f>
        <v>509.43</v>
      </c>
      <c r="X250" s="6">
        <f>IF(ISERROR(VLOOKUP($U$250,'TAR FIN'!$A$1:$O$85,15,0)),0,VLOOKUP($U$250,'TAR FIN'!$A$1:$O$85,15,0))</f>
        <v>251.85</v>
      </c>
      <c r="Y250" s="6"/>
      <c r="Z250" s="6">
        <f ca="1">('TUSD BE'!$AM$48+'TUSD BF'!$AM$48+'TUSD CVA'!$AM$48)*1</f>
        <v>657.94939927032419</v>
      </c>
      <c r="AA250" s="6">
        <f>('TE BE'!$AA$39+'TE BF'!$AA$39+'TE CVA'!$AA$39)*1</f>
        <v>256.69216484835653</v>
      </c>
      <c r="AB250" s="6">
        <f>$K$250*$V$250</f>
        <v>0</v>
      </c>
      <c r="AC250" s="6">
        <f>$M$250*$W$250</f>
        <v>2745.3182700000002</v>
      </c>
      <c r="AD250" s="6">
        <f>$O$250*$X$250</f>
        <v>1357.21965</v>
      </c>
      <c r="AE250" s="6">
        <f>$K$250*$Y$250</f>
        <v>0</v>
      </c>
      <c r="AF250" s="6">
        <f ca="1">$M$250*$Z$250</f>
        <v>3545.6893126677774</v>
      </c>
      <c r="AG250" s="6">
        <f>$O$250*$AA$250</f>
        <v>1383.3140763677934</v>
      </c>
    </row>
    <row r="251" spans="1:33" ht="11.25" customHeight="1" x14ac:dyDescent="0.25">
      <c r="A251" s="4" t="s">
        <v>21</v>
      </c>
      <c r="B251" s="4" t="s">
        <v>32</v>
      </c>
      <c r="C251" s="4" t="s">
        <v>23</v>
      </c>
      <c r="D251" s="4" t="s">
        <v>38</v>
      </c>
      <c r="E251" s="4" t="s">
        <v>25</v>
      </c>
      <c r="F251" s="4" t="s">
        <v>25</v>
      </c>
      <c r="G251" s="4" t="s">
        <v>25</v>
      </c>
      <c r="H251" s="4" t="s">
        <v>25</v>
      </c>
      <c r="I251" s="5">
        <v>44348</v>
      </c>
      <c r="J251" s="6">
        <v>0</v>
      </c>
      <c r="K251" s="6">
        <v>0</v>
      </c>
      <c r="L251" s="6">
        <v>54.484000000000002</v>
      </c>
      <c r="M251" s="6">
        <v>54.484000000000002</v>
      </c>
      <c r="N251" s="6">
        <v>54.484000000000002</v>
      </c>
      <c r="O251" s="6">
        <v>54.484000000000002</v>
      </c>
      <c r="P251" s="6">
        <v>210</v>
      </c>
      <c r="Q251" s="4" t="s">
        <v>26</v>
      </c>
      <c r="R251" s="4">
        <v>0</v>
      </c>
      <c r="S251" s="6">
        <v>0</v>
      </c>
      <c r="T251" s="6">
        <v>44</v>
      </c>
      <c r="U251" s="6">
        <v>81</v>
      </c>
      <c r="V251" s="6">
        <f>IF(ISERROR(VLOOKUP($S$251,'TAR FIN'!$A$1:$O$85,15,0)),0,VLOOKUP($S$251,'TAR FIN'!$A$1:$O$85,15,0))</f>
        <v>0</v>
      </c>
      <c r="W251" s="6">
        <f>IF(ISERROR(VLOOKUP($T$251,'TAR FIN'!$A$1:$O$85,15,0)),0,VLOOKUP($T$251,'TAR FIN'!$A$1:$O$85,15,0))</f>
        <v>509.43</v>
      </c>
      <c r="X251" s="6">
        <f>IF(ISERROR(VLOOKUP($U$251,'TAR FIN'!$A$1:$O$85,15,0)),0,VLOOKUP($U$251,'TAR FIN'!$A$1:$O$85,15,0))</f>
        <v>251.85</v>
      </c>
      <c r="Y251" s="6"/>
      <c r="Z251" s="6">
        <f ca="1">('TUSD BE'!$AM$48+'TUSD BF'!$AM$48+'TUSD CVA'!$AM$48)*1</f>
        <v>657.94939927032419</v>
      </c>
      <c r="AA251" s="6">
        <f>('TE BE'!$AA$39+'TE BF'!$AA$39+'TE CVA'!$AA$39)*1</f>
        <v>256.69216484835653</v>
      </c>
      <c r="AB251" s="6">
        <f>$K$251*$V$251</f>
        <v>0</v>
      </c>
      <c r="AC251" s="6">
        <f>$M$251*$W$251</f>
        <v>27755.78412</v>
      </c>
      <c r="AD251" s="6">
        <f>$O$251*$X$251</f>
        <v>13721.795400000001</v>
      </c>
      <c r="AE251" s="6">
        <f>$K$251*$Y$251</f>
        <v>0</v>
      </c>
      <c r="AF251" s="6">
        <f ca="1">$M$251*$Z$251</f>
        <v>35847.715069844344</v>
      </c>
      <c r="AG251" s="6">
        <f>$O$251*$AA$251</f>
        <v>13985.615909597858</v>
      </c>
    </row>
    <row r="252" spans="1:33" ht="11.25" customHeight="1" x14ac:dyDescent="0.25">
      <c r="A252" s="4" t="s">
        <v>27</v>
      </c>
      <c r="B252" s="4" t="s">
        <v>32</v>
      </c>
      <c r="C252" s="4" t="s">
        <v>23</v>
      </c>
      <c r="D252" s="4" t="s">
        <v>38</v>
      </c>
      <c r="E252" s="4" t="s">
        <v>25</v>
      </c>
      <c r="F252" s="4" t="s">
        <v>25</v>
      </c>
      <c r="G252" s="4" t="s">
        <v>25</v>
      </c>
      <c r="H252" s="4" t="s">
        <v>25</v>
      </c>
      <c r="I252" s="5">
        <v>44348</v>
      </c>
      <c r="J252" s="6">
        <v>0</v>
      </c>
      <c r="K252" s="6">
        <v>0</v>
      </c>
      <c r="L252" s="6">
        <v>4.8170000000000002</v>
      </c>
      <c r="M252" s="6">
        <v>4.8170000000000002</v>
      </c>
      <c r="N252" s="6">
        <v>4.8170000000000002</v>
      </c>
      <c r="O252" s="6">
        <v>4.8170000000000002</v>
      </c>
      <c r="P252" s="6">
        <v>6</v>
      </c>
      <c r="Q252" s="4" t="s">
        <v>26</v>
      </c>
      <c r="R252" s="4">
        <v>0</v>
      </c>
      <c r="S252" s="6">
        <v>0</v>
      </c>
      <c r="T252" s="6">
        <v>44</v>
      </c>
      <c r="U252" s="6">
        <v>81</v>
      </c>
      <c r="V252" s="6">
        <f>IF(ISERROR(VLOOKUP($S$252,'TAR FIN'!$A$1:$O$85,15,0)),0,VLOOKUP($S$252,'TAR FIN'!$A$1:$O$85,15,0))</f>
        <v>0</v>
      </c>
      <c r="W252" s="6">
        <f>IF(ISERROR(VLOOKUP($T$252,'TAR FIN'!$A$1:$O$85,15,0)),0,VLOOKUP($T$252,'TAR FIN'!$A$1:$O$85,15,0))</f>
        <v>509.43</v>
      </c>
      <c r="X252" s="6">
        <f>IF(ISERROR(VLOOKUP($U$252,'TAR FIN'!$A$1:$O$85,15,0)),0,VLOOKUP($U$252,'TAR FIN'!$A$1:$O$85,15,0))</f>
        <v>251.85</v>
      </c>
      <c r="Y252" s="6"/>
      <c r="Z252" s="6">
        <f ca="1">('TUSD BE'!$AM$48+'TUSD BF'!$AM$48+'TUSD CVA'!$AM$48)*1</f>
        <v>657.94939927032419</v>
      </c>
      <c r="AA252" s="6">
        <f>('TE BE'!$AA$39+'TE BF'!$AA$39+'TE CVA'!$AA$39)*1</f>
        <v>256.69216484835653</v>
      </c>
      <c r="AB252" s="6">
        <f>$K$252*$V$252</f>
        <v>0</v>
      </c>
      <c r="AC252" s="6">
        <f>$M$252*$W$252</f>
        <v>2453.9243100000003</v>
      </c>
      <c r="AD252" s="6">
        <f>$O$252*$X$252</f>
        <v>1213.1614500000001</v>
      </c>
      <c r="AE252" s="6">
        <f>$K$252*$Y$252</f>
        <v>0</v>
      </c>
      <c r="AF252" s="6">
        <f ca="1">$M$252*$Z$252</f>
        <v>3169.342256285152</v>
      </c>
      <c r="AG252" s="6">
        <f>$O$252*$AA$252</f>
        <v>1236.4861580745335</v>
      </c>
    </row>
    <row r="253" spans="1:33" ht="11.25" customHeight="1" x14ac:dyDescent="0.25">
      <c r="A253" s="4" t="s">
        <v>21</v>
      </c>
      <c r="B253" s="4" t="s">
        <v>32</v>
      </c>
      <c r="C253" s="4" t="s">
        <v>23</v>
      </c>
      <c r="D253" s="4" t="s">
        <v>38</v>
      </c>
      <c r="E253" s="4" t="s">
        <v>25</v>
      </c>
      <c r="F253" s="4" t="s">
        <v>25</v>
      </c>
      <c r="G253" s="4" t="s">
        <v>25</v>
      </c>
      <c r="H253" s="4" t="s">
        <v>25</v>
      </c>
      <c r="I253" s="5">
        <v>44378</v>
      </c>
      <c r="J253" s="6">
        <v>0</v>
      </c>
      <c r="K253" s="6">
        <v>0</v>
      </c>
      <c r="L253" s="6">
        <v>51.213000000000001</v>
      </c>
      <c r="M253" s="6">
        <v>51.213000000000001</v>
      </c>
      <c r="N253" s="6">
        <v>51.213000000000001</v>
      </c>
      <c r="O253" s="6">
        <v>51.213000000000001</v>
      </c>
      <c r="P253" s="6">
        <v>207</v>
      </c>
      <c r="Q253" s="4" t="s">
        <v>26</v>
      </c>
      <c r="R253" s="4">
        <v>0</v>
      </c>
      <c r="S253" s="6">
        <v>0</v>
      </c>
      <c r="T253" s="6">
        <v>44</v>
      </c>
      <c r="U253" s="6">
        <v>81</v>
      </c>
      <c r="V253" s="6">
        <f>IF(ISERROR(VLOOKUP($S$253,'TAR FIN'!$A$1:$O$85,15,0)),0,VLOOKUP($S$253,'TAR FIN'!$A$1:$O$85,15,0))</f>
        <v>0</v>
      </c>
      <c r="W253" s="6">
        <f>IF(ISERROR(VLOOKUP($T$253,'TAR FIN'!$A$1:$O$85,15,0)),0,VLOOKUP($T$253,'TAR FIN'!$A$1:$O$85,15,0))</f>
        <v>509.43</v>
      </c>
      <c r="X253" s="6">
        <f>IF(ISERROR(VLOOKUP($U$253,'TAR FIN'!$A$1:$O$85,15,0)),0,VLOOKUP($U$253,'TAR FIN'!$A$1:$O$85,15,0))</f>
        <v>251.85</v>
      </c>
      <c r="Y253" s="6"/>
      <c r="Z253" s="6">
        <f ca="1">('TUSD BE'!$AM$48+'TUSD BF'!$AM$48+'TUSD CVA'!$AM$48)*1</f>
        <v>657.94939927032419</v>
      </c>
      <c r="AA253" s="6">
        <f>('TE BE'!$AA$39+'TE BF'!$AA$39+'TE CVA'!$AA$39)*1</f>
        <v>256.69216484835653</v>
      </c>
      <c r="AB253" s="6">
        <f>$K$253*$V$253</f>
        <v>0</v>
      </c>
      <c r="AC253" s="6">
        <f>$M$253*$W$253</f>
        <v>26089.438590000002</v>
      </c>
      <c r="AD253" s="6">
        <f>$O$253*$X$253</f>
        <v>12897.994049999999</v>
      </c>
      <c r="AE253" s="6">
        <f>$K$253*$Y$253</f>
        <v>0</v>
      </c>
      <c r="AF253" s="6">
        <f ca="1">$M$253*$Z$253</f>
        <v>33695.56258483111</v>
      </c>
      <c r="AG253" s="6">
        <f>$O$253*$AA$253</f>
        <v>13145.975838378883</v>
      </c>
    </row>
    <row r="254" spans="1:33" ht="11.25" customHeight="1" x14ac:dyDescent="0.25">
      <c r="A254" s="4" t="s">
        <v>27</v>
      </c>
      <c r="B254" s="4" t="s">
        <v>32</v>
      </c>
      <c r="C254" s="4" t="s">
        <v>23</v>
      </c>
      <c r="D254" s="4" t="s">
        <v>38</v>
      </c>
      <c r="E254" s="4" t="s">
        <v>25</v>
      </c>
      <c r="F254" s="4" t="s">
        <v>25</v>
      </c>
      <c r="G254" s="4" t="s">
        <v>25</v>
      </c>
      <c r="H254" s="4" t="s">
        <v>25</v>
      </c>
      <c r="I254" s="5">
        <v>44378</v>
      </c>
      <c r="J254" s="6">
        <v>0</v>
      </c>
      <c r="K254" s="6">
        <v>0</v>
      </c>
      <c r="L254" s="6">
        <v>6.415</v>
      </c>
      <c r="M254" s="6">
        <v>6.415</v>
      </c>
      <c r="N254" s="6">
        <v>6.415</v>
      </c>
      <c r="O254" s="6">
        <v>6.415</v>
      </c>
      <c r="P254" s="6">
        <v>6</v>
      </c>
      <c r="Q254" s="4" t="s">
        <v>26</v>
      </c>
      <c r="R254" s="4">
        <v>0</v>
      </c>
      <c r="S254" s="6">
        <v>0</v>
      </c>
      <c r="T254" s="6">
        <v>44</v>
      </c>
      <c r="U254" s="6">
        <v>81</v>
      </c>
      <c r="V254" s="6">
        <f>IF(ISERROR(VLOOKUP($S$254,'TAR FIN'!$A$1:$O$85,15,0)),0,VLOOKUP($S$254,'TAR FIN'!$A$1:$O$85,15,0))</f>
        <v>0</v>
      </c>
      <c r="W254" s="6">
        <f>IF(ISERROR(VLOOKUP($T$254,'TAR FIN'!$A$1:$O$85,15,0)),0,VLOOKUP($T$254,'TAR FIN'!$A$1:$O$85,15,0))</f>
        <v>509.43</v>
      </c>
      <c r="X254" s="6">
        <f>IF(ISERROR(VLOOKUP($U$254,'TAR FIN'!$A$1:$O$85,15,0)),0,VLOOKUP($U$254,'TAR FIN'!$A$1:$O$85,15,0))</f>
        <v>251.85</v>
      </c>
      <c r="Y254" s="6"/>
      <c r="Z254" s="6">
        <f ca="1">('TUSD BE'!$AM$48+'TUSD BF'!$AM$48+'TUSD CVA'!$AM$48)*1</f>
        <v>657.94939927032419</v>
      </c>
      <c r="AA254" s="6">
        <f>('TE BE'!$AA$39+'TE BF'!$AA$39+'TE CVA'!$AA$39)*1</f>
        <v>256.69216484835653</v>
      </c>
      <c r="AB254" s="6">
        <f>$K$254*$V$254</f>
        <v>0</v>
      </c>
      <c r="AC254" s="6">
        <f>$M$254*$W$254</f>
        <v>3267.9934499999999</v>
      </c>
      <c r="AD254" s="6">
        <f>$O$254*$X$254</f>
        <v>1615.6177499999999</v>
      </c>
      <c r="AE254" s="6">
        <f>$K$254*$Y$254</f>
        <v>0</v>
      </c>
      <c r="AF254" s="6">
        <f ca="1">$M$254*$Z$254</f>
        <v>4220.7453963191301</v>
      </c>
      <c r="AG254" s="6">
        <f>$O$254*$AA$254</f>
        <v>1646.6802375022071</v>
      </c>
    </row>
    <row r="255" spans="1:33" ht="11.25" customHeight="1" x14ac:dyDescent="0.25">
      <c r="A255" s="4" t="s">
        <v>21</v>
      </c>
      <c r="B255" s="4" t="s">
        <v>32</v>
      </c>
      <c r="C255" s="4" t="s">
        <v>23</v>
      </c>
      <c r="D255" s="4" t="s">
        <v>38</v>
      </c>
      <c r="E255" s="4" t="s">
        <v>25</v>
      </c>
      <c r="F255" s="4" t="s">
        <v>25</v>
      </c>
      <c r="G255" s="4" t="s">
        <v>25</v>
      </c>
      <c r="H255" s="4" t="s">
        <v>25</v>
      </c>
      <c r="I255" s="5">
        <v>44409</v>
      </c>
      <c r="J255" s="6">
        <v>0</v>
      </c>
      <c r="K255" s="6">
        <v>0</v>
      </c>
      <c r="L255" s="6">
        <v>54.72</v>
      </c>
      <c r="M255" s="6">
        <v>54.72</v>
      </c>
      <c r="N255" s="6">
        <v>54.72</v>
      </c>
      <c r="O255" s="6">
        <v>54.72</v>
      </c>
      <c r="P255" s="6">
        <v>205</v>
      </c>
      <c r="Q255" s="4" t="s">
        <v>26</v>
      </c>
      <c r="R255" s="4">
        <v>0</v>
      </c>
      <c r="S255" s="6">
        <v>0</v>
      </c>
      <c r="T255" s="6">
        <v>44</v>
      </c>
      <c r="U255" s="6">
        <v>81</v>
      </c>
      <c r="V255" s="6">
        <f>IF(ISERROR(VLOOKUP($S$255,'TAR FIN'!$A$1:$O$85,15,0)),0,VLOOKUP($S$255,'TAR FIN'!$A$1:$O$85,15,0))</f>
        <v>0</v>
      </c>
      <c r="W255" s="6">
        <f>IF(ISERROR(VLOOKUP($T$255,'TAR FIN'!$A$1:$O$85,15,0)),0,VLOOKUP($T$255,'TAR FIN'!$A$1:$O$85,15,0))</f>
        <v>509.43</v>
      </c>
      <c r="X255" s="6">
        <f>IF(ISERROR(VLOOKUP($U$255,'TAR FIN'!$A$1:$O$85,15,0)),0,VLOOKUP($U$255,'TAR FIN'!$A$1:$O$85,15,0))</f>
        <v>251.85</v>
      </c>
      <c r="Y255" s="6"/>
      <c r="Z255" s="6">
        <f ca="1">('TUSD BE'!$AM$48+'TUSD BF'!$AM$48+'TUSD CVA'!$AM$48)*1</f>
        <v>657.94939927032419</v>
      </c>
      <c r="AA255" s="6">
        <f>('TE BE'!$AA$39+'TE BF'!$AA$39+'TE CVA'!$AA$39)*1</f>
        <v>256.69216484835653</v>
      </c>
      <c r="AB255" s="6">
        <f>$K$255*$V$255</f>
        <v>0</v>
      </c>
      <c r="AC255" s="6">
        <f>$M$255*$W$255</f>
        <v>27876.009600000001</v>
      </c>
      <c r="AD255" s="6">
        <f>$O$255*$X$255</f>
        <v>13781.232</v>
      </c>
      <c r="AE255" s="6">
        <f>$K$255*$Y$255</f>
        <v>0</v>
      </c>
      <c r="AF255" s="6">
        <f ca="1">$M$255*$Z$255</f>
        <v>36002.991128072143</v>
      </c>
      <c r="AG255" s="6">
        <f>$O$255*$AA$255</f>
        <v>14046.195260502069</v>
      </c>
    </row>
    <row r="256" spans="1:33" ht="11.25" customHeight="1" x14ac:dyDescent="0.25">
      <c r="A256" s="4" t="s">
        <v>27</v>
      </c>
      <c r="B256" s="4" t="s">
        <v>32</v>
      </c>
      <c r="C256" s="4" t="s">
        <v>23</v>
      </c>
      <c r="D256" s="4" t="s">
        <v>38</v>
      </c>
      <c r="E256" s="4" t="s">
        <v>25</v>
      </c>
      <c r="F256" s="4" t="s">
        <v>25</v>
      </c>
      <c r="G256" s="4" t="s">
        <v>25</v>
      </c>
      <c r="H256" s="4" t="s">
        <v>25</v>
      </c>
      <c r="I256" s="5">
        <v>44409</v>
      </c>
      <c r="J256" s="6">
        <v>0</v>
      </c>
      <c r="K256" s="6">
        <v>0</v>
      </c>
      <c r="L256" s="6">
        <v>3.36</v>
      </c>
      <c r="M256" s="6">
        <v>3.36</v>
      </c>
      <c r="N256" s="6">
        <v>3.36</v>
      </c>
      <c r="O256" s="6">
        <v>3.36</v>
      </c>
      <c r="P256" s="6">
        <v>6</v>
      </c>
      <c r="Q256" s="4" t="s">
        <v>26</v>
      </c>
      <c r="R256" s="4">
        <v>0</v>
      </c>
      <c r="S256" s="6">
        <v>0</v>
      </c>
      <c r="T256" s="6">
        <v>44</v>
      </c>
      <c r="U256" s="6">
        <v>81</v>
      </c>
      <c r="V256" s="6">
        <f>IF(ISERROR(VLOOKUP($S$256,'TAR FIN'!$A$1:$O$85,15,0)),0,VLOOKUP($S$256,'TAR FIN'!$A$1:$O$85,15,0))</f>
        <v>0</v>
      </c>
      <c r="W256" s="6">
        <f>IF(ISERROR(VLOOKUP($T$256,'TAR FIN'!$A$1:$O$85,15,0)),0,VLOOKUP($T$256,'TAR FIN'!$A$1:$O$85,15,0))</f>
        <v>509.43</v>
      </c>
      <c r="X256" s="6">
        <f>IF(ISERROR(VLOOKUP($U$256,'TAR FIN'!$A$1:$O$85,15,0)),0,VLOOKUP($U$256,'TAR FIN'!$A$1:$O$85,15,0))</f>
        <v>251.85</v>
      </c>
      <c r="Y256" s="6"/>
      <c r="Z256" s="6">
        <f ca="1">('TUSD BE'!$AM$48+'TUSD BF'!$AM$48+'TUSD CVA'!$AM$48)*1</f>
        <v>657.94939927032419</v>
      </c>
      <c r="AA256" s="6">
        <f>('TE BE'!$AA$39+'TE BF'!$AA$39+'TE CVA'!$AA$39)*1</f>
        <v>256.69216484835653</v>
      </c>
      <c r="AB256" s="6">
        <f>$K$256*$V$256</f>
        <v>0</v>
      </c>
      <c r="AC256" s="6">
        <f>$M$256*$W$256</f>
        <v>1711.6848</v>
      </c>
      <c r="AD256" s="6">
        <f>$O$256*$X$256</f>
        <v>846.21599999999989</v>
      </c>
      <c r="AE256" s="6">
        <f>$K$256*$Y$256</f>
        <v>0</v>
      </c>
      <c r="AF256" s="6">
        <f ca="1">$M$256*$Z$256</f>
        <v>2210.7099815482893</v>
      </c>
      <c r="AG256" s="6">
        <f>$O$256*$AA$256</f>
        <v>862.48567389047787</v>
      </c>
    </row>
    <row r="257" spans="1:33" ht="11.25" customHeight="1" x14ac:dyDescent="0.25">
      <c r="A257" s="4" t="s">
        <v>21</v>
      </c>
      <c r="B257" s="4" t="s">
        <v>32</v>
      </c>
      <c r="C257" s="4" t="s">
        <v>23</v>
      </c>
      <c r="D257" s="4" t="s">
        <v>38</v>
      </c>
      <c r="E257" s="4" t="s">
        <v>25</v>
      </c>
      <c r="F257" s="4" t="s">
        <v>25</v>
      </c>
      <c r="G257" s="4" t="s">
        <v>25</v>
      </c>
      <c r="H257" s="4" t="s">
        <v>25</v>
      </c>
      <c r="I257" s="5">
        <v>44440</v>
      </c>
      <c r="J257" s="6">
        <v>0</v>
      </c>
      <c r="K257" s="6">
        <v>0</v>
      </c>
      <c r="L257" s="6">
        <v>57.223999999999997</v>
      </c>
      <c r="M257" s="6">
        <v>57.223999999999997</v>
      </c>
      <c r="N257" s="6">
        <v>57.223999999999997</v>
      </c>
      <c r="O257" s="6">
        <v>57.223999999999997</v>
      </c>
      <c r="P257" s="6">
        <v>208</v>
      </c>
      <c r="Q257" s="4" t="s">
        <v>26</v>
      </c>
      <c r="R257" s="4">
        <v>0</v>
      </c>
      <c r="S257" s="6">
        <v>0</v>
      </c>
      <c r="T257" s="6">
        <v>44</v>
      </c>
      <c r="U257" s="6">
        <v>81</v>
      </c>
      <c r="V257" s="6">
        <f>IF(ISERROR(VLOOKUP($S$257,'TAR FIN'!$A$1:$O$85,15,0)),0,VLOOKUP($S$257,'TAR FIN'!$A$1:$O$85,15,0))</f>
        <v>0</v>
      </c>
      <c r="W257" s="6">
        <f>IF(ISERROR(VLOOKUP($T$257,'TAR FIN'!$A$1:$O$85,15,0)),0,VLOOKUP($T$257,'TAR FIN'!$A$1:$O$85,15,0))</f>
        <v>509.43</v>
      </c>
      <c r="X257" s="6">
        <f>IF(ISERROR(VLOOKUP($U$257,'TAR FIN'!$A$1:$O$85,15,0)),0,VLOOKUP($U$257,'TAR FIN'!$A$1:$O$85,15,0))</f>
        <v>251.85</v>
      </c>
      <c r="Y257" s="6"/>
      <c r="Z257" s="6">
        <f ca="1">('TUSD BE'!$AM$48+'TUSD BF'!$AM$48+'TUSD CVA'!$AM$48)*1</f>
        <v>657.94939927032419</v>
      </c>
      <c r="AA257" s="6">
        <f>('TE BE'!$AA$39+'TE BF'!$AA$39+'TE CVA'!$AA$39)*1</f>
        <v>256.69216484835653</v>
      </c>
      <c r="AB257" s="6">
        <f>$K$257*$V$257</f>
        <v>0</v>
      </c>
      <c r="AC257" s="6">
        <f>$M$257*$W$257</f>
        <v>29151.622319999999</v>
      </c>
      <c r="AD257" s="6">
        <f>$O$257*$X$257</f>
        <v>14411.864399999999</v>
      </c>
      <c r="AE257" s="6">
        <f>$K$257*$Y$257</f>
        <v>0</v>
      </c>
      <c r="AF257" s="6">
        <f ca="1">$M$257*$Z$257</f>
        <v>37650.496423845027</v>
      </c>
      <c r="AG257" s="6">
        <f>$O$257*$AA$257</f>
        <v>14688.952441282354</v>
      </c>
    </row>
    <row r="258" spans="1:33" ht="11.25" customHeight="1" x14ac:dyDescent="0.25">
      <c r="A258" s="4" t="s">
        <v>27</v>
      </c>
      <c r="B258" s="4" t="s">
        <v>32</v>
      </c>
      <c r="C258" s="4" t="s">
        <v>23</v>
      </c>
      <c r="D258" s="4" t="s">
        <v>38</v>
      </c>
      <c r="E258" s="4" t="s">
        <v>25</v>
      </c>
      <c r="F258" s="4" t="s">
        <v>25</v>
      </c>
      <c r="G258" s="4" t="s">
        <v>25</v>
      </c>
      <c r="H258" s="4" t="s">
        <v>25</v>
      </c>
      <c r="I258" s="5">
        <v>44440</v>
      </c>
      <c r="J258" s="6">
        <v>0</v>
      </c>
      <c r="K258" s="6">
        <v>0</v>
      </c>
      <c r="L258" s="6">
        <v>3.1739999999999999</v>
      </c>
      <c r="M258" s="6">
        <v>3.1739999999999999</v>
      </c>
      <c r="N258" s="6">
        <v>3.1739999999999999</v>
      </c>
      <c r="O258" s="6">
        <v>3.1739999999999999</v>
      </c>
      <c r="P258" s="6">
        <v>6</v>
      </c>
      <c r="Q258" s="4" t="s">
        <v>26</v>
      </c>
      <c r="R258" s="4">
        <v>0</v>
      </c>
      <c r="S258" s="6">
        <v>0</v>
      </c>
      <c r="T258" s="6">
        <v>44</v>
      </c>
      <c r="U258" s="6">
        <v>81</v>
      </c>
      <c r="V258" s="6">
        <f>IF(ISERROR(VLOOKUP($S$258,'TAR FIN'!$A$1:$O$85,15,0)),0,VLOOKUP($S$258,'TAR FIN'!$A$1:$O$85,15,0))</f>
        <v>0</v>
      </c>
      <c r="W258" s="6">
        <f>IF(ISERROR(VLOOKUP($T$258,'TAR FIN'!$A$1:$O$85,15,0)),0,VLOOKUP($T$258,'TAR FIN'!$A$1:$O$85,15,0))</f>
        <v>509.43</v>
      </c>
      <c r="X258" s="6">
        <f>IF(ISERROR(VLOOKUP($U$258,'TAR FIN'!$A$1:$O$85,15,0)),0,VLOOKUP($U$258,'TAR FIN'!$A$1:$O$85,15,0))</f>
        <v>251.85</v>
      </c>
      <c r="Y258" s="6"/>
      <c r="Z258" s="6">
        <f ca="1">('TUSD BE'!$AM$48+'TUSD BF'!$AM$48+'TUSD CVA'!$AM$48)*1</f>
        <v>657.94939927032419</v>
      </c>
      <c r="AA258" s="6">
        <f>('TE BE'!$AA$39+'TE BF'!$AA$39+'TE CVA'!$AA$39)*1</f>
        <v>256.69216484835653</v>
      </c>
      <c r="AB258" s="6">
        <f>$K$258*$V$258</f>
        <v>0</v>
      </c>
      <c r="AC258" s="6">
        <f>$M$258*$W$258</f>
        <v>1616.93082</v>
      </c>
      <c r="AD258" s="6">
        <f>$O$258*$X$258</f>
        <v>799.37189999999998</v>
      </c>
      <c r="AE258" s="6">
        <f>$K$258*$Y$258</f>
        <v>0</v>
      </c>
      <c r="AF258" s="6">
        <f ca="1">$M$258*$Z$258</f>
        <v>2088.3313932840088</v>
      </c>
      <c r="AG258" s="6">
        <f>$O$258*$AA$258</f>
        <v>814.74093122868362</v>
      </c>
    </row>
    <row r="259" spans="1:33" ht="11.25" customHeight="1" x14ac:dyDescent="0.25">
      <c r="A259" s="4" t="s">
        <v>21</v>
      </c>
      <c r="B259" s="4" t="s">
        <v>32</v>
      </c>
      <c r="C259" s="4" t="s">
        <v>23</v>
      </c>
      <c r="D259" s="4" t="s">
        <v>38</v>
      </c>
      <c r="E259" s="4" t="s">
        <v>25</v>
      </c>
      <c r="F259" s="4" t="s">
        <v>25</v>
      </c>
      <c r="G259" s="4" t="s">
        <v>25</v>
      </c>
      <c r="H259" s="4" t="s">
        <v>25</v>
      </c>
      <c r="I259" s="5">
        <v>44470</v>
      </c>
      <c r="J259" s="6">
        <v>0</v>
      </c>
      <c r="K259" s="6">
        <v>0</v>
      </c>
      <c r="L259" s="6">
        <v>61.203000000000003</v>
      </c>
      <c r="M259" s="6">
        <v>61.203000000000003</v>
      </c>
      <c r="N259" s="6">
        <v>61.203000000000003</v>
      </c>
      <c r="O259" s="6">
        <v>61.203000000000003</v>
      </c>
      <c r="P259" s="6">
        <v>209</v>
      </c>
      <c r="Q259" s="4" t="s">
        <v>26</v>
      </c>
      <c r="R259" s="4">
        <v>0</v>
      </c>
      <c r="S259" s="6">
        <v>0</v>
      </c>
      <c r="T259" s="6">
        <v>44</v>
      </c>
      <c r="U259" s="6">
        <v>81</v>
      </c>
      <c r="V259" s="6">
        <f>IF(ISERROR(VLOOKUP($S$259,'TAR FIN'!$A$1:$O$85,15,0)),0,VLOOKUP($S$259,'TAR FIN'!$A$1:$O$85,15,0))</f>
        <v>0</v>
      </c>
      <c r="W259" s="6">
        <f>IF(ISERROR(VLOOKUP($T$259,'TAR FIN'!$A$1:$O$85,15,0)),0,VLOOKUP($T$259,'TAR FIN'!$A$1:$O$85,15,0))</f>
        <v>509.43</v>
      </c>
      <c r="X259" s="6">
        <f>IF(ISERROR(VLOOKUP($U$259,'TAR FIN'!$A$1:$O$85,15,0)),0,VLOOKUP($U$259,'TAR FIN'!$A$1:$O$85,15,0))</f>
        <v>251.85</v>
      </c>
      <c r="Y259" s="6"/>
      <c r="Z259" s="6">
        <f ca="1">('TUSD BE'!$AM$48+'TUSD BF'!$AM$48+'TUSD CVA'!$AM$48)*1</f>
        <v>657.94939927032419</v>
      </c>
      <c r="AA259" s="6">
        <f>('TE BE'!$AA$39+'TE BF'!$AA$39+'TE CVA'!$AA$39)*1</f>
        <v>256.69216484835653</v>
      </c>
      <c r="AB259" s="6">
        <f>$K$259*$V$259</f>
        <v>0</v>
      </c>
      <c r="AC259" s="6">
        <f>$M$259*$W$259</f>
        <v>31178.64429</v>
      </c>
      <c r="AD259" s="6">
        <f>$O$259*$X$259</f>
        <v>15413.975550000001</v>
      </c>
      <c r="AE259" s="6">
        <f>$K$259*$Y$259</f>
        <v>0</v>
      </c>
      <c r="AF259" s="6">
        <f ca="1">$M$259*$Z$259</f>
        <v>40268.477083541657</v>
      </c>
      <c r="AG259" s="6">
        <f>$O$259*$AA$259</f>
        <v>15710.330565213966</v>
      </c>
    </row>
    <row r="260" spans="1:33" ht="11.25" customHeight="1" x14ac:dyDescent="0.25">
      <c r="A260" s="4" t="s">
        <v>27</v>
      </c>
      <c r="B260" s="4" t="s">
        <v>32</v>
      </c>
      <c r="C260" s="4" t="s">
        <v>23</v>
      </c>
      <c r="D260" s="4" t="s">
        <v>38</v>
      </c>
      <c r="E260" s="4" t="s">
        <v>25</v>
      </c>
      <c r="F260" s="4" t="s">
        <v>25</v>
      </c>
      <c r="G260" s="4" t="s">
        <v>25</v>
      </c>
      <c r="H260" s="4" t="s">
        <v>25</v>
      </c>
      <c r="I260" s="5">
        <v>44470</v>
      </c>
      <c r="J260" s="6">
        <v>0</v>
      </c>
      <c r="K260" s="6">
        <v>0</v>
      </c>
      <c r="L260" s="6">
        <v>3.6379999999999999</v>
      </c>
      <c r="M260" s="6">
        <v>3.6379999999999999</v>
      </c>
      <c r="N260" s="6">
        <v>3.6379999999999999</v>
      </c>
      <c r="O260" s="6">
        <v>3.6379999999999999</v>
      </c>
      <c r="P260" s="6">
        <v>6</v>
      </c>
      <c r="Q260" s="4" t="s">
        <v>26</v>
      </c>
      <c r="R260" s="4">
        <v>0</v>
      </c>
      <c r="S260" s="6">
        <v>0</v>
      </c>
      <c r="T260" s="6">
        <v>44</v>
      </c>
      <c r="U260" s="6">
        <v>81</v>
      </c>
      <c r="V260" s="6">
        <f>IF(ISERROR(VLOOKUP($S$260,'TAR FIN'!$A$1:$O$85,15,0)),0,VLOOKUP($S$260,'TAR FIN'!$A$1:$O$85,15,0))</f>
        <v>0</v>
      </c>
      <c r="W260" s="6">
        <f>IF(ISERROR(VLOOKUP($T$260,'TAR FIN'!$A$1:$O$85,15,0)),0,VLOOKUP($T$260,'TAR FIN'!$A$1:$O$85,15,0))</f>
        <v>509.43</v>
      </c>
      <c r="X260" s="6">
        <f>IF(ISERROR(VLOOKUP($U$260,'TAR FIN'!$A$1:$O$85,15,0)),0,VLOOKUP($U$260,'TAR FIN'!$A$1:$O$85,15,0))</f>
        <v>251.85</v>
      </c>
      <c r="Y260" s="6"/>
      <c r="Z260" s="6">
        <f ca="1">('TUSD BE'!$AM$48+'TUSD BF'!$AM$48+'TUSD CVA'!$AM$48)*1</f>
        <v>657.94939927032419</v>
      </c>
      <c r="AA260" s="6">
        <f>('TE BE'!$AA$39+'TE BF'!$AA$39+'TE CVA'!$AA$39)*1</f>
        <v>256.69216484835653</v>
      </c>
      <c r="AB260" s="6">
        <f>$K$260*$V$260</f>
        <v>0</v>
      </c>
      <c r="AC260" s="6">
        <f>$M$260*$W$260</f>
        <v>1853.3063399999999</v>
      </c>
      <c r="AD260" s="6">
        <f>$O$260*$X$260</f>
        <v>916.23029999999994</v>
      </c>
      <c r="AE260" s="6">
        <f>$K$260*$Y$260</f>
        <v>0</v>
      </c>
      <c r="AF260" s="6">
        <f ca="1">$M$260*$Z$260</f>
        <v>2393.6199145454393</v>
      </c>
      <c r="AG260" s="6">
        <f>$O$260*$AA$260</f>
        <v>933.84609571832107</v>
      </c>
    </row>
    <row r="261" spans="1:33" ht="11.25" customHeight="1" x14ac:dyDescent="0.25">
      <c r="A261" s="4" t="s">
        <v>21</v>
      </c>
      <c r="B261" s="4" t="s">
        <v>32</v>
      </c>
      <c r="C261" s="4" t="s">
        <v>23</v>
      </c>
      <c r="D261" s="4" t="s">
        <v>38</v>
      </c>
      <c r="E261" s="4" t="s">
        <v>25</v>
      </c>
      <c r="F261" s="4" t="s">
        <v>25</v>
      </c>
      <c r="G261" s="4" t="s">
        <v>25</v>
      </c>
      <c r="H261" s="4" t="s">
        <v>25</v>
      </c>
      <c r="I261" s="5">
        <v>44501</v>
      </c>
      <c r="J261" s="6">
        <v>0</v>
      </c>
      <c r="K261" s="6">
        <v>0</v>
      </c>
      <c r="L261" s="6">
        <v>69.272000000000006</v>
      </c>
      <c r="M261" s="6">
        <v>69.272000000000006</v>
      </c>
      <c r="N261" s="6">
        <v>69.272000000000006</v>
      </c>
      <c r="O261" s="6">
        <v>69.272000000000006</v>
      </c>
      <c r="P261" s="6">
        <v>210</v>
      </c>
      <c r="Q261" s="4" t="s">
        <v>26</v>
      </c>
      <c r="R261" s="4">
        <v>0</v>
      </c>
      <c r="S261" s="6">
        <v>0</v>
      </c>
      <c r="T261" s="6">
        <v>44</v>
      </c>
      <c r="U261" s="6">
        <v>81</v>
      </c>
      <c r="V261" s="6">
        <f>IF(ISERROR(VLOOKUP($S$261,'TAR FIN'!$A$1:$O$85,15,0)),0,VLOOKUP($S$261,'TAR FIN'!$A$1:$O$85,15,0))</f>
        <v>0</v>
      </c>
      <c r="W261" s="6">
        <f>IF(ISERROR(VLOOKUP($T$261,'TAR FIN'!$A$1:$O$85,15,0)),0,VLOOKUP($T$261,'TAR FIN'!$A$1:$O$85,15,0))</f>
        <v>509.43</v>
      </c>
      <c r="X261" s="6">
        <f>IF(ISERROR(VLOOKUP($U$261,'TAR FIN'!$A$1:$O$85,15,0)),0,VLOOKUP($U$261,'TAR FIN'!$A$1:$O$85,15,0))</f>
        <v>251.85</v>
      </c>
      <c r="Y261" s="6"/>
      <c r="Z261" s="6">
        <f ca="1">('TUSD BE'!$AM$48+'TUSD BF'!$AM$48+'TUSD CVA'!$AM$48)*1</f>
        <v>657.94939927032419</v>
      </c>
      <c r="AA261" s="6">
        <f>('TE BE'!$AA$39+'TE BF'!$AA$39+'TE CVA'!$AA$39)*1</f>
        <v>256.69216484835653</v>
      </c>
      <c r="AB261" s="6">
        <f>$K$261*$V$261</f>
        <v>0</v>
      </c>
      <c r="AC261" s="6">
        <f>$M$261*$W$261</f>
        <v>35289.234960000002</v>
      </c>
      <c r="AD261" s="6">
        <f>$O$261*$X$261</f>
        <v>17446.153200000001</v>
      </c>
      <c r="AE261" s="6">
        <f>$K$261*$Y$261</f>
        <v>0</v>
      </c>
      <c r="AF261" s="6">
        <f ca="1">$M$261*$Z$261</f>
        <v>45577.4707862539</v>
      </c>
      <c r="AG261" s="6">
        <f>$O$261*$AA$261</f>
        <v>17781.579643375353</v>
      </c>
    </row>
    <row r="262" spans="1:33" ht="11.25" customHeight="1" x14ac:dyDescent="0.25">
      <c r="A262" s="4" t="s">
        <v>27</v>
      </c>
      <c r="B262" s="4" t="s">
        <v>32</v>
      </c>
      <c r="C262" s="4" t="s">
        <v>23</v>
      </c>
      <c r="D262" s="4" t="s">
        <v>38</v>
      </c>
      <c r="E262" s="4" t="s">
        <v>25</v>
      </c>
      <c r="F262" s="4" t="s">
        <v>25</v>
      </c>
      <c r="G262" s="4" t="s">
        <v>25</v>
      </c>
      <c r="H262" s="4" t="s">
        <v>25</v>
      </c>
      <c r="I262" s="5">
        <v>44501</v>
      </c>
      <c r="J262" s="6">
        <v>0</v>
      </c>
      <c r="K262" s="6">
        <v>0</v>
      </c>
      <c r="L262" s="6">
        <v>5.8289999999999997</v>
      </c>
      <c r="M262" s="6">
        <v>5.8289999999999997</v>
      </c>
      <c r="N262" s="6">
        <v>5.8289999999999997</v>
      </c>
      <c r="O262" s="6">
        <v>5.8289999999999997</v>
      </c>
      <c r="P262" s="6">
        <v>6</v>
      </c>
      <c r="Q262" s="4" t="s">
        <v>26</v>
      </c>
      <c r="R262" s="4">
        <v>0</v>
      </c>
      <c r="S262" s="6">
        <v>0</v>
      </c>
      <c r="T262" s="6">
        <v>44</v>
      </c>
      <c r="U262" s="6">
        <v>81</v>
      </c>
      <c r="V262" s="6">
        <f>IF(ISERROR(VLOOKUP($S$262,'TAR FIN'!$A$1:$O$85,15,0)),0,VLOOKUP($S$262,'TAR FIN'!$A$1:$O$85,15,0))</f>
        <v>0</v>
      </c>
      <c r="W262" s="6">
        <f>IF(ISERROR(VLOOKUP($T$262,'TAR FIN'!$A$1:$O$85,15,0)),0,VLOOKUP($T$262,'TAR FIN'!$A$1:$O$85,15,0))</f>
        <v>509.43</v>
      </c>
      <c r="X262" s="6">
        <f>IF(ISERROR(VLOOKUP($U$262,'TAR FIN'!$A$1:$O$85,15,0)),0,VLOOKUP($U$262,'TAR FIN'!$A$1:$O$85,15,0))</f>
        <v>251.85</v>
      </c>
      <c r="Y262" s="6"/>
      <c r="Z262" s="6">
        <f ca="1">('TUSD BE'!$AM$48+'TUSD BF'!$AM$48+'TUSD CVA'!$AM$48)*1</f>
        <v>657.94939927032419</v>
      </c>
      <c r="AA262" s="6">
        <f>('TE BE'!$AA$39+'TE BF'!$AA$39+'TE CVA'!$AA$39)*1</f>
        <v>256.69216484835653</v>
      </c>
      <c r="AB262" s="6">
        <f>$K$262*$V$262</f>
        <v>0</v>
      </c>
      <c r="AC262" s="6">
        <f>$M$262*$W$262</f>
        <v>2969.46747</v>
      </c>
      <c r="AD262" s="6">
        <f>$O$262*$X$262</f>
        <v>1468.0336499999999</v>
      </c>
      <c r="AE262" s="6">
        <f>$K$262*$Y$262</f>
        <v>0</v>
      </c>
      <c r="AF262" s="6">
        <f ca="1">$M$262*$Z$262</f>
        <v>3835.1870483467196</v>
      </c>
      <c r="AG262" s="6">
        <f>$O$262*$AA$262</f>
        <v>1496.2586289010701</v>
      </c>
    </row>
    <row r="263" spans="1:33" ht="11.25" customHeight="1" x14ac:dyDescent="0.25">
      <c r="A263" s="4" t="s">
        <v>21</v>
      </c>
      <c r="B263" s="4" t="s">
        <v>32</v>
      </c>
      <c r="C263" s="4" t="s">
        <v>23</v>
      </c>
      <c r="D263" s="4" t="s">
        <v>38</v>
      </c>
      <c r="E263" s="4" t="s">
        <v>25</v>
      </c>
      <c r="F263" s="4" t="s">
        <v>25</v>
      </c>
      <c r="G263" s="4" t="s">
        <v>25</v>
      </c>
      <c r="H263" s="4" t="s">
        <v>25</v>
      </c>
      <c r="I263" s="5">
        <v>44531</v>
      </c>
      <c r="J263" s="6">
        <v>0</v>
      </c>
      <c r="K263" s="6">
        <v>0</v>
      </c>
      <c r="L263" s="6">
        <v>66.42</v>
      </c>
      <c r="M263" s="6">
        <v>66.42</v>
      </c>
      <c r="N263" s="6">
        <v>66.42</v>
      </c>
      <c r="O263" s="6">
        <v>66.42</v>
      </c>
      <c r="P263" s="6">
        <v>210</v>
      </c>
      <c r="Q263" s="4" t="s">
        <v>26</v>
      </c>
      <c r="R263" s="4">
        <v>0</v>
      </c>
      <c r="S263" s="6">
        <v>0</v>
      </c>
      <c r="T263" s="6">
        <v>44</v>
      </c>
      <c r="U263" s="6">
        <v>81</v>
      </c>
      <c r="V263" s="6">
        <f>IF(ISERROR(VLOOKUP($S$263,'TAR FIN'!$A$1:$O$85,15,0)),0,VLOOKUP($S$263,'TAR FIN'!$A$1:$O$85,15,0))</f>
        <v>0</v>
      </c>
      <c r="W263" s="6">
        <f>IF(ISERROR(VLOOKUP($T$263,'TAR FIN'!$A$1:$O$85,15,0)),0,VLOOKUP($T$263,'TAR FIN'!$A$1:$O$85,15,0))</f>
        <v>509.43</v>
      </c>
      <c r="X263" s="6">
        <f>IF(ISERROR(VLOOKUP($U$263,'TAR FIN'!$A$1:$O$85,15,0)),0,VLOOKUP($U$263,'TAR FIN'!$A$1:$O$85,15,0))</f>
        <v>251.85</v>
      </c>
      <c r="Y263" s="6"/>
      <c r="Z263" s="6">
        <f ca="1">('TUSD BE'!$AM$48+'TUSD BF'!$AM$48+'TUSD CVA'!$AM$48)*1</f>
        <v>657.94939927032419</v>
      </c>
      <c r="AA263" s="6">
        <f>('TE BE'!$AA$39+'TE BF'!$AA$39+'TE CVA'!$AA$39)*1</f>
        <v>256.69216484835653</v>
      </c>
      <c r="AB263" s="6">
        <f>$K$263*$V$263</f>
        <v>0</v>
      </c>
      <c r="AC263" s="6">
        <f>$M$263*$W$263</f>
        <v>33836.340600000003</v>
      </c>
      <c r="AD263" s="6">
        <f>$O$263*$X$263</f>
        <v>16727.877</v>
      </c>
      <c r="AE263" s="6">
        <f>$K$263*$Y$263</f>
        <v>0</v>
      </c>
      <c r="AF263" s="6">
        <f ca="1">$M$263*$Z$263</f>
        <v>43700.999099534936</v>
      </c>
      <c r="AG263" s="6">
        <f>$O$263*$AA$263</f>
        <v>17049.493589227841</v>
      </c>
    </row>
    <row r="264" spans="1:33" ht="11.25" customHeight="1" x14ac:dyDescent="0.25">
      <c r="A264" s="4" t="s">
        <v>27</v>
      </c>
      <c r="B264" s="4" t="s">
        <v>32</v>
      </c>
      <c r="C264" s="4" t="s">
        <v>23</v>
      </c>
      <c r="D264" s="4" t="s">
        <v>38</v>
      </c>
      <c r="E264" s="4" t="s">
        <v>25</v>
      </c>
      <c r="F264" s="4" t="s">
        <v>25</v>
      </c>
      <c r="G264" s="4" t="s">
        <v>25</v>
      </c>
      <c r="H264" s="4" t="s">
        <v>25</v>
      </c>
      <c r="I264" s="5">
        <v>44531</v>
      </c>
      <c r="J264" s="6">
        <v>0</v>
      </c>
      <c r="K264" s="6">
        <v>0</v>
      </c>
      <c r="L264" s="6">
        <v>5.5060000000000002</v>
      </c>
      <c r="M264" s="6">
        <v>5.5060000000000002</v>
      </c>
      <c r="N264" s="6">
        <v>5.5060000000000002</v>
      </c>
      <c r="O264" s="6">
        <v>5.5060000000000002</v>
      </c>
      <c r="P264" s="6">
        <v>6</v>
      </c>
      <c r="Q264" s="4" t="s">
        <v>26</v>
      </c>
      <c r="R264" s="4">
        <v>0</v>
      </c>
      <c r="S264" s="6">
        <v>0</v>
      </c>
      <c r="T264" s="6">
        <v>44</v>
      </c>
      <c r="U264" s="6">
        <v>81</v>
      </c>
      <c r="V264" s="6">
        <f>IF(ISERROR(VLOOKUP($S$264,'TAR FIN'!$A$1:$O$85,15,0)),0,VLOOKUP($S$264,'TAR FIN'!$A$1:$O$85,15,0))</f>
        <v>0</v>
      </c>
      <c r="W264" s="6">
        <f>IF(ISERROR(VLOOKUP($T$264,'TAR FIN'!$A$1:$O$85,15,0)),0,VLOOKUP($T$264,'TAR FIN'!$A$1:$O$85,15,0))</f>
        <v>509.43</v>
      </c>
      <c r="X264" s="6">
        <f>IF(ISERROR(VLOOKUP($U$264,'TAR FIN'!$A$1:$O$85,15,0)),0,VLOOKUP($U$264,'TAR FIN'!$A$1:$O$85,15,0))</f>
        <v>251.85</v>
      </c>
      <c r="Y264" s="6"/>
      <c r="Z264" s="6">
        <f ca="1">('TUSD BE'!$AM$48+'TUSD BF'!$AM$48+'TUSD CVA'!$AM$48)*1</f>
        <v>657.94939927032419</v>
      </c>
      <c r="AA264" s="6">
        <f>('TE BE'!$AA$39+'TE BF'!$AA$39+'TE CVA'!$AA$39)*1</f>
        <v>256.69216484835653</v>
      </c>
      <c r="AB264" s="6">
        <f>$K$264*$V$264</f>
        <v>0</v>
      </c>
      <c r="AC264" s="6">
        <f>$M$264*$W$264</f>
        <v>2804.9215800000002</v>
      </c>
      <c r="AD264" s="6">
        <f>$O$264*$X$264</f>
        <v>1386.6861000000001</v>
      </c>
      <c r="AE264" s="6">
        <f>$K$264*$Y$264</f>
        <v>0</v>
      </c>
      <c r="AF264" s="6">
        <f ca="1">$M$264*$Z$264</f>
        <v>3622.669392382405</v>
      </c>
      <c r="AG264" s="6">
        <f>$O$264*$AA$264</f>
        <v>1413.347059655051</v>
      </c>
    </row>
    <row r="265" spans="1:33" ht="11.25" customHeight="1" x14ac:dyDescent="0.25">
      <c r="A265" s="4" t="s">
        <v>21</v>
      </c>
      <c r="B265" s="4" t="s">
        <v>32</v>
      </c>
      <c r="C265" s="4" t="s">
        <v>23</v>
      </c>
      <c r="D265" s="4" t="s">
        <v>38</v>
      </c>
      <c r="E265" s="4" t="s">
        <v>25</v>
      </c>
      <c r="F265" s="4" t="s">
        <v>25</v>
      </c>
      <c r="G265" s="4" t="s">
        <v>25</v>
      </c>
      <c r="H265" s="4" t="s">
        <v>25</v>
      </c>
      <c r="I265" s="5">
        <v>44562</v>
      </c>
      <c r="J265" s="6">
        <v>0</v>
      </c>
      <c r="K265" s="6">
        <v>0</v>
      </c>
      <c r="L265" s="6">
        <v>66.722999999999999</v>
      </c>
      <c r="M265" s="6">
        <v>66.722999999999999</v>
      </c>
      <c r="N265" s="6">
        <v>66.722999999999999</v>
      </c>
      <c r="O265" s="6">
        <v>66.722999999999999</v>
      </c>
      <c r="P265" s="6">
        <v>208</v>
      </c>
      <c r="Q265" s="4" t="s">
        <v>26</v>
      </c>
      <c r="R265" s="4">
        <v>0</v>
      </c>
      <c r="S265" s="6">
        <v>0</v>
      </c>
      <c r="T265" s="6">
        <v>44</v>
      </c>
      <c r="U265" s="6">
        <v>81</v>
      </c>
      <c r="V265" s="6">
        <f>IF(ISERROR(VLOOKUP($S$265,'TAR FIN'!$A$1:$O$85,15,0)),0,VLOOKUP($S$265,'TAR FIN'!$A$1:$O$85,15,0))</f>
        <v>0</v>
      </c>
      <c r="W265" s="6">
        <f>IF(ISERROR(VLOOKUP($T$265,'TAR FIN'!$A$1:$O$85,15,0)),0,VLOOKUP($T$265,'TAR FIN'!$A$1:$O$85,15,0))</f>
        <v>509.43</v>
      </c>
      <c r="X265" s="6">
        <f>IF(ISERROR(VLOOKUP($U$265,'TAR FIN'!$A$1:$O$85,15,0)),0,VLOOKUP($U$265,'TAR FIN'!$A$1:$O$85,15,0))</f>
        <v>251.85</v>
      </c>
      <c r="Y265" s="6"/>
      <c r="Z265" s="6">
        <f ca="1">('TUSD BE'!$AM$48+'TUSD BF'!$AM$48+'TUSD CVA'!$AM$48)*1</f>
        <v>657.94939927032419</v>
      </c>
      <c r="AA265" s="6">
        <f>('TE BE'!$AA$39+'TE BF'!$AA$39+'TE CVA'!$AA$39)*1</f>
        <v>256.69216484835653</v>
      </c>
      <c r="AB265" s="6">
        <f>$K$265*$V$265</f>
        <v>0</v>
      </c>
      <c r="AC265" s="6">
        <f>$M$265*$W$265</f>
        <v>33990.697890000003</v>
      </c>
      <c r="AD265" s="6">
        <f>$O$265*$X$265</f>
        <v>16804.187549999999</v>
      </c>
      <c r="AE265" s="6">
        <f>$K$265*$Y$265</f>
        <v>0</v>
      </c>
      <c r="AF265" s="6">
        <f ca="1">$M$265*$Z$265</f>
        <v>43900.357767513844</v>
      </c>
      <c r="AG265" s="6">
        <f>$O$265*$AA$265</f>
        <v>17127.271315176891</v>
      </c>
    </row>
    <row r="266" spans="1:33" ht="11.25" customHeight="1" x14ac:dyDescent="0.25">
      <c r="A266" s="4" t="s">
        <v>27</v>
      </c>
      <c r="B266" s="4" t="s">
        <v>32</v>
      </c>
      <c r="C266" s="4" t="s">
        <v>23</v>
      </c>
      <c r="D266" s="4" t="s">
        <v>38</v>
      </c>
      <c r="E266" s="4" t="s">
        <v>25</v>
      </c>
      <c r="F266" s="4" t="s">
        <v>25</v>
      </c>
      <c r="G266" s="4" t="s">
        <v>25</v>
      </c>
      <c r="H266" s="4" t="s">
        <v>25</v>
      </c>
      <c r="I266" s="5">
        <v>44562</v>
      </c>
      <c r="J266" s="6">
        <v>0</v>
      </c>
      <c r="K266" s="6">
        <v>0</v>
      </c>
      <c r="L266" s="6">
        <v>9.18</v>
      </c>
      <c r="M266" s="6">
        <v>9.18</v>
      </c>
      <c r="N266" s="6">
        <v>9.18</v>
      </c>
      <c r="O266" s="6">
        <v>9.18</v>
      </c>
      <c r="P266" s="6">
        <v>6</v>
      </c>
      <c r="Q266" s="4" t="s">
        <v>26</v>
      </c>
      <c r="R266" s="4">
        <v>0</v>
      </c>
      <c r="S266" s="6">
        <v>0</v>
      </c>
      <c r="T266" s="6">
        <v>44</v>
      </c>
      <c r="U266" s="6">
        <v>81</v>
      </c>
      <c r="V266" s="6">
        <f>IF(ISERROR(VLOOKUP($S$266,'TAR FIN'!$A$1:$O$85,15,0)),0,VLOOKUP($S$266,'TAR FIN'!$A$1:$O$85,15,0))</f>
        <v>0</v>
      </c>
      <c r="W266" s="6">
        <f>IF(ISERROR(VLOOKUP($T$266,'TAR FIN'!$A$1:$O$85,15,0)),0,VLOOKUP($T$266,'TAR FIN'!$A$1:$O$85,15,0))</f>
        <v>509.43</v>
      </c>
      <c r="X266" s="6">
        <f>IF(ISERROR(VLOOKUP($U$266,'TAR FIN'!$A$1:$O$85,15,0)),0,VLOOKUP($U$266,'TAR FIN'!$A$1:$O$85,15,0))</f>
        <v>251.85</v>
      </c>
      <c r="Y266" s="6"/>
      <c r="Z266" s="6">
        <f ca="1">('TUSD BE'!$AM$48+'TUSD BF'!$AM$48+'TUSD CVA'!$AM$48)*1</f>
        <v>657.94939927032419</v>
      </c>
      <c r="AA266" s="6">
        <f>('TE BE'!$AA$39+'TE BF'!$AA$39+'TE CVA'!$AA$39)*1</f>
        <v>256.69216484835653</v>
      </c>
      <c r="AB266" s="6">
        <f>$K$266*$V$266</f>
        <v>0</v>
      </c>
      <c r="AC266" s="6">
        <f>$M$266*$W$266</f>
        <v>4676.5673999999999</v>
      </c>
      <c r="AD266" s="6">
        <f>$O$266*$X$266</f>
        <v>2311.9829999999997</v>
      </c>
      <c r="AE266" s="6">
        <f>$K$266*$Y$266</f>
        <v>0</v>
      </c>
      <c r="AF266" s="6">
        <f ca="1">$M$266*$Z$266</f>
        <v>6039.9754853015756</v>
      </c>
      <c r="AG266" s="6">
        <f>$O$266*$AA$266</f>
        <v>2356.434073307913</v>
      </c>
    </row>
    <row r="267" spans="1:33" ht="11.25" customHeight="1" x14ac:dyDescent="0.25">
      <c r="A267" s="4" t="s">
        <v>21</v>
      </c>
      <c r="B267" s="4" t="s">
        <v>32</v>
      </c>
      <c r="C267" s="4" t="s">
        <v>23</v>
      </c>
      <c r="D267" s="4" t="s">
        <v>38</v>
      </c>
      <c r="E267" s="4" t="s">
        <v>25</v>
      </c>
      <c r="F267" s="4" t="s">
        <v>25</v>
      </c>
      <c r="G267" s="4" t="s">
        <v>25</v>
      </c>
      <c r="H267" s="4" t="s">
        <v>25</v>
      </c>
      <c r="I267" s="5">
        <v>44593</v>
      </c>
      <c r="J267" s="6">
        <v>0</v>
      </c>
      <c r="K267" s="6">
        <v>0</v>
      </c>
      <c r="L267" s="6">
        <v>61.658000000000001</v>
      </c>
      <c r="M267" s="6">
        <v>61.658000000000001</v>
      </c>
      <c r="N267" s="6">
        <v>61.658000000000001</v>
      </c>
      <c r="O267" s="6">
        <v>61.658000000000001</v>
      </c>
      <c r="P267" s="6">
        <v>206</v>
      </c>
      <c r="Q267" s="4" t="s">
        <v>26</v>
      </c>
      <c r="R267" s="4">
        <v>0</v>
      </c>
      <c r="S267" s="6">
        <v>0</v>
      </c>
      <c r="T267" s="6">
        <v>44</v>
      </c>
      <c r="U267" s="6">
        <v>81</v>
      </c>
      <c r="V267" s="6">
        <f>IF(ISERROR(VLOOKUP($S$267,'TAR FIN'!$A$1:$O$85,15,0)),0,VLOOKUP($S$267,'TAR FIN'!$A$1:$O$85,15,0))</f>
        <v>0</v>
      </c>
      <c r="W267" s="6">
        <f>IF(ISERROR(VLOOKUP($T$267,'TAR FIN'!$A$1:$O$85,15,0)),0,VLOOKUP($T$267,'TAR FIN'!$A$1:$O$85,15,0))</f>
        <v>509.43</v>
      </c>
      <c r="X267" s="6">
        <f>IF(ISERROR(VLOOKUP($U$267,'TAR FIN'!$A$1:$O$85,15,0)),0,VLOOKUP($U$267,'TAR FIN'!$A$1:$O$85,15,0))</f>
        <v>251.85</v>
      </c>
      <c r="Y267" s="6"/>
      <c r="Z267" s="6">
        <f ca="1">('TUSD BE'!$AM$48+'TUSD BF'!$AM$48+'TUSD CVA'!$AM$48)*1</f>
        <v>657.94939927032419</v>
      </c>
      <c r="AA267" s="6">
        <f>('TE BE'!$AA$39+'TE BF'!$AA$39+'TE CVA'!$AA$39)*1</f>
        <v>256.69216484835653</v>
      </c>
      <c r="AB267" s="6">
        <f>$K$267*$V$267</f>
        <v>0</v>
      </c>
      <c r="AC267" s="6">
        <f>$M$267*$W$267</f>
        <v>31410.434940000003</v>
      </c>
      <c r="AD267" s="6">
        <f>$O$267*$X$267</f>
        <v>15528.567300000001</v>
      </c>
      <c r="AE267" s="6">
        <f>$K$267*$Y$267</f>
        <v>0</v>
      </c>
      <c r="AF267" s="6">
        <f ca="1">$M$267*$Z$267</f>
        <v>40567.844060209653</v>
      </c>
      <c r="AG267" s="6">
        <f>$O$267*$AA$267</f>
        <v>15827.125500219967</v>
      </c>
    </row>
    <row r="268" spans="1:33" ht="11.25" customHeight="1" x14ac:dyDescent="0.25">
      <c r="A268" s="4" t="s">
        <v>27</v>
      </c>
      <c r="B268" s="4" t="s">
        <v>32</v>
      </c>
      <c r="C268" s="4" t="s">
        <v>23</v>
      </c>
      <c r="D268" s="4" t="s">
        <v>38</v>
      </c>
      <c r="E268" s="4" t="s">
        <v>25</v>
      </c>
      <c r="F268" s="4" t="s">
        <v>25</v>
      </c>
      <c r="G268" s="4" t="s">
        <v>25</v>
      </c>
      <c r="H268" s="4" t="s">
        <v>25</v>
      </c>
      <c r="I268" s="5">
        <v>44593</v>
      </c>
      <c r="J268" s="6">
        <v>0</v>
      </c>
      <c r="K268" s="6">
        <v>0</v>
      </c>
      <c r="L268" s="6">
        <v>6.5590000000000002</v>
      </c>
      <c r="M268" s="6">
        <v>6.5590000000000002</v>
      </c>
      <c r="N268" s="6">
        <v>6.5590000000000002</v>
      </c>
      <c r="O268" s="6">
        <v>6.5590000000000002</v>
      </c>
      <c r="P268" s="6">
        <v>6</v>
      </c>
      <c r="Q268" s="4" t="s">
        <v>26</v>
      </c>
      <c r="R268" s="4">
        <v>0</v>
      </c>
      <c r="S268" s="6">
        <v>0</v>
      </c>
      <c r="T268" s="6">
        <v>44</v>
      </c>
      <c r="U268" s="6">
        <v>81</v>
      </c>
      <c r="V268" s="6">
        <f>IF(ISERROR(VLOOKUP($S$268,'TAR FIN'!$A$1:$O$85,15,0)),0,VLOOKUP($S$268,'TAR FIN'!$A$1:$O$85,15,0))</f>
        <v>0</v>
      </c>
      <c r="W268" s="6">
        <f>IF(ISERROR(VLOOKUP($T$268,'TAR FIN'!$A$1:$O$85,15,0)),0,VLOOKUP($T$268,'TAR FIN'!$A$1:$O$85,15,0))</f>
        <v>509.43</v>
      </c>
      <c r="X268" s="6">
        <f>IF(ISERROR(VLOOKUP($U$268,'TAR FIN'!$A$1:$O$85,15,0)),0,VLOOKUP($U$268,'TAR FIN'!$A$1:$O$85,15,0))</f>
        <v>251.85</v>
      </c>
      <c r="Y268" s="6"/>
      <c r="Z268" s="6">
        <f ca="1">('TUSD BE'!$AM$48+'TUSD BF'!$AM$48+'TUSD CVA'!$AM$48)*1</f>
        <v>657.94939927032419</v>
      </c>
      <c r="AA268" s="6">
        <f>('TE BE'!$AA$39+'TE BF'!$AA$39+'TE CVA'!$AA$39)*1</f>
        <v>256.69216484835653</v>
      </c>
      <c r="AB268" s="6">
        <f>$K$268*$V$268</f>
        <v>0</v>
      </c>
      <c r="AC268" s="6">
        <f>$M$268*$W$268</f>
        <v>3341.3513700000003</v>
      </c>
      <c r="AD268" s="6">
        <f>$O$268*$X$268</f>
        <v>1651.8841500000001</v>
      </c>
      <c r="AE268" s="6">
        <f>$K$268*$Y$268</f>
        <v>0</v>
      </c>
      <c r="AF268" s="6">
        <f ca="1">$M$268*$Z$268</f>
        <v>4315.4901098140563</v>
      </c>
      <c r="AG268" s="6">
        <f>$O$268*$AA$268</f>
        <v>1683.6439092403705</v>
      </c>
    </row>
    <row r="269" spans="1:33" ht="11.25" customHeight="1" x14ac:dyDescent="0.25">
      <c r="A269" s="4" t="s">
        <v>21</v>
      </c>
      <c r="B269" s="4" t="s">
        <v>32</v>
      </c>
      <c r="C269" s="4" t="s">
        <v>23</v>
      </c>
      <c r="D269" s="4" t="s">
        <v>38</v>
      </c>
      <c r="E269" s="4" t="s">
        <v>25</v>
      </c>
      <c r="F269" s="4" t="s">
        <v>25</v>
      </c>
      <c r="G269" s="4" t="s">
        <v>25</v>
      </c>
      <c r="H269" s="4" t="s">
        <v>25</v>
      </c>
      <c r="I269" s="5">
        <v>44621</v>
      </c>
      <c r="J269" s="6">
        <v>0</v>
      </c>
      <c r="K269" s="6">
        <v>0</v>
      </c>
      <c r="L269" s="6">
        <v>65.599000000000004</v>
      </c>
      <c r="M269" s="6">
        <v>65.599000000000004</v>
      </c>
      <c r="N269" s="6">
        <v>65.599000000000004</v>
      </c>
      <c r="O269" s="6">
        <v>65.599000000000004</v>
      </c>
      <c r="P269" s="6">
        <v>208</v>
      </c>
      <c r="Q269" s="4" t="s">
        <v>26</v>
      </c>
      <c r="R269" s="4">
        <v>0</v>
      </c>
      <c r="S269" s="6">
        <v>0</v>
      </c>
      <c r="T269" s="6">
        <v>44</v>
      </c>
      <c r="U269" s="6">
        <v>81</v>
      </c>
      <c r="V269" s="6">
        <f>IF(ISERROR(VLOOKUP($S$269,'TAR FIN'!$A$1:$O$85,15,0)),0,VLOOKUP($S$269,'TAR FIN'!$A$1:$O$85,15,0))</f>
        <v>0</v>
      </c>
      <c r="W269" s="6">
        <f>IF(ISERROR(VLOOKUP($T$269,'TAR FIN'!$A$1:$O$85,15,0)),0,VLOOKUP($T$269,'TAR FIN'!$A$1:$O$85,15,0))</f>
        <v>509.43</v>
      </c>
      <c r="X269" s="6">
        <f>IF(ISERROR(VLOOKUP($U$269,'TAR FIN'!$A$1:$O$85,15,0)),0,VLOOKUP($U$269,'TAR FIN'!$A$1:$O$85,15,0))</f>
        <v>251.85</v>
      </c>
      <c r="Y269" s="6"/>
      <c r="Z269" s="6">
        <f ca="1">('TUSD BE'!$AM$48+'TUSD BF'!$AM$48+'TUSD CVA'!$AM$48)*1</f>
        <v>657.94939927032419</v>
      </c>
      <c r="AA269" s="6">
        <f>('TE BE'!$AA$39+'TE BF'!$AA$39+'TE CVA'!$AA$39)*1</f>
        <v>256.69216484835653</v>
      </c>
      <c r="AB269" s="6">
        <f>$K$269*$V$269</f>
        <v>0</v>
      </c>
      <c r="AC269" s="6">
        <f>$M$269*$W$269</f>
        <v>33418.098570000002</v>
      </c>
      <c r="AD269" s="6">
        <f>$O$269*$X$269</f>
        <v>16521.10815</v>
      </c>
      <c r="AE269" s="6">
        <f>$K$269*$Y$269</f>
        <v>0</v>
      </c>
      <c r="AF269" s="6">
        <f ca="1">$M$269*$Z$269</f>
        <v>43160.822642733998</v>
      </c>
      <c r="AG269" s="6">
        <f>$O$269*$AA$269</f>
        <v>16838.749321887342</v>
      </c>
    </row>
    <row r="270" spans="1:33" ht="11.25" customHeight="1" x14ac:dyDescent="0.25">
      <c r="A270" s="4" t="s">
        <v>27</v>
      </c>
      <c r="B270" s="4" t="s">
        <v>32</v>
      </c>
      <c r="C270" s="4" t="s">
        <v>23</v>
      </c>
      <c r="D270" s="4" t="s">
        <v>38</v>
      </c>
      <c r="E270" s="4" t="s">
        <v>25</v>
      </c>
      <c r="F270" s="4" t="s">
        <v>25</v>
      </c>
      <c r="G270" s="4" t="s">
        <v>25</v>
      </c>
      <c r="H270" s="4" t="s">
        <v>25</v>
      </c>
      <c r="I270" s="5">
        <v>44621</v>
      </c>
      <c r="J270" s="6">
        <v>0</v>
      </c>
      <c r="K270" s="6">
        <v>0</v>
      </c>
      <c r="L270" s="6">
        <v>6.6639999999999997</v>
      </c>
      <c r="M270" s="6">
        <v>6.6639999999999997</v>
      </c>
      <c r="N270" s="6">
        <v>6.6639999999999997</v>
      </c>
      <c r="O270" s="6">
        <v>6.6639999999999997</v>
      </c>
      <c r="P270" s="6">
        <v>7</v>
      </c>
      <c r="Q270" s="4" t="s">
        <v>26</v>
      </c>
      <c r="R270" s="4">
        <v>0</v>
      </c>
      <c r="S270" s="6">
        <v>0</v>
      </c>
      <c r="T270" s="6">
        <v>44</v>
      </c>
      <c r="U270" s="6">
        <v>81</v>
      </c>
      <c r="V270" s="6">
        <f>IF(ISERROR(VLOOKUP($S$270,'TAR FIN'!$A$1:$O$85,15,0)),0,VLOOKUP($S$270,'TAR FIN'!$A$1:$O$85,15,0))</f>
        <v>0</v>
      </c>
      <c r="W270" s="6">
        <f>IF(ISERROR(VLOOKUP($T$270,'TAR FIN'!$A$1:$O$85,15,0)),0,VLOOKUP($T$270,'TAR FIN'!$A$1:$O$85,15,0))</f>
        <v>509.43</v>
      </c>
      <c r="X270" s="6">
        <f>IF(ISERROR(VLOOKUP($U$270,'TAR FIN'!$A$1:$O$85,15,0)),0,VLOOKUP($U$270,'TAR FIN'!$A$1:$O$85,15,0))</f>
        <v>251.85</v>
      </c>
      <c r="Y270" s="6"/>
      <c r="Z270" s="6">
        <f ca="1">('TUSD BE'!$AM$48+'TUSD BF'!$AM$48+'TUSD CVA'!$AM$48)*1</f>
        <v>657.94939927032419</v>
      </c>
      <c r="AA270" s="6">
        <f>('TE BE'!$AA$39+'TE BF'!$AA$39+'TE CVA'!$AA$39)*1</f>
        <v>256.69216484835653</v>
      </c>
      <c r="AB270" s="6">
        <f>$K$270*$V$270</f>
        <v>0</v>
      </c>
      <c r="AC270" s="6">
        <f>$M$270*$W$270</f>
        <v>3394.8415199999999</v>
      </c>
      <c r="AD270" s="6">
        <f>$O$270*$X$270</f>
        <v>1678.3283999999999</v>
      </c>
      <c r="AE270" s="6">
        <f>$K$270*$Y$270</f>
        <v>0</v>
      </c>
      <c r="AF270" s="6">
        <f ca="1">$M$270*$Z$270</f>
        <v>4384.57479673744</v>
      </c>
      <c r="AG270" s="6">
        <f>$O$270*$AA$270</f>
        <v>1710.5965865494479</v>
      </c>
    </row>
    <row r="271" spans="1:33" ht="11.25" customHeight="1" x14ac:dyDescent="0.25">
      <c r="A271" s="4" t="s">
        <v>21</v>
      </c>
      <c r="B271" s="4" t="s">
        <v>32</v>
      </c>
      <c r="C271" s="4" t="s">
        <v>23</v>
      </c>
      <c r="D271" s="4" t="s">
        <v>38</v>
      </c>
      <c r="E271" s="4" t="s">
        <v>25</v>
      </c>
      <c r="F271" s="4" t="s">
        <v>25</v>
      </c>
      <c r="G271" s="4" t="s">
        <v>25</v>
      </c>
      <c r="H271" s="4" t="s">
        <v>25</v>
      </c>
      <c r="I271" s="5">
        <v>44652</v>
      </c>
      <c r="J271" s="6">
        <v>0</v>
      </c>
      <c r="K271" s="6">
        <v>0</v>
      </c>
      <c r="L271" s="6">
        <v>60.774000000000001</v>
      </c>
      <c r="M271" s="6">
        <v>60.774000000000001</v>
      </c>
      <c r="N271" s="6">
        <v>60.774000000000001</v>
      </c>
      <c r="O271" s="6">
        <v>60.774000000000001</v>
      </c>
      <c r="P271" s="6">
        <v>207</v>
      </c>
      <c r="Q271" s="4" t="s">
        <v>26</v>
      </c>
      <c r="R271" s="4">
        <v>0</v>
      </c>
      <c r="S271" s="6">
        <v>0</v>
      </c>
      <c r="T271" s="6">
        <v>44</v>
      </c>
      <c r="U271" s="6">
        <v>81</v>
      </c>
      <c r="V271" s="6">
        <f>IF(ISERROR(VLOOKUP($S$271,'TAR FIN'!$A$1:$O$85,15,0)),0,VLOOKUP($S$271,'TAR FIN'!$A$1:$O$85,15,0))</f>
        <v>0</v>
      </c>
      <c r="W271" s="6">
        <f>IF(ISERROR(VLOOKUP($T$271,'TAR FIN'!$A$1:$O$85,15,0)),0,VLOOKUP($T$271,'TAR FIN'!$A$1:$O$85,15,0))</f>
        <v>509.43</v>
      </c>
      <c r="X271" s="6">
        <f>IF(ISERROR(VLOOKUP($U$271,'TAR FIN'!$A$1:$O$85,15,0)),0,VLOOKUP($U$271,'TAR FIN'!$A$1:$O$85,15,0))</f>
        <v>251.85</v>
      </c>
      <c r="Y271" s="6"/>
      <c r="Z271" s="6">
        <f ca="1">('TUSD BE'!$AM$48+'TUSD BF'!$AM$48+'TUSD CVA'!$AM$48)*1</f>
        <v>657.94939927032419</v>
      </c>
      <c r="AA271" s="6">
        <f>('TE BE'!$AA$39+'TE BF'!$AA$39+'TE CVA'!$AA$39)*1</f>
        <v>256.69216484835653</v>
      </c>
      <c r="AB271" s="6">
        <f>$K$271*$V$271</f>
        <v>0</v>
      </c>
      <c r="AC271" s="6">
        <f>$M$271*$W$271</f>
        <v>30960.098819999999</v>
      </c>
      <c r="AD271" s="6">
        <f>$O$271*$X$271</f>
        <v>15305.9319</v>
      </c>
      <c r="AE271" s="6">
        <f>$K$271*$Y$271</f>
        <v>0</v>
      </c>
      <c r="AF271" s="6">
        <f ca="1">$M$271*$Z$271</f>
        <v>39986.216791254687</v>
      </c>
      <c r="AG271" s="6">
        <f>$O$271*$AA$271</f>
        <v>15600.209626494019</v>
      </c>
    </row>
    <row r="272" spans="1:33" ht="11.25" customHeight="1" x14ac:dyDescent="0.25">
      <c r="A272" s="4" t="s">
        <v>27</v>
      </c>
      <c r="B272" s="4" t="s">
        <v>32</v>
      </c>
      <c r="C272" s="4" t="s">
        <v>23</v>
      </c>
      <c r="D272" s="4" t="s">
        <v>38</v>
      </c>
      <c r="E272" s="4" t="s">
        <v>25</v>
      </c>
      <c r="F272" s="4" t="s">
        <v>25</v>
      </c>
      <c r="G272" s="4" t="s">
        <v>25</v>
      </c>
      <c r="H272" s="4" t="s">
        <v>25</v>
      </c>
      <c r="I272" s="5">
        <v>44652</v>
      </c>
      <c r="J272" s="6">
        <v>0</v>
      </c>
      <c r="K272" s="6">
        <v>0</v>
      </c>
      <c r="L272" s="6">
        <v>4.4989999999999997</v>
      </c>
      <c r="M272" s="6">
        <v>4.4989999999999997</v>
      </c>
      <c r="N272" s="6">
        <v>4.4989999999999997</v>
      </c>
      <c r="O272" s="6">
        <v>4.4989999999999997</v>
      </c>
      <c r="P272" s="6">
        <v>7</v>
      </c>
      <c r="Q272" s="4" t="s">
        <v>26</v>
      </c>
      <c r="R272" s="4">
        <v>0</v>
      </c>
      <c r="S272" s="6">
        <v>0</v>
      </c>
      <c r="T272" s="6">
        <v>44</v>
      </c>
      <c r="U272" s="6">
        <v>81</v>
      </c>
      <c r="V272" s="6">
        <f>IF(ISERROR(VLOOKUP($S$272,'TAR FIN'!$A$1:$O$85,15,0)),0,VLOOKUP($S$272,'TAR FIN'!$A$1:$O$85,15,0))</f>
        <v>0</v>
      </c>
      <c r="W272" s="6">
        <f>IF(ISERROR(VLOOKUP($T$272,'TAR FIN'!$A$1:$O$85,15,0)),0,VLOOKUP($T$272,'TAR FIN'!$A$1:$O$85,15,0))</f>
        <v>509.43</v>
      </c>
      <c r="X272" s="6">
        <f>IF(ISERROR(VLOOKUP($U$272,'TAR FIN'!$A$1:$O$85,15,0)),0,VLOOKUP($U$272,'TAR FIN'!$A$1:$O$85,15,0))</f>
        <v>251.85</v>
      </c>
      <c r="Y272" s="6"/>
      <c r="Z272" s="6">
        <f ca="1">('TUSD BE'!$AM$48+'TUSD BF'!$AM$48+'TUSD CVA'!$AM$48)*1</f>
        <v>657.94939927032419</v>
      </c>
      <c r="AA272" s="6">
        <f>('TE BE'!$AA$39+'TE BF'!$AA$39+'TE CVA'!$AA$39)*1</f>
        <v>256.69216484835653</v>
      </c>
      <c r="AB272" s="6">
        <f>$K$272*$V$272</f>
        <v>0</v>
      </c>
      <c r="AC272" s="6">
        <f>$M$272*$W$272</f>
        <v>2291.9255699999999</v>
      </c>
      <c r="AD272" s="6">
        <f>$O$272*$X$272</f>
        <v>1133.0731499999999</v>
      </c>
      <c r="AE272" s="6">
        <f>$K$272*$Y$272</f>
        <v>0</v>
      </c>
      <c r="AF272" s="6">
        <f ca="1">$M$272*$Z$272</f>
        <v>2960.1143473171883</v>
      </c>
      <c r="AG272" s="6">
        <f>$O$272*$AA$272</f>
        <v>1154.8580496527559</v>
      </c>
    </row>
    <row r="273" spans="1:33" ht="11.25" customHeight="1" x14ac:dyDescent="0.25">
      <c r="A273" s="4" t="s">
        <v>21</v>
      </c>
      <c r="B273" s="4" t="s">
        <v>32</v>
      </c>
      <c r="C273" s="4" t="s">
        <v>23</v>
      </c>
      <c r="D273" s="4" t="s">
        <v>49</v>
      </c>
      <c r="E273" s="4" t="s">
        <v>25</v>
      </c>
      <c r="F273" s="4" t="s">
        <v>25</v>
      </c>
      <c r="G273" s="4" t="s">
        <v>25</v>
      </c>
      <c r="H273" s="4" t="s">
        <v>25</v>
      </c>
      <c r="I273" s="5">
        <v>44317</v>
      </c>
      <c r="J273" s="6">
        <v>0</v>
      </c>
      <c r="K273" s="6">
        <v>0</v>
      </c>
      <c r="L273" s="6">
        <v>2.827</v>
      </c>
      <c r="M273" s="6">
        <v>2.827</v>
      </c>
      <c r="N273" s="6">
        <v>2.827</v>
      </c>
      <c r="O273" s="6">
        <v>2.827</v>
      </c>
      <c r="P273" s="6">
        <v>3</v>
      </c>
      <c r="Q273" s="4" t="s">
        <v>26</v>
      </c>
      <c r="R273" s="4">
        <v>0</v>
      </c>
      <c r="S273" s="6">
        <v>0</v>
      </c>
      <c r="T273" s="6">
        <v>44</v>
      </c>
      <c r="U273" s="6">
        <v>81</v>
      </c>
      <c r="V273" s="6">
        <f>IF(ISERROR(VLOOKUP($S$273,'TAR FIN'!$A$1:$O$85,15,0)),0,VLOOKUP($S$273,'TAR FIN'!$A$1:$O$85,15,0))</f>
        <v>0</v>
      </c>
      <c r="W273" s="6">
        <f>IF(ISERROR(VLOOKUP($T$273,'TAR FIN'!$A$1:$O$85,15,0)),0,VLOOKUP($T$273,'TAR FIN'!$A$1:$O$85,15,0))</f>
        <v>509.43</v>
      </c>
      <c r="X273" s="6">
        <f>IF(ISERROR(VLOOKUP($U$273,'TAR FIN'!$A$1:$O$85,15,0)),0,VLOOKUP($U$273,'TAR FIN'!$A$1:$O$85,15,0))</f>
        <v>251.85</v>
      </c>
      <c r="Y273" s="6"/>
      <c r="Z273" s="6">
        <f ca="1">('TUSD BE'!$AM$48+'TUSD BF'!$AM$48+'TUSD CVA'!$AM$48)*1</f>
        <v>657.94939927032419</v>
      </c>
      <c r="AA273" s="6">
        <f>('TE BE'!$AA$39+'TE BF'!$AA$39+'TE CVA'!$AA$39)*1</f>
        <v>256.69216484835653</v>
      </c>
      <c r="AB273" s="6">
        <f>$K$273*$V$273</f>
        <v>0</v>
      </c>
      <c r="AC273" s="6">
        <f>$M$273*$W$273</f>
        <v>1440.15861</v>
      </c>
      <c r="AD273" s="6">
        <f>$O$273*$X$273</f>
        <v>711.97994999999992</v>
      </c>
      <c r="AE273" s="6">
        <f>$K$273*$Y$273</f>
        <v>0</v>
      </c>
      <c r="AF273" s="6">
        <f ca="1">$M$273*$Z$273</f>
        <v>1860.0229517372065</v>
      </c>
      <c r="AG273" s="6">
        <f>$O$273*$AA$273</f>
        <v>725.66875002630388</v>
      </c>
    </row>
    <row r="274" spans="1:33" ht="11.25" customHeight="1" x14ac:dyDescent="0.25">
      <c r="A274" s="4" t="s">
        <v>21</v>
      </c>
      <c r="B274" s="4" t="s">
        <v>32</v>
      </c>
      <c r="C274" s="4" t="s">
        <v>23</v>
      </c>
      <c r="D274" s="4" t="s">
        <v>49</v>
      </c>
      <c r="E274" s="4" t="s">
        <v>25</v>
      </c>
      <c r="F274" s="4" t="s">
        <v>25</v>
      </c>
      <c r="G274" s="4" t="s">
        <v>25</v>
      </c>
      <c r="H274" s="4" t="s">
        <v>25</v>
      </c>
      <c r="I274" s="5">
        <v>44348</v>
      </c>
      <c r="J274" s="6">
        <v>0</v>
      </c>
      <c r="K274" s="6">
        <v>0</v>
      </c>
      <c r="L274" s="6">
        <v>2.3570000000000002</v>
      </c>
      <c r="M274" s="6">
        <v>2.3570000000000002</v>
      </c>
      <c r="N274" s="6">
        <v>2.3570000000000002</v>
      </c>
      <c r="O274" s="6">
        <v>2.3570000000000002</v>
      </c>
      <c r="P274" s="6">
        <v>3</v>
      </c>
      <c r="Q274" s="4" t="s">
        <v>26</v>
      </c>
      <c r="R274" s="4">
        <v>0</v>
      </c>
      <c r="S274" s="6">
        <v>0</v>
      </c>
      <c r="T274" s="6">
        <v>44</v>
      </c>
      <c r="U274" s="6">
        <v>81</v>
      </c>
      <c r="V274" s="6">
        <f>IF(ISERROR(VLOOKUP($S$274,'TAR FIN'!$A$1:$O$85,15,0)),0,VLOOKUP($S$274,'TAR FIN'!$A$1:$O$85,15,0))</f>
        <v>0</v>
      </c>
      <c r="W274" s="6">
        <f>IF(ISERROR(VLOOKUP($T$274,'TAR FIN'!$A$1:$O$85,15,0)),0,VLOOKUP($T$274,'TAR FIN'!$A$1:$O$85,15,0))</f>
        <v>509.43</v>
      </c>
      <c r="X274" s="6">
        <f>IF(ISERROR(VLOOKUP($U$274,'TAR FIN'!$A$1:$O$85,15,0)),0,VLOOKUP($U$274,'TAR FIN'!$A$1:$O$85,15,0))</f>
        <v>251.85</v>
      </c>
      <c r="Y274" s="6"/>
      <c r="Z274" s="6">
        <f ca="1">('TUSD BE'!$AM$48+'TUSD BF'!$AM$48+'TUSD CVA'!$AM$48)*1</f>
        <v>657.94939927032419</v>
      </c>
      <c r="AA274" s="6">
        <f>('TE BE'!$AA$39+'TE BF'!$AA$39+'TE CVA'!$AA$39)*1</f>
        <v>256.69216484835653</v>
      </c>
      <c r="AB274" s="6">
        <f>$K$274*$V$274</f>
        <v>0</v>
      </c>
      <c r="AC274" s="6">
        <f>$M$274*$W$274</f>
        <v>1200.7265100000002</v>
      </c>
      <c r="AD274" s="6">
        <f>$O$274*$X$274</f>
        <v>593.61045000000001</v>
      </c>
      <c r="AE274" s="6">
        <f>$K$274*$Y$274</f>
        <v>0</v>
      </c>
      <c r="AF274" s="6">
        <f ca="1">$M$274*$Z$274</f>
        <v>1550.7867340801542</v>
      </c>
      <c r="AG274" s="6">
        <f>$O$274*$AA$274</f>
        <v>605.02343254757636</v>
      </c>
    </row>
    <row r="275" spans="1:33" ht="11.25" customHeight="1" x14ac:dyDescent="0.25">
      <c r="A275" s="4" t="s">
        <v>21</v>
      </c>
      <c r="B275" s="4" t="s">
        <v>32</v>
      </c>
      <c r="C275" s="4" t="s">
        <v>23</v>
      </c>
      <c r="D275" s="4" t="s">
        <v>49</v>
      </c>
      <c r="E275" s="4" t="s">
        <v>25</v>
      </c>
      <c r="F275" s="4" t="s">
        <v>25</v>
      </c>
      <c r="G275" s="4" t="s">
        <v>25</v>
      </c>
      <c r="H275" s="4" t="s">
        <v>25</v>
      </c>
      <c r="I275" s="5">
        <v>44378</v>
      </c>
      <c r="J275" s="6">
        <v>0</v>
      </c>
      <c r="K275" s="6">
        <v>0</v>
      </c>
      <c r="L275" s="6">
        <v>2.1869999999999998</v>
      </c>
      <c r="M275" s="6">
        <v>2.1869999999999998</v>
      </c>
      <c r="N275" s="6">
        <v>2.1869999999999998</v>
      </c>
      <c r="O275" s="6">
        <v>2.1869999999999998</v>
      </c>
      <c r="P275" s="6">
        <v>4</v>
      </c>
      <c r="Q275" s="4" t="s">
        <v>26</v>
      </c>
      <c r="R275" s="4">
        <v>0</v>
      </c>
      <c r="S275" s="6">
        <v>0</v>
      </c>
      <c r="T275" s="6">
        <v>44</v>
      </c>
      <c r="U275" s="6">
        <v>81</v>
      </c>
      <c r="V275" s="6">
        <f>IF(ISERROR(VLOOKUP($S$275,'TAR FIN'!$A$1:$O$85,15,0)),0,VLOOKUP($S$275,'TAR FIN'!$A$1:$O$85,15,0))</f>
        <v>0</v>
      </c>
      <c r="W275" s="6">
        <f>IF(ISERROR(VLOOKUP($T$275,'TAR FIN'!$A$1:$O$85,15,0)),0,VLOOKUP($T$275,'TAR FIN'!$A$1:$O$85,15,0))</f>
        <v>509.43</v>
      </c>
      <c r="X275" s="6">
        <f>IF(ISERROR(VLOOKUP($U$275,'TAR FIN'!$A$1:$O$85,15,0)),0,VLOOKUP($U$275,'TAR FIN'!$A$1:$O$85,15,0))</f>
        <v>251.85</v>
      </c>
      <c r="Y275" s="6"/>
      <c r="Z275" s="6">
        <f ca="1">('TUSD BE'!$AM$48+'TUSD BF'!$AM$48+'TUSD CVA'!$AM$48)*1</f>
        <v>657.94939927032419</v>
      </c>
      <c r="AA275" s="6">
        <f>('TE BE'!$AA$39+'TE BF'!$AA$39+'TE CVA'!$AA$39)*1</f>
        <v>256.69216484835653</v>
      </c>
      <c r="AB275" s="6">
        <f>$K$275*$V$275</f>
        <v>0</v>
      </c>
      <c r="AC275" s="6">
        <f>$M$275*$W$275</f>
        <v>1114.1234099999999</v>
      </c>
      <c r="AD275" s="6">
        <f>$O$275*$X$275</f>
        <v>550.79594999999995</v>
      </c>
      <c r="AE275" s="6">
        <f>$K$275*$Y$275</f>
        <v>0</v>
      </c>
      <c r="AF275" s="6">
        <f ca="1">$M$275*$Z$275</f>
        <v>1438.9353362041988</v>
      </c>
      <c r="AG275" s="6">
        <f>$O$275*$AA$275</f>
        <v>561.38576452335565</v>
      </c>
    </row>
    <row r="276" spans="1:33" ht="11.25" customHeight="1" x14ac:dyDescent="0.25">
      <c r="A276" s="4" t="s">
        <v>21</v>
      </c>
      <c r="B276" s="4" t="s">
        <v>32</v>
      </c>
      <c r="C276" s="4" t="s">
        <v>23</v>
      </c>
      <c r="D276" s="4" t="s">
        <v>49</v>
      </c>
      <c r="E276" s="4" t="s">
        <v>25</v>
      </c>
      <c r="F276" s="4" t="s">
        <v>25</v>
      </c>
      <c r="G276" s="4" t="s">
        <v>25</v>
      </c>
      <c r="H276" s="4" t="s">
        <v>25</v>
      </c>
      <c r="I276" s="5">
        <v>44409</v>
      </c>
      <c r="J276" s="6">
        <v>0</v>
      </c>
      <c r="K276" s="6">
        <v>0</v>
      </c>
      <c r="L276" s="6">
        <v>2.0830000000000002</v>
      </c>
      <c r="M276" s="6">
        <v>2.0830000000000002</v>
      </c>
      <c r="N276" s="6">
        <v>2.0830000000000002</v>
      </c>
      <c r="O276" s="6">
        <v>2.0830000000000002</v>
      </c>
      <c r="P276" s="6">
        <v>3</v>
      </c>
      <c r="Q276" s="4" t="s">
        <v>26</v>
      </c>
      <c r="R276" s="4">
        <v>0</v>
      </c>
      <c r="S276" s="6">
        <v>0</v>
      </c>
      <c r="T276" s="6">
        <v>44</v>
      </c>
      <c r="U276" s="6">
        <v>81</v>
      </c>
      <c r="V276" s="6">
        <f>IF(ISERROR(VLOOKUP($S$276,'TAR FIN'!$A$1:$O$85,15,0)),0,VLOOKUP($S$276,'TAR FIN'!$A$1:$O$85,15,0))</f>
        <v>0</v>
      </c>
      <c r="W276" s="6">
        <f>IF(ISERROR(VLOOKUP($T$276,'TAR FIN'!$A$1:$O$85,15,0)),0,VLOOKUP($T$276,'TAR FIN'!$A$1:$O$85,15,0))</f>
        <v>509.43</v>
      </c>
      <c r="X276" s="6">
        <f>IF(ISERROR(VLOOKUP($U$276,'TAR FIN'!$A$1:$O$85,15,0)),0,VLOOKUP($U$276,'TAR FIN'!$A$1:$O$85,15,0))</f>
        <v>251.85</v>
      </c>
      <c r="Y276" s="6"/>
      <c r="Z276" s="6">
        <f ca="1">('TUSD BE'!$AM$48+'TUSD BF'!$AM$48+'TUSD CVA'!$AM$48)*1</f>
        <v>657.94939927032419</v>
      </c>
      <c r="AA276" s="6">
        <f>('TE BE'!$AA$39+'TE BF'!$AA$39+'TE CVA'!$AA$39)*1</f>
        <v>256.69216484835653</v>
      </c>
      <c r="AB276" s="6">
        <f>$K$276*$V$276</f>
        <v>0</v>
      </c>
      <c r="AC276" s="6">
        <f>$M$276*$W$276</f>
        <v>1061.1426900000001</v>
      </c>
      <c r="AD276" s="6">
        <f>$O$276*$X$276</f>
        <v>524.60355000000004</v>
      </c>
      <c r="AE276" s="6">
        <f>$K$276*$Y$276</f>
        <v>0</v>
      </c>
      <c r="AF276" s="6">
        <f ca="1">$M$276*$Z$276</f>
        <v>1370.5085986800855</v>
      </c>
      <c r="AG276" s="6">
        <f>$O$276*$AA$276</f>
        <v>534.68977937912666</v>
      </c>
    </row>
    <row r="277" spans="1:33" ht="11.25" customHeight="1" x14ac:dyDescent="0.25">
      <c r="A277" s="4" t="s">
        <v>21</v>
      </c>
      <c r="B277" s="4" t="s">
        <v>32</v>
      </c>
      <c r="C277" s="4" t="s">
        <v>23</v>
      </c>
      <c r="D277" s="4" t="s">
        <v>49</v>
      </c>
      <c r="E277" s="4" t="s">
        <v>25</v>
      </c>
      <c r="F277" s="4" t="s">
        <v>25</v>
      </c>
      <c r="G277" s="4" t="s">
        <v>25</v>
      </c>
      <c r="H277" s="4" t="s">
        <v>25</v>
      </c>
      <c r="I277" s="5">
        <v>44440</v>
      </c>
      <c r="J277" s="6">
        <v>0</v>
      </c>
      <c r="K277" s="6">
        <v>0</v>
      </c>
      <c r="L277" s="6">
        <v>2.347</v>
      </c>
      <c r="M277" s="6">
        <v>2.347</v>
      </c>
      <c r="N277" s="6">
        <v>2.347</v>
      </c>
      <c r="O277" s="6">
        <v>2.347</v>
      </c>
      <c r="P277" s="6">
        <v>3</v>
      </c>
      <c r="Q277" s="4" t="s">
        <v>26</v>
      </c>
      <c r="R277" s="4">
        <v>0</v>
      </c>
      <c r="S277" s="6">
        <v>0</v>
      </c>
      <c r="T277" s="6">
        <v>44</v>
      </c>
      <c r="U277" s="6">
        <v>81</v>
      </c>
      <c r="V277" s="6">
        <f>IF(ISERROR(VLOOKUP($S$277,'TAR FIN'!$A$1:$O$85,15,0)),0,VLOOKUP($S$277,'TAR FIN'!$A$1:$O$85,15,0))</f>
        <v>0</v>
      </c>
      <c r="W277" s="6">
        <f>IF(ISERROR(VLOOKUP($T$277,'TAR FIN'!$A$1:$O$85,15,0)),0,VLOOKUP($T$277,'TAR FIN'!$A$1:$O$85,15,0))</f>
        <v>509.43</v>
      </c>
      <c r="X277" s="6">
        <f>IF(ISERROR(VLOOKUP($U$277,'TAR FIN'!$A$1:$O$85,15,0)),0,VLOOKUP($U$277,'TAR FIN'!$A$1:$O$85,15,0))</f>
        <v>251.85</v>
      </c>
      <c r="Y277" s="6"/>
      <c r="Z277" s="6">
        <f ca="1">('TUSD BE'!$AM$48+'TUSD BF'!$AM$48+'TUSD CVA'!$AM$48)*1</f>
        <v>657.94939927032419</v>
      </c>
      <c r="AA277" s="6">
        <f>('TE BE'!$AA$39+'TE BF'!$AA$39+'TE CVA'!$AA$39)*1</f>
        <v>256.69216484835653</v>
      </c>
      <c r="AB277" s="6">
        <f>$K$277*$V$277</f>
        <v>0</v>
      </c>
      <c r="AC277" s="6">
        <f>$M$277*$W$277</f>
        <v>1195.63221</v>
      </c>
      <c r="AD277" s="6">
        <f>$O$277*$X$277</f>
        <v>591.09195</v>
      </c>
      <c r="AE277" s="6">
        <f>$K$277*$Y$277</f>
        <v>0</v>
      </c>
      <c r="AF277" s="6">
        <f ca="1">$M$277*$Z$277</f>
        <v>1544.2072400874508</v>
      </c>
      <c r="AG277" s="6">
        <f>$O$277*$AA$277</f>
        <v>602.45651089909279</v>
      </c>
    </row>
    <row r="278" spans="1:33" ht="11.25" customHeight="1" x14ac:dyDescent="0.25">
      <c r="A278" s="4" t="s">
        <v>21</v>
      </c>
      <c r="B278" s="4" t="s">
        <v>32</v>
      </c>
      <c r="C278" s="4" t="s">
        <v>23</v>
      </c>
      <c r="D278" s="4" t="s">
        <v>49</v>
      </c>
      <c r="E278" s="4" t="s">
        <v>25</v>
      </c>
      <c r="F278" s="4" t="s">
        <v>25</v>
      </c>
      <c r="G278" s="4" t="s">
        <v>25</v>
      </c>
      <c r="H278" s="4" t="s">
        <v>25</v>
      </c>
      <c r="I278" s="5">
        <v>44470</v>
      </c>
      <c r="J278" s="6">
        <v>0</v>
      </c>
      <c r="K278" s="6">
        <v>0</v>
      </c>
      <c r="L278" s="6">
        <v>3.274</v>
      </c>
      <c r="M278" s="6">
        <v>3.274</v>
      </c>
      <c r="N278" s="6">
        <v>3.274</v>
      </c>
      <c r="O278" s="6">
        <v>3.274</v>
      </c>
      <c r="P278" s="6">
        <v>3</v>
      </c>
      <c r="Q278" s="4" t="s">
        <v>26</v>
      </c>
      <c r="R278" s="4">
        <v>0</v>
      </c>
      <c r="S278" s="6">
        <v>0</v>
      </c>
      <c r="T278" s="6">
        <v>44</v>
      </c>
      <c r="U278" s="6">
        <v>81</v>
      </c>
      <c r="V278" s="6">
        <f>IF(ISERROR(VLOOKUP($S$278,'TAR FIN'!$A$1:$O$85,15,0)),0,VLOOKUP($S$278,'TAR FIN'!$A$1:$O$85,15,0))</f>
        <v>0</v>
      </c>
      <c r="W278" s="6">
        <f>IF(ISERROR(VLOOKUP($T$278,'TAR FIN'!$A$1:$O$85,15,0)),0,VLOOKUP($T$278,'TAR FIN'!$A$1:$O$85,15,0))</f>
        <v>509.43</v>
      </c>
      <c r="X278" s="6">
        <f>IF(ISERROR(VLOOKUP($U$278,'TAR FIN'!$A$1:$O$85,15,0)),0,VLOOKUP($U$278,'TAR FIN'!$A$1:$O$85,15,0))</f>
        <v>251.85</v>
      </c>
      <c r="Y278" s="6"/>
      <c r="Z278" s="6">
        <f ca="1">('TUSD BE'!$AM$48+'TUSD BF'!$AM$48+'TUSD CVA'!$AM$48)*1</f>
        <v>657.94939927032419</v>
      </c>
      <c r="AA278" s="6">
        <f>('TE BE'!$AA$39+'TE BF'!$AA$39+'TE CVA'!$AA$39)*1</f>
        <v>256.69216484835653</v>
      </c>
      <c r="AB278" s="6">
        <f>$K$278*$V$278</f>
        <v>0</v>
      </c>
      <c r="AC278" s="6">
        <f>$M$278*$W$278</f>
        <v>1667.87382</v>
      </c>
      <c r="AD278" s="6">
        <f>$O$278*$X$278</f>
        <v>824.55690000000004</v>
      </c>
      <c r="AE278" s="6">
        <f>$K$278*$Y$278</f>
        <v>0</v>
      </c>
      <c r="AF278" s="6">
        <f ca="1">$M$278*$Z$278</f>
        <v>2154.1263332110416</v>
      </c>
      <c r="AG278" s="6">
        <f>$O$278*$AA$278</f>
        <v>840.41014771351922</v>
      </c>
    </row>
    <row r="279" spans="1:33" ht="11.25" customHeight="1" x14ac:dyDescent="0.25">
      <c r="A279" s="4" t="s">
        <v>21</v>
      </c>
      <c r="B279" s="4" t="s">
        <v>32</v>
      </c>
      <c r="C279" s="4" t="s">
        <v>23</v>
      </c>
      <c r="D279" s="4" t="s">
        <v>49</v>
      </c>
      <c r="E279" s="4" t="s">
        <v>25</v>
      </c>
      <c r="F279" s="4" t="s">
        <v>25</v>
      </c>
      <c r="G279" s="4" t="s">
        <v>25</v>
      </c>
      <c r="H279" s="4" t="s">
        <v>25</v>
      </c>
      <c r="I279" s="5">
        <v>44501</v>
      </c>
      <c r="J279" s="6">
        <v>0</v>
      </c>
      <c r="K279" s="6">
        <v>0</v>
      </c>
      <c r="L279" s="6">
        <v>3.4620000000000002</v>
      </c>
      <c r="M279" s="6">
        <v>3.4620000000000002</v>
      </c>
      <c r="N279" s="6">
        <v>3.4620000000000002</v>
      </c>
      <c r="O279" s="6">
        <v>3.4620000000000002</v>
      </c>
      <c r="P279" s="6">
        <v>3</v>
      </c>
      <c r="Q279" s="4" t="s">
        <v>26</v>
      </c>
      <c r="R279" s="4">
        <v>0</v>
      </c>
      <c r="S279" s="6">
        <v>0</v>
      </c>
      <c r="T279" s="6">
        <v>44</v>
      </c>
      <c r="U279" s="6">
        <v>81</v>
      </c>
      <c r="V279" s="6">
        <f>IF(ISERROR(VLOOKUP($S$279,'TAR FIN'!$A$1:$O$85,15,0)),0,VLOOKUP($S$279,'TAR FIN'!$A$1:$O$85,15,0))</f>
        <v>0</v>
      </c>
      <c r="W279" s="6">
        <f>IF(ISERROR(VLOOKUP($T$279,'TAR FIN'!$A$1:$O$85,15,0)),0,VLOOKUP($T$279,'TAR FIN'!$A$1:$O$85,15,0))</f>
        <v>509.43</v>
      </c>
      <c r="X279" s="6">
        <f>IF(ISERROR(VLOOKUP($U$279,'TAR FIN'!$A$1:$O$85,15,0)),0,VLOOKUP($U$279,'TAR FIN'!$A$1:$O$85,15,0))</f>
        <v>251.85</v>
      </c>
      <c r="Y279" s="6"/>
      <c r="Z279" s="6">
        <f ca="1">('TUSD BE'!$AM$48+'TUSD BF'!$AM$48+'TUSD CVA'!$AM$48)*1</f>
        <v>657.94939927032419</v>
      </c>
      <c r="AA279" s="6">
        <f>('TE BE'!$AA$39+'TE BF'!$AA$39+'TE CVA'!$AA$39)*1</f>
        <v>256.69216484835653</v>
      </c>
      <c r="AB279" s="6">
        <f>$K$279*$V$279</f>
        <v>0</v>
      </c>
      <c r="AC279" s="6">
        <f>$M$279*$W$279</f>
        <v>1763.6466600000001</v>
      </c>
      <c r="AD279" s="6">
        <f>$O$279*$X$279</f>
        <v>871.90470000000005</v>
      </c>
      <c r="AE279" s="6">
        <f>$K$279*$Y$279</f>
        <v>0</v>
      </c>
      <c r="AF279" s="6">
        <f ca="1">$M$279*$Z$279</f>
        <v>2277.8208202738624</v>
      </c>
      <c r="AG279" s="6">
        <f>$O$279*$AA$279</f>
        <v>888.66827470501039</v>
      </c>
    </row>
    <row r="280" spans="1:33" ht="11.25" customHeight="1" x14ac:dyDescent="0.25">
      <c r="A280" s="4" t="s">
        <v>21</v>
      </c>
      <c r="B280" s="4" t="s">
        <v>32</v>
      </c>
      <c r="C280" s="4" t="s">
        <v>23</v>
      </c>
      <c r="D280" s="4" t="s">
        <v>49</v>
      </c>
      <c r="E280" s="4" t="s">
        <v>25</v>
      </c>
      <c r="F280" s="4" t="s">
        <v>25</v>
      </c>
      <c r="G280" s="4" t="s">
        <v>25</v>
      </c>
      <c r="H280" s="4" t="s">
        <v>25</v>
      </c>
      <c r="I280" s="5">
        <v>44531</v>
      </c>
      <c r="J280" s="6">
        <v>0</v>
      </c>
      <c r="K280" s="6">
        <v>0</v>
      </c>
      <c r="L280" s="6">
        <v>4.07</v>
      </c>
      <c r="M280" s="6">
        <v>4.07</v>
      </c>
      <c r="N280" s="6">
        <v>4.07</v>
      </c>
      <c r="O280" s="6">
        <v>4.07</v>
      </c>
      <c r="P280" s="6">
        <v>3</v>
      </c>
      <c r="Q280" s="4" t="s">
        <v>26</v>
      </c>
      <c r="R280" s="4">
        <v>0</v>
      </c>
      <c r="S280" s="6">
        <v>0</v>
      </c>
      <c r="T280" s="6">
        <v>44</v>
      </c>
      <c r="U280" s="6">
        <v>81</v>
      </c>
      <c r="V280" s="6">
        <f>IF(ISERROR(VLOOKUP($S$280,'TAR FIN'!$A$1:$O$85,15,0)),0,VLOOKUP($S$280,'TAR FIN'!$A$1:$O$85,15,0))</f>
        <v>0</v>
      </c>
      <c r="W280" s="6">
        <f>IF(ISERROR(VLOOKUP($T$280,'TAR FIN'!$A$1:$O$85,15,0)),0,VLOOKUP($T$280,'TAR FIN'!$A$1:$O$85,15,0))</f>
        <v>509.43</v>
      </c>
      <c r="X280" s="6">
        <f>IF(ISERROR(VLOOKUP($U$280,'TAR FIN'!$A$1:$O$85,15,0)),0,VLOOKUP($U$280,'TAR FIN'!$A$1:$O$85,15,0))</f>
        <v>251.85</v>
      </c>
      <c r="Y280" s="6"/>
      <c r="Z280" s="6">
        <f ca="1">('TUSD BE'!$AM$48+'TUSD BF'!$AM$48+'TUSD CVA'!$AM$48)*1</f>
        <v>657.94939927032419</v>
      </c>
      <c r="AA280" s="6">
        <f>('TE BE'!$AA$39+'TE BF'!$AA$39+'TE CVA'!$AA$39)*1</f>
        <v>256.69216484835653</v>
      </c>
      <c r="AB280" s="6">
        <f>$K$280*$V$280</f>
        <v>0</v>
      </c>
      <c r="AC280" s="6">
        <f>$M$280*$W$280</f>
        <v>2073.3801000000003</v>
      </c>
      <c r="AD280" s="6">
        <f>$O$280*$X$280</f>
        <v>1025.0295000000001</v>
      </c>
      <c r="AE280" s="6">
        <f>$K$280*$Y$280</f>
        <v>0</v>
      </c>
      <c r="AF280" s="6">
        <f ca="1">$M$280*$Z$280</f>
        <v>2677.8540550302196</v>
      </c>
      <c r="AG280" s="6">
        <f>$O$280*$AA$280</f>
        <v>1044.7371109328112</v>
      </c>
    </row>
    <row r="281" spans="1:33" ht="11.25" customHeight="1" x14ac:dyDescent="0.25">
      <c r="A281" s="4" t="s">
        <v>21</v>
      </c>
      <c r="B281" s="4" t="s">
        <v>32</v>
      </c>
      <c r="C281" s="4" t="s">
        <v>23</v>
      </c>
      <c r="D281" s="4" t="s">
        <v>49</v>
      </c>
      <c r="E281" s="4" t="s">
        <v>25</v>
      </c>
      <c r="F281" s="4" t="s">
        <v>25</v>
      </c>
      <c r="G281" s="4" t="s">
        <v>25</v>
      </c>
      <c r="H281" s="4" t="s">
        <v>25</v>
      </c>
      <c r="I281" s="5">
        <v>44562</v>
      </c>
      <c r="J281" s="6">
        <v>0</v>
      </c>
      <c r="K281" s="6">
        <v>0</v>
      </c>
      <c r="L281" s="6">
        <v>3.7850000000000001</v>
      </c>
      <c r="M281" s="6">
        <v>3.7850000000000001</v>
      </c>
      <c r="N281" s="6">
        <v>3.7850000000000001</v>
      </c>
      <c r="O281" s="6">
        <v>3.7850000000000001</v>
      </c>
      <c r="P281" s="6">
        <v>3</v>
      </c>
      <c r="Q281" s="4" t="s">
        <v>26</v>
      </c>
      <c r="R281" s="4">
        <v>0</v>
      </c>
      <c r="S281" s="6">
        <v>0</v>
      </c>
      <c r="T281" s="6">
        <v>44</v>
      </c>
      <c r="U281" s="6">
        <v>81</v>
      </c>
      <c r="V281" s="6">
        <f>IF(ISERROR(VLOOKUP($S$281,'TAR FIN'!$A$1:$O$85,15,0)),0,VLOOKUP($S$281,'TAR FIN'!$A$1:$O$85,15,0))</f>
        <v>0</v>
      </c>
      <c r="W281" s="6">
        <f>IF(ISERROR(VLOOKUP($T$281,'TAR FIN'!$A$1:$O$85,15,0)),0,VLOOKUP($T$281,'TAR FIN'!$A$1:$O$85,15,0))</f>
        <v>509.43</v>
      </c>
      <c r="X281" s="6">
        <f>IF(ISERROR(VLOOKUP($U$281,'TAR FIN'!$A$1:$O$85,15,0)),0,VLOOKUP($U$281,'TAR FIN'!$A$1:$O$85,15,0))</f>
        <v>251.85</v>
      </c>
      <c r="Y281" s="6"/>
      <c r="Z281" s="6">
        <f ca="1">('TUSD BE'!$AM$48+'TUSD BF'!$AM$48+'TUSD CVA'!$AM$48)*1</f>
        <v>657.94939927032419</v>
      </c>
      <c r="AA281" s="6">
        <f>('TE BE'!$AA$39+'TE BF'!$AA$39+'TE CVA'!$AA$39)*1</f>
        <v>256.69216484835653</v>
      </c>
      <c r="AB281" s="6">
        <f>$K$281*$V$281</f>
        <v>0</v>
      </c>
      <c r="AC281" s="6">
        <f>$M$281*$W$281</f>
        <v>1928.1925500000002</v>
      </c>
      <c r="AD281" s="6">
        <f>$O$281*$X$281</f>
        <v>953.25225</v>
      </c>
      <c r="AE281" s="6">
        <f>$K$281*$Y$281</f>
        <v>0</v>
      </c>
      <c r="AF281" s="6">
        <f ca="1">$M$281*$Z$281</f>
        <v>2490.338476238177</v>
      </c>
      <c r="AG281" s="6">
        <f>$O$281*$AA$281</f>
        <v>971.57984395102949</v>
      </c>
    </row>
    <row r="282" spans="1:33" ht="11.25" customHeight="1" x14ac:dyDescent="0.25">
      <c r="A282" s="4" t="s">
        <v>21</v>
      </c>
      <c r="B282" s="4" t="s">
        <v>32</v>
      </c>
      <c r="C282" s="4" t="s">
        <v>23</v>
      </c>
      <c r="D282" s="4" t="s">
        <v>49</v>
      </c>
      <c r="E282" s="4" t="s">
        <v>25</v>
      </c>
      <c r="F282" s="4" t="s">
        <v>25</v>
      </c>
      <c r="G282" s="4" t="s">
        <v>25</v>
      </c>
      <c r="H282" s="4" t="s">
        <v>25</v>
      </c>
      <c r="I282" s="5">
        <v>44593</v>
      </c>
      <c r="J282" s="6">
        <v>0</v>
      </c>
      <c r="K282" s="6">
        <v>0</v>
      </c>
      <c r="L282" s="6">
        <v>3.6960000000000002</v>
      </c>
      <c r="M282" s="6">
        <v>3.6960000000000002</v>
      </c>
      <c r="N282" s="6">
        <v>3.6960000000000002</v>
      </c>
      <c r="O282" s="6">
        <v>3.6960000000000002</v>
      </c>
      <c r="P282" s="6">
        <v>3</v>
      </c>
      <c r="Q282" s="4" t="s">
        <v>26</v>
      </c>
      <c r="R282" s="4">
        <v>0</v>
      </c>
      <c r="S282" s="6">
        <v>0</v>
      </c>
      <c r="T282" s="6">
        <v>44</v>
      </c>
      <c r="U282" s="6">
        <v>81</v>
      </c>
      <c r="V282" s="6">
        <f>IF(ISERROR(VLOOKUP($S$282,'TAR FIN'!$A$1:$O$85,15,0)),0,VLOOKUP($S$282,'TAR FIN'!$A$1:$O$85,15,0))</f>
        <v>0</v>
      </c>
      <c r="W282" s="6">
        <f>IF(ISERROR(VLOOKUP($T$282,'TAR FIN'!$A$1:$O$85,15,0)),0,VLOOKUP($T$282,'TAR FIN'!$A$1:$O$85,15,0))</f>
        <v>509.43</v>
      </c>
      <c r="X282" s="6">
        <f>IF(ISERROR(VLOOKUP($U$282,'TAR FIN'!$A$1:$O$85,15,0)),0,VLOOKUP($U$282,'TAR FIN'!$A$1:$O$85,15,0))</f>
        <v>251.85</v>
      </c>
      <c r="Y282" s="6"/>
      <c r="Z282" s="6">
        <f ca="1">('TUSD BE'!$AM$48+'TUSD BF'!$AM$48+'TUSD CVA'!$AM$48)*1</f>
        <v>657.94939927032419</v>
      </c>
      <c r="AA282" s="6">
        <f>('TE BE'!$AA$39+'TE BF'!$AA$39+'TE CVA'!$AA$39)*1</f>
        <v>256.69216484835653</v>
      </c>
      <c r="AB282" s="6">
        <f>$K$282*$V$282</f>
        <v>0</v>
      </c>
      <c r="AC282" s="6">
        <f>$M$282*$W$282</f>
        <v>1882.85328</v>
      </c>
      <c r="AD282" s="6">
        <f>$O$282*$X$282</f>
        <v>930.83760000000007</v>
      </c>
      <c r="AE282" s="6">
        <f>$K$282*$Y$282</f>
        <v>0</v>
      </c>
      <c r="AF282" s="6">
        <f ca="1">$M$282*$Z$282</f>
        <v>2431.7809797031182</v>
      </c>
      <c r="AG282" s="6">
        <f>$O$282*$AA$282</f>
        <v>948.7342412795258</v>
      </c>
    </row>
    <row r="283" spans="1:33" ht="11.25" customHeight="1" x14ac:dyDescent="0.25">
      <c r="A283" s="4" t="s">
        <v>21</v>
      </c>
      <c r="B283" s="4" t="s">
        <v>32</v>
      </c>
      <c r="C283" s="4" t="s">
        <v>23</v>
      </c>
      <c r="D283" s="4" t="s">
        <v>49</v>
      </c>
      <c r="E283" s="4" t="s">
        <v>25</v>
      </c>
      <c r="F283" s="4" t="s">
        <v>25</v>
      </c>
      <c r="G283" s="4" t="s">
        <v>25</v>
      </c>
      <c r="H283" s="4" t="s">
        <v>25</v>
      </c>
      <c r="I283" s="5">
        <v>44621</v>
      </c>
      <c r="J283" s="6">
        <v>0</v>
      </c>
      <c r="K283" s="6">
        <v>0</v>
      </c>
      <c r="L283" s="6">
        <v>3.9830000000000001</v>
      </c>
      <c r="M283" s="6">
        <v>3.9830000000000001</v>
      </c>
      <c r="N283" s="6">
        <v>3.9830000000000001</v>
      </c>
      <c r="O283" s="6">
        <v>3.9830000000000001</v>
      </c>
      <c r="P283" s="6">
        <v>3</v>
      </c>
      <c r="Q283" s="4" t="s">
        <v>26</v>
      </c>
      <c r="R283" s="4">
        <v>0</v>
      </c>
      <c r="S283" s="6">
        <v>0</v>
      </c>
      <c r="T283" s="6">
        <v>44</v>
      </c>
      <c r="U283" s="6">
        <v>81</v>
      </c>
      <c r="V283" s="6">
        <f>IF(ISERROR(VLOOKUP($S$283,'TAR FIN'!$A$1:$O$85,15,0)),0,VLOOKUP($S$283,'TAR FIN'!$A$1:$O$85,15,0))</f>
        <v>0</v>
      </c>
      <c r="W283" s="6">
        <f>IF(ISERROR(VLOOKUP($T$283,'TAR FIN'!$A$1:$O$85,15,0)),0,VLOOKUP($T$283,'TAR FIN'!$A$1:$O$85,15,0))</f>
        <v>509.43</v>
      </c>
      <c r="X283" s="6">
        <f>IF(ISERROR(VLOOKUP($U$283,'TAR FIN'!$A$1:$O$85,15,0)),0,VLOOKUP($U$283,'TAR FIN'!$A$1:$O$85,15,0))</f>
        <v>251.85</v>
      </c>
      <c r="Y283" s="6"/>
      <c r="Z283" s="6">
        <f ca="1">('TUSD BE'!$AM$48+'TUSD BF'!$AM$48+'TUSD CVA'!$AM$48)*1</f>
        <v>657.94939927032419</v>
      </c>
      <c r="AA283" s="6">
        <f>('TE BE'!$AA$39+'TE BF'!$AA$39+'TE CVA'!$AA$39)*1</f>
        <v>256.69216484835653</v>
      </c>
      <c r="AB283" s="6">
        <f>$K$283*$V$283</f>
        <v>0</v>
      </c>
      <c r="AC283" s="6">
        <f>$M$283*$W$283</f>
        <v>2029.05969</v>
      </c>
      <c r="AD283" s="6">
        <f>$O$283*$X$283</f>
        <v>1003.11855</v>
      </c>
      <c r="AE283" s="6">
        <f>$K$283*$Y$283</f>
        <v>0</v>
      </c>
      <c r="AF283" s="6">
        <f ca="1">$M$283*$Z$283</f>
        <v>2620.6124572937015</v>
      </c>
      <c r="AG283" s="6">
        <f>$O$283*$AA$283</f>
        <v>1022.4048925910041</v>
      </c>
    </row>
    <row r="284" spans="1:33" ht="11.25" customHeight="1" x14ac:dyDescent="0.25">
      <c r="A284" s="4" t="s">
        <v>21</v>
      </c>
      <c r="B284" s="4" t="s">
        <v>32</v>
      </c>
      <c r="C284" s="4" t="s">
        <v>23</v>
      </c>
      <c r="D284" s="4" t="s">
        <v>49</v>
      </c>
      <c r="E284" s="4" t="s">
        <v>25</v>
      </c>
      <c r="F284" s="4" t="s">
        <v>25</v>
      </c>
      <c r="G284" s="4" t="s">
        <v>25</v>
      </c>
      <c r="H284" s="4" t="s">
        <v>25</v>
      </c>
      <c r="I284" s="5">
        <v>44652</v>
      </c>
      <c r="J284" s="6">
        <v>0</v>
      </c>
      <c r="K284" s="6">
        <v>0</v>
      </c>
      <c r="L284" s="6">
        <v>3.556</v>
      </c>
      <c r="M284" s="6">
        <v>3.556</v>
      </c>
      <c r="N284" s="6">
        <v>3.556</v>
      </c>
      <c r="O284" s="6">
        <v>3.556</v>
      </c>
      <c r="P284" s="6">
        <v>3</v>
      </c>
      <c r="Q284" s="4" t="s">
        <v>26</v>
      </c>
      <c r="R284" s="4">
        <v>0</v>
      </c>
      <c r="S284" s="6">
        <v>0</v>
      </c>
      <c r="T284" s="6">
        <v>44</v>
      </c>
      <c r="U284" s="6">
        <v>81</v>
      </c>
      <c r="V284" s="6">
        <f>IF(ISERROR(VLOOKUP($S$284,'TAR FIN'!$A$1:$O$85,15,0)),0,VLOOKUP($S$284,'TAR FIN'!$A$1:$O$85,15,0))</f>
        <v>0</v>
      </c>
      <c r="W284" s="6">
        <f>IF(ISERROR(VLOOKUP($T$284,'TAR FIN'!$A$1:$O$85,15,0)),0,VLOOKUP($T$284,'TAR FIN'!$A$1:$O$85,15,0))</f>
        <v>509.43</v>
      </c>
      <c r="X284" s="6">
        <f>IF(ISERROR(VLOOKUP($U$284,'TAR FIN'!$A$1:$O$85,15,0)),0,VLOOKUP($U$284,'TAR FIN'!$A$1:$O$85,15,0))</f>
        <v>251.85</v>
      </c>
      <c r="Y284" s="6"/>
      <c r="Z284" s="6">
        <f ca="1">('TUSD BE'!$AM$48+'TUSD BF'!$AM$48+'TUSD CVA'!$AM$48)*1</f>
        <v>657.94939927032419</v>
      </c>
      <c r="AA284" s="6">
        <f>('TE BE'!$AA$39+'TE BF'!$AA$39+'TE CVA'!$AA$39)*1</f>
        <v>256.69216484835653</v>
      </c>
      <c r="AB284" s="6">
        <f>$K$284*$V$284</f>
        <v>0</v>
      </c>
      <c r="AC284" s="6">
        <f>$M$284*$W$284</f>
        <v>1811.5330800000002</v>
      </c>
      <c r="AD284" s="6">
        <f>$O$284*$X$284</f>
        <v>895.57859999999994</v>
      </c>
      <c r="AE284" s="6">
        <f>$K$284*$Y$284</f>
        <v>0</v>
      </c>
      <c r="AF284" s="6">
        <f ca="1">$M$284*$Z$284</f>
        <v>2339.6680638052731</v>
      </c>
      <c r="AG284" s="6">
        <f>$O$284*$AA$284</f>
        <v>912.7973382007558</v>
      </c>
    </row>
    <row r="285" spans="1:33" ht="11.25" customHeight="1" x14ac:dyDescent="0.25">
      <c r="A285" s="4" t="s">
        <v>21</v>
      </c>
      <c r="B285" s="4" t="s">
        <v>32</v>
      </c>
      <c r="C285" s="4" t="s">
        <v>23</v>
      </c>
      <c r="D285" s="4" t="s">
        <v>33</v>
      </c>
      <c r="E285" s="4" t="s">
        <v>25</v>
      </c>
      <c r="F285" s="4" t="s">
        <v>25</v>
      </c>
      <c r="G285" s="4" t="s">
        <v>25</v>
      </c>
      <c r="H285" s="4" t="s">
        <v>25</v>
      </c>
      <c r="I285" s="5">
        <v>44317</v>
      </c>
      <c r="J285" s="6">
        <v>0</v>
      </c>
      <c r="K285" s="6">
        <v>0</v>
      </c>
      <c r="L285" s="6">
        <v>0.35</v>
      </c>
      <c r="M285" s="6">
        <v>0.35</v>
      </c>
      <c r="N285" s="6">
        <v>0.35</v>
      </c>
      <c r="O285" s="6">
        <v>0.35</v>
      </c>
      <c r="P285" s="6">
        <v>3</v>
      </c>
      <c r="Q285" s="4" t="s">
        <v>26</v>
      </c>
      <c r="R285" s="4">
        <v>0</v>
      </c>
      <c r="S285" s="6">
        <v>0</v>
      </c>
      <c r="T285" s="6">
        <v>44</v>
      </c>
      <c r="U285" s="6">
        <v>81</v>
      </c>
      <c r="V285" s="6">
        <f>IF(ISERROR(VLOOKUP($S$285,'TAR FIN'!$A$1:$O$85,15,0)),0,VLOOKUP($S$285,'TAR FIN'!$A$1:$O$85,15,0))</f>
        <v>0</v>
      </c>
      <c r="W285" s="6">
        <f>IF(ISERROR(VLOOKUP($T$285,'TAR FIN'!$A$1:$O$85,15,0)),0,VLOOKUP($T$285,'TAR FIN'!$A$1:$O$85,15,0))</f>
        <v>509.43</v>
      </c>
      <c r="X285" s="6">
        <f>IF(ISERROR(VLOOKUP($U$285,'TAR FIN'!$A$1:$O$85,15,0)),0,VLOOKUP($U$285,'TAR FIN'!$A$1:$O$85,15,0))</f>
        <v>251.85</v>
      </c>
      <c r="Y285" s="6"/>
      <c r="Z285" s="6">
        <f ca="1">('TUSD BE'!$AM$48+'TUSD BF'!$AM$48+'TUSD CVA'!$AM$48)*1</f>
        <v>657.94939927032419</v>
      </c>
      <c r="AA285" s="6">
        <f>('TE BE'!$AA$39+'TE BF'!$AA$39+'TE CVA'!$AA$39)*1</f>
        <v>256.69216484835653</v>
      </c>
      <c r="AB285" s="6">
        <f>$K$285*$V$285</f>
        <v>0</v>
      </c>
      <c r="AC285" s="6">
        <f>$M$285*$W$285</f>
        <v>178.3005</v>
      </c>
      <c r="AD285" s="6">
        <f>$O$285*$X$285</f>
        <v>88.147499999999994</v>
      </c>
      <c r="AE285" s="6">
        <f>$K$285*$Y$285</f>
        <v>0</v>
      </c>
      <c r="AF285" s="6">
        <f ca="1">$M$285*$Z$285</f>
        <v>230.28228974461345</v>
      </c>
      <c r="AG285" s="6">
        <f>$O$285*$AA$285</f>
        <v>89.842257696924776</v>
      </c>
    </row>
    <row r="286" spans="1:33" ht="11.25" customHeight="1" x14ac:dyDescent="0.25">
      <c r="A286" s="4" t="s">
        <v>21</v>
      </c>
      <c r="B286" s="4" t="s">
        <v>32</v>
      </c>
      <c r="C286" s="4" t="s">
        <v>23</v>
      </c>
      <c r="D286" s="4" t="s">
        <v>33</v>
      </c>
      <c r="E286" s="4" t="s">
        <v>25</v>
      </c>
      <c r="F286" s="4" t="s">
        <v>25</v>
      </c>
      <c r="G286" s="4" t="s">
        <v>25</v>
      </c>
      <c r="H286" s="4" t="s">
        <v>25</v>
      </c>
      <c r="I286" s="5">
        <v>44348</v>
      </c>
      <c r="J286" s="6">
        <v>0</v>
      </c>
      <c r="K286" s="6">
        <v>0</v>
      </c>
      <c r="L286" s="6">
        <v>0.36299999999999999</v>
      </c>
      <c r="M286" s="6">
        <v>0.36299999999999999</v>
      </c>
      <c r="N286" s="6">
        <v>0.36299999999999999</v>
      </c>
      <c r="O286" s="6">
        <v>0.36299999999999999</v>
      </c>
      <c r="P286" s="6">
        <v>3</v>
      </c>
      <c r="Q286" s="4" t="s">
        <v>26</v>
      </c>
      <c r="R286" s="4">
        <v>0</v>
      </c>
      <c r="S286" s="6">
        <v>0</v>
      </c>
      <c r="T286" s="6">
        <v>44</v>
      </c>
      <c r="U286" s="6">
        <v>81</v>
      </c>
      <c r="V286" s="6">
        <f>IF(ISERROR(VLOOKUP($S$286,'TAR FIN'!$A$1:$O$85,15,0)),0,VLOOKUP($S$286,'TAR FIN'!$A$1:$O$85,15,0))</f>
        <v>0</v>
      </c>
      <c r="W286" s="6">
        <f>IF(ISERROR(VLOOKUP($T$286,'TAR FIN'!$A$1:$O$85,15,0)),0,VLOOKUP($T$286,'TAR FIN'!$A$1:$O$85,15,0))</f>
        <v>509.43</v>
      </c>
      <c r="X286" s="6">
        <f>IF(ISERROR(VLOOKUP($U$286,'TAR FIN'!$A$1:$O$85,15,0)),0,VLOOKUP($U$286,'TAR FIN'!$A$1:$O$85,15,0))</f>
        <v>251.85</v>
      </c>
      <c r="Y286" s="6"/>
      <c r="Z286" s="6">
        <f ca="1">('TUSD BE'!$AM$48+'TUSD BF'!$AM$48+'TUSD CVA'!$AM$48)*1</f>
        <v>657.94939927032419</v>
      </c>
      <c r="AA286" s="6">
        <f>('TE BE'!$AA$39+'TE BF'!$AA$39+'TE CVA'!$AA$39)*1</f>
        <v>256.69216484835653</v>
      </c>
      <c r="AB286" s="6">
        <f>$K$286*$V$286</f>
        <v>0</v>
      </c>
      <c r="AC286" s="6">
        <f>$M$286*$W$286</f>
        <v>184.92309</v>
      </c>
      <c r="AD286" s="6">
        <f>$O$286*$X$286</f>
        <v>91.421549999999996</v>
      </c>
      <c r="AE286" s="6">
        <f>$K$286*$Y$286</f>
        <v>0</v>
      </c>
      <c r="AF286" s="6">
        <f ca="1">$M$286*$Z$286</f>
        <v>238.83563193512768</v>
      </c>
      <c r="AG286" s="6">
        <f>$O$286*$AA$286</f>
        <v>93.179255839953413</v>
      </c>
    </row>
    <row r="287" spans="1:33" ht="11.25" customHeight="1" x14ac:dyDescent="0.25">
      <c r="A287" s="4" t="s">
        <v>21</v>
      </c>
      <c r="B287" s="4" t="s">
        <v>32</v>
      </c>
      <c r="C287" s="4" t="s">
        <v>23</v>
      </c>
      <c r="D287" s="4" t="s">
        <v>33</v>
      </c>
      <c r="E287" s="4" t="s">
        <v>25</v>
      </c>
      <c r="F287" s="4" t="s">
        <v>25</v>
      </c>
      <c r="G287" s="4" t="s">
        <v>25</v>
      </c>
      <c r="H287" s="4" t="s">
        <v>25</v>
      </c>
      <c r="I287" s="5">
        <v>44378</v>
      </c>
      <c r="J287" s="6">
        <v>0</v>
      </c>
      <c r="K287" s="6">
        <v>0</v>
      </c>
      <c r="L287" s="6">
        <v>0.35699999999999998</v>
      </c>
      <c r="M287" s="6">
        <v>0.35699999999999998</v>
      </c>
      <c r="N287" s="6">
        <v>0.35699999999999998</v>
      </c>
      <c r="O287" s="6">
        <v>0.35699999999999998</v>
      </c>
      <c r="P287" s="6">
        <v>3</v>
      </c>
      <c r="Q287" s="4" t="s">
        <v>26</v>
      </c>
      <c r="R287" s="4">
        <v>0</v>
      </c>
      <c r="S287" s="6">
        <v>0</v>
      </c>
      <c r="T287" s="6">
        <v>44</v>
      </c>
      <c r="U287" s="6">
        <v>81</v>
      </c>
      <c r="V287" s="6">
        <f>IF(ISERROR(VLOOKUP($S$287,'TAR FIN'!$A$1:$O$85,15,0)),0,VLOOKUP($S$287,'TAR FIN'!$A$1:$O$85,15,0))</f>
        <v>0</v>
      </c>
      <c r="W287" s="6">
        <f>IF(ISERROR(VLOOKUP($T$287,'TAR FIN'!$A$1:$O$85,15,0)),0,VLOOKUP($T$287,'TAR FIN'!$A$1:$O$85,15,0))</f>
        <v>509.43</v>
      </c>
      <c r="X287" s="6">
        <f>IF(ISERROR(VLOOKUP($U$287,'TAR FIN'!$A$1:$O$85,15,0)),0,VLOOKUP($U$287,'TAR FIN'!$A$1:$O$85,15,0))</f>
        <v>251.85</v>
      </c>
      <c r="Y287" s="6"/>
      <c r="Z287" s="6">
        <f ca="1">('TUSD BE'!$AM$48+'TUSD BF'!$AM$48+'TUSD CVA'!$AM$48)*1</f>
        <v>657.94939927032419</v>
      </c>
      <c r="AA287" s="6">
        <f>('TE BE'!$AA$39+'TE BF'!$AA$39+'TE CVA'!$AA$39)*1</f>
        <v>256.69216484835653</v>
      </c>
      <c r="AB287" s="6">
        <f>$K$287*$V$287</f>
        <v>0</v>
      </c>
      <c r="AC287" s="6">
        <f>$M$287*$W$287</f>
        <v>181.86651000000001</v>
      </c>
      <c r="AD287" s="6">
        <f>$O$287*$X$287</f>
        <v>89.910449999999997</v>
      </c>
      <c r="AE287" s="6">
        <f>$K$287*$Y$287</f>
        <v>0</v>
      </c>
      <c r="AF287" s="6">
        <f ca="1">$M$287*$Z$287</f>
        <v>234.88793553950572</v>
      </c>
      <c r="AG287" s="6">
        <f>$O$287*$AA$287</f>
        <v>91.639102850863281</v>
      </c>
    </row>
    <row r="288" spans="1:33" ht="11.25" customHeight="1" x14ac:dyDescent="0.25">
      <c r="A288" s="4" t="s">
        <v>21</v>
      </c>
      <c r="B288" s="4" t="s">
        <v>32</v>
      </c>
      <c r="C288" s="4" t="s">
        <v>23</v>
      </c>
      <c r="D288" s="4" t="s">
        <v>33</v>
      </c>
      <c r="E288" s="4" t="s">
        <v>25</v>
      </c>
      <c r="F288" s="4" t="s">
        <v>25</v>
      </c>
      <c r="G288" s="4" t="s">
        <v>25</v>
      </c>
      <c r="H288" s="4" t="s">
        <v>25</v>
      </c>
      <c r="I288" s="5">
        <v>44409</v>
      </c>
      <c r="J288" s="6">
        <v>0</v>
      </c>
      <c r="K288" s="6">
        <v>0</v>
      </c>
      <c r="L288" s="6">
        <v>0.39</v>
      </c>
      <c r="M288" s="6">
        <v>0.39</v>
      </c>
      <c r="N288" s="6">
        <v>0.39</v>
      </c>
      <c r="O288" s="6">
        <v>0.39</v>
      </c>
      <c r="P288" s="6">
        <v>3</v>
      </c>
      <c r="Q288" s="4" t="s">
        <v>26</v>
      </c>
      <c r="R288" s="4">
        <v>0</v>
      </c>
      <c r="S288" s="6">
        <v>0</v>
      </c>
      <c r="T288" s="6">
        <v>44</v>
      </c>
      <c r="U288" s="6">
        <v>81</v>
      </c>
      <c r="V288" s="6">
        <f>IF(ISERROR(VLOOKUP($S$288,'TAR FIN'!$A$1:$O$85,15,0)),0,VLOOKUP($S$288,'TAR FIN'!$A$1:$O$85,15,0))</f>
        <v>0</v>
      </c>
      <c r="W288" s="6">
        <f>IF(ISERROR(VLOOKUP($T$288,'TAR FIN'!$A$1:$O$85,15,0)),0,VLOOKUP($T$288,'TAR FIN'!$A$1:$O$85,15,0))</f>
        <v>509.43</v>
      </c>
      <c r="X288" s="6">
        <f>IF(ISERROR(VLOOKUP($U$288,'TAR FIN'!$A$1:$O$85,15,0)),0,VLOOKUP($U$288,'TAR FIN'!$A$1:$O$85,15,0))</f>
        <v>251.85</v>
      </c>
      <c r="Y288" s="6"/>
      <c r="Z288" s="6">
        <f ca="1">('TUSD BE'!$AM$48+'TUSD BF'!$AM$48+'TUSD CVA'!$AM$48)*1</f>
        <v>657.94939927032419</v>
      </c>
      <c r="AA288" s="6">
        <f>('TE BE'!$AA$39+'TE BF'!$AA$39+'TE CVA'!$AA$39)*1</f>
        <v>256.69216484835653</v>
      </c>
      <c r="AB288" s="6">
        <f>$K$288*$V$288</f>
        <v>0</v>
      </c>
      <c r="AC288" s="6">
        <f>$M$288*$W$288</f>
        <v>198.67770000000002</v>
      </c>
      <c r="AD288" s="6">
        <f>$O$288*$X$288</f>
        <v>98.221500000000006</v>
      </c>
      <c r="AE288" s="6">
        <f>$K$288*$Y$288</f>
        <v>0</v>
      </c>
      <c r="AF288" s="6">
        <f ca="1">$M$288*$Z$288</f>
        <v>256.60026571542642</v>
      </c>
      <c r="AG288" s="6">
        <f>$O$288*$AA$288</f>
        <v>100.10994429085905</v>
      </c>
    </row>
    <row r="289" spans="1:33" ht="11.25" customHeight="1" x14ac:dyDescent="0.25">
      <c r="A289" s="4" t="s">
        <v>21</v>
      </c>
      <c r="B289" s="4" t="s">
        <v>32</v>
      </c>
      <c r="C289" s="4" t="s">
        <v>23</v>
      </c>
      <c r="D289" s="4" t="s">
        <v>33</v>
      </c>
      <c r="E289" s="4" t="s">
        <v>25</v>
      </c>
      <c r="F289" s="4" t="s">
        <v>25</v>
      </c>
      <c r="G289" s="4" t="s">
        <v>25</v>
      </c>
      <c r="H289" s="4" t="s">
        <v>25</v>
      </c>
      <c r="I289" s="5">
        <v>44440</v>
      </c>
      <c r="J289" s="6">
        <v>0</v>
      </c>
      <c r="K289" s="6">
        <v>0</v>
      </c>
      <c r="L289" s="6">
        <v>0.41199999999999998</v>
      </c>
      <c r="M289" s="6">
        <v>0.41199999999999998</v>
      </c>
      <c r="N289" s="6">
        <v>0.41199999999999998</v>
      </c>
      <c r="O289" s="6">
        <v>0.41199999999999998</v>
      </c>
      <c r="P289" s="6">
        <v>3</v>
      </c>
      <c r="Q289" s="4" t="s">
        <v>26</v>
      </c>
      <c r="R289" s="4">
        <v>0</v>
      </c>
      <c r="S289" s="6">
        <v>0</v>
      </c>
      <c r="T289" s="6">
        <v>44</v>
      </c>
      <c r="U289" s="6">
        <v>81</v>
      </c>
      <c r="V289" s="6">
        <f>IF(ISERROR(VLOOKUP($S$289,'TAR FIN'!$A$1:$O$85,15,0)),0,VLOOKUP($S$289,'TAR FIN'!$A$1:$O$85,15,0))</f>
        <v>0</v>
      </c>
      <c r="W289" s="6">
        <f>IF(ISERROR(VLOOKUP($T$289,'TAR FIN'!$A$1:$O$85,15,0)),0,VLOOKUP($T$289,'TAR FIN'!$A$1:$O$85,15,0))</f>
        <v>509.43</v>
      </c>
      <c r="X289" s="6">
        <f>IF(ISERROR(VLOOKUP($U$289,'TAR FIN'!$A$1:$O$85,15,0)),0,VLOOKUP($U$289,'TAR FIN'!$A$1:$O$85,15,0))</f>
        <v>251.85</v>
      </c>
      <c r="Y289" s="6"/>
      <c r="Z289" s="6">
        <f ca="1">('TUSD BE'!$AM$48+'TUSD BF'!$AM$48+'TUSD CVA'!$AM$48)*1</f>
        <v>657.94939927032419</v>
      </c>
      <c r="AA289" s="6">
        <f>('TE BE'!$AA$39+'TE BF'!$AA$39+'TE CVA'!$AA$39)*1</f>
        <v>256.69216484835653</v>
      </c>
      <c r="AB289" s="6">
        <f>$K$289*$V$289</f>
        <v>0</v>
      </c>
      <c r="AC289" s="6">
        <f>$M$289*$W$289</f>
        <v>209.88515999999998</v>
      </c>
      <c r="AD289" s="6">
        <f>$O$289*$X$289</f>
        <v>103.76219999999999</v>
      </c>
      <c r="AE289" s="6">
        <f>$K$289*$Y$289</f>
        <v>0</v>
      </c>
      <c r="AF289" s="6">
        <f ca="1">$M$289*$Z$289</f>
        <v>271.07515249937353</v>
      </c>
      <c r="AG289" s="6">
        <f>$O$289*$AA$289</f>
        <v>105.75717191752288</v>
      </c>
    </row>
    <row r="290" spans="1:33" ht="11.25" customHeight="1" x14ac:dyDescent="0.25">
      <c r="A290" s="4" t="s">
        <v>21</v>
      </c>
      <c r="B290" s="4" t="s">
        <v>32</v>
      </c>
      <c r="C290" s="4" t="s">
        <v>23</v>
      </c>
      <c r="D290" s="4" t="s">
        <v>33</v>
      </c>
      <c r="E290" s="4" t="s">
        <v>25</v>
      </c>
      <c r="F290" s="4" t="s">
        <v>25</v>
      </c>
      <c r="G290" s="4" t="s">
        <v>25</v>
      </c>
      <c r="H290" s="4" t="s">
        <v>25</v>
      </c>
      <c r="I290" s="5">
        <v>44470</v>
      </c>
      <c r="J290" s="6">
        <v>0</v>
      </c>
      <c r="K290" s="6">
        <v>0</v>
      </c>
      <c r="L290" s="6">
        <v>0.437</v>
      </c>
      <c r="M290" s="6">
        <v>0.437</v>
      </c>
      <c r="N290" s="6">
        <v>0.437</v>
      </c>
      <c r="O290" s="6">
        <v>0.437</v>
      </c>
      <c r="P290" s="6">
        <v>3</v>
      </c>
      <c r="Q290" s="4" t="s">
        <v>26</v>
      </c>
      <c r="R290" s="4">
        <v>0</v>
      </c>
      <c r="S290" s="6">
        <v>0</v>
      </c>
      <c r="T290" s="6">
        <v>44</v>
      </c>
      <c r="U290" s="6">
        <v>81</v>
      </c>
      <c r="V290" s="6">
        <f>IF(ISERROR(VLOOKUP($S$290,'TAR FIN'!$A$1:$O$85,15,0)),0,VLOOKUP($S$290,'TAR FIN'!$A$1:$O$85,15,0))</f>
        <v>0</v>
      </c>
      <c r="W290" s="6">
        <f>IF(ISERROR(VLOOKUP($T$290,'TAR FIN'!$A$1:$O$85,15,0)),0,VLOOKUP($T$290,'TAR FIN'!$A$1:$O$85,15,0))</f>
        <v>509.43</v>
      </c>
      <c r="X290" s="6">
        <f>IF(ISERROR(VLOOKUP($U$290,'TAR FIN'!$A$1:$O$85,15,0)),0,VLOOKUP($U$290,'TAR FIN'!$A$1:$O$85,15,0))</f>
        <v>251.85</v>
      </c>
      <c r="Y290" s="6"/>
      <c r="Z290" s="6">
        <f ca="1">('TUSD BE'!$AM$48+'TUSD BF'!$AM$48+'TUSD CVA'!$AM$48)*1</f>
        <v>657.94939927032419</v>
      </c>
      <c r="AA290" s="6">
        <f>('TE BE'!$AA$39+'TE BF'!$AA$39+'TE CVA'!$AA$39)*1</f>
        <v>256.69216484835653</v>
      </c>
      <c r="AB290" s="6">
        <f>$K$290*$V$290</f>
        <v>0</v>
      </c>
      <c r="AC290" s="6">
        <f>$M$290*$W$290</f>
        <v>222.62091000000001</v>
      </c>
      <c r="AD290" s="6">
        <f>$O$290*$X$290</f>
        <v>110.05844999999999</v>
      </c>
      <c r="AE290" s="6">
        <f>$K$290*$Y$290</f>
        <v>0</v>
      </c>
      <c r="AF290" s="6">
        <f ca="1">$M$290*$Z$290</f>
        <v>287.52388748113168</v>
      </c>
      <c r="AG290" s="6">
        <f>$O$290*$AA$290</f>
        <v>112.1744760387318</v>
      </c>
    </row>
    <row r="291" spans="1:33" ht="11.25" customHeight="1" x14ac:dyDescent="0.25">
      <c r="A291" s="4" t="s">
        <v>21</v>
      </c>
      <c r="B291" s="4" t="s">
        <v>32</v>
      </c>
      <c r="C291" s="4" t="s">
        <v>23</v>
      </c>
      <c r="D291" s="4" t="s">
        <v>33</v>
      </c>
      <c r="E291" s="4" t="s">
        <v>25</v>
      </c>
      <c r="F291" s="4" t="s">
        <v>25</v>
      </c>
      <c r="G291" s="4" t="s">
        <v>25</v>
      </c>
      <c r="H291" s="4" t="s">
        <v>25</v>
      </c>
      <c r="I291" s="5">
        <v>44501</v>
      </c>
      <c r="J291" s="6">
        <v>0</v>
      </c>
      <c r="K291" s="6">
        <v>0</v>
      </c>
      <c r="L291" s="6">
        <v>0.44600000000000001</v>
      </c>
      <c r="M291" s="6">
        <v>0.44600000000000001</v>
      </c>
      <c r="N291" s="6">
        <v>0.44600000000000001</v>
      </c>
      <c r="O291" s="6">
        <v>0.44600000000000001</v>
      </c>
      <c r="P291" s="6">
        <v>3</v>
      </c>
      <c r="Q291" s="4" t="s">
        <v>26</v>
      </c>
      <c r="R291" s="4">
        <v>0</v>
      </c>
      <c r="S291" s="6">
        <v>0</v>
      </c>
      <c r="T291" s="6">
        <v>44</v>
      </c>
      <c r="U291" s="6">
        <v>81</v>
      </c>
      <c r="V291" s="6">
        <f>IF(ISERROR(VLOOKUP($S$291,'TAR FIN'!$A$1:$O$85,15,0)),0,VLOOKUP($S$291,'TAR FIN'!$A$1:$O$85,15,0))</f>
        <v>0</v>
      </c>
      <c r="W291" s="6">
        <f>IF(ISERROR(VLOOKUP($T$291,'TAR FIN'!$A$1:$O$85,15,0)),0,VLOOKUP($T$291,'TAR FIN'!$A$1:$O$85,15,0))</f>
        <v>509.43</v>
      </c>
      <c r="X291" s="6">
        <f>IF(ISERROR(VLOOKUP($U$291,'TAR FIN'!$A$1:$O$85,15,0)),0,VLOOKUP($U$291,'TAR FIN'!$A$1:$O$85,15,0))</f>
        <v>251.85</v>
      </c>
      <c r="Y291" s="6"/>
      <c r="Z291" s="6">
        <f ca="1">('TUSD BE'!$AM$48+'TUSD BF'!$AM$48+'TUSD CVA'!$AM$48)*1</f>
        <v>657.94939927032419</v>
      </c>
      <c r="AA291" s="6">
        <f>('TE BE'!$AA$39+'TE BF'!$AA$39+'TE CVA'!$AA$39)*1</f>
        <v>256.69216484835653</v>
      </c>
      <c r="AB291" s="6">
        <f>$K$291*$V$291</f>
        <v>0</v>
      </c>
      <c r="AC291" s="6">
        <f>$M$291*$W$291</f>
        <v>227.20578</v>
      </c>
      <c r="AD291" s="6">
        <f>$O$291*$X$291</f>
        <v>112.32510000000001</v>
      </c>
      <c r="AE291" s="6">
        <f>$K$291*$Y$291</f>
        <v>0</v>
      </c>
      <c r="AF291" s="6">
        <f ca="1">$M$291*$Z$291</f>
        <v>293.44543207456462</v>
      </c>
      <c r="AG291" s="6">
        <f>$O$291*$AA$291</f>
        <v>114.48470552236701</v>
      </c>
    </row>
    <row r="292" spans="1:33" ht="11.25" customHeight="1" x14ac:dyDescent="0.25">
      <c r="A292" s="4" t="s">
        <v>21</v>
      </c>
      <c r="B292" s="4" t="s">
        <v>32</v>
      </c>
      <c r="C292" s="4" t="s">
        <v>23</v>
      </c>
      <c r="D292" s="4" t="s">
        <v>33</v>
      </c>
      <c r="E292" s="4" t="s">
        <v>25</v>
      </c>
      <c r="F292" s="4" t="s">
        <v>25</v>
      </c>
      <c r="G292" s="4" t="s">
        <v>25</v>
      </c>
      <c r="H292" s="4" t="s">
        <v>25</v>
      </c>
      <c r="I292" s="5">
        <v>44531</v>
      </c>
      <c r="J292" s="6">
        <v>0</v>
      </c>
      <c r="K292" s="6">
        <v>0</v>
      </c>
      <c r="L292" s="6">
        <v>0.44600000000000001</v>
      </c>
      <c r="M292" s="6">
        <v>0.44600000000000001</v>
      </c>
      <c r="N292" s="6">
        <v>0.44600000000000001</v>
      </c>
      <c r="O292" s="6">
        <v>0.44600000000000001</v>
      </c>
      <c r="P292" s="6">
        <v>3</v>
      </c>
      <c r="Q292" s="4" t="s">
        <v>26</v>
      </c>
      <c r="R292" s="4">
        <v>0</v>
      </c>
      <c r="S292" s="6">
        <v>0</v>
      </c>
      <c r="T292" s="6">
        <v>44</v>
      </c>
      <c r="U292" s="6">
        <v>81</v>
      </c>
      <c r="V292" s="6">
        <f>IF(ISERROR(VLOOKUP($S$292,'TAR FIN'!$A$1:$O$85,15,0)),0,VLOOKUP($S$292,'TAR FIN'!$A$1:$O$85,15,0))</f>
        <v>0</v>
      </c>
      <c r="W292" s="6">
        <f>IF(ISERROR(VLOOKUP($T$292,'TAR FIN'!$A$1:$O$85,15,0)),0,VLOOKUP($T$292,'TAR FIN'!$A$1:$O$85,15,0))</f>
        <v>509.43</v>
      </c>
      <c r="X292" s="6">
        <f>IF(ISERROR(VLOOKUP($U$292,'TAR FIN'!$A$1:$O$85,15,0)),0,VLOOKUP($U$292,'TAR FIN'!$A$1:$O$85,15,0))</f>
        <v>251.85</v>
      </c>
      <c r="Y292" s="6"/>
      <c r="Z292" s="6">
        <f ca="1">('TUSD BE'!$AM$48+'TUSD BF'!$AM$48+'TUSD CVA'!$AM$48)*1</f>
        <v>657.94939927032419</v>
      </c>
      <c r="AA292" s="6">
        <f>('TE BE'!$AA$39+'TE BF'!$AA$39+'TE CVA'!$AA$39)*1</f>
        <v>256.69216484835653</v>
      </c>
      <c r="AB292" s="6">
        <f>$K$292*$V$292</f>
        <v>0</v>
      </c>
      <c r="AC292" s="6">
        <f>$M$292*$W$292</f>
        <v>227.20578</v>
      </c>
      <c r="AD292" s="6">
        <f>$O$292*$X$292</f>
        <v>112.32510000000001</v>
      </c>
      <c r="AE292" s="6">
        <f>$K$292*$Y$292</f>
        <v>0</v>
      </c>
      <c r="AF292" s="6">
        <f ca="1">$M$292*$Z$292</f>
        <v>293.44543207456462</v>
      </c>
      <c r="AG292" s="6">
        <f>$O$292*$AA$292</f>
        <v>114.48470552236701</v>
      </c>
    </row>
    <row r="293" spans="1:33" ht="11.25" customHeight="1" x14ac:dyDescent="0.25">
      <c r="A293" s="4" t="s">
        <v>21</v>
      </c>
      <c r="B293" s="4" t="s">
        <v>32</v>
      </c>
      <c r="C293" s="4" t="s">
        <v>23</v>
      </c>
      <c r="D293" s="4" t="s">
        <v>33</v>
      </c>
      <c r="E293" s="4" t="s">
        <v>25</v>
      </c>
      <c r="F293" s="4" t="s">
        <v>25</v>
      </c>
      <c r="G293" s="4" t="s">
        <v>25</v>
      </c>
      <c r="H293" s="4" t="s">
        <v>25</v>
      </c>
      <c r="I293" s="5">
        <v>44562</v>
      </c>
      <c r="J293" s="6">
        <v>0</v>
      </c>
      <c r="K293" s="6">
        <v>0</v>
      </c>
      <c r="L293" s="6">
        <v>0.435</v>
      </c>
      <c r="M293" s="6">
        <v>0.435</v>
      </c>
      <c r="N293" s="6">
        <v>0.435</v>
      </c>
      <c r="O293" s="6">
        <v>0.435</v>
      </c>
      <c r="P293" s="6">
        <v>3</v>
      </c>
      <c r="Q293" s="4" t="s">
        <v>26</v>
      </c>
      <c r="R293" s="4">
        <v>0</v>
      </c>
      <c r="S293" s="6">
        <v>0</v>
      </c>
      <c r="T293" s="6">
        <v>44</v>
      </c>
      <c r="U293" s="6">
        <v>81</v>
      </c>
      <c r="V293" s="6">
        <f>IF(ISERROR(VLOOKUP($S$293,'TAR FIN'!$A$1:$O$85,15,0)),0,VLOOKUP($S$293,'TAR FIN'!$A$1:$O$85,15,0))</f>
        <v>0</v>
      </c>
      <c r="W293" s="6">
        <f>IF(ISERROR(VLOOKUP($T$293,'TAR FIN'!$A$1:$O$85,15,0)),0,VLOOKUP($T$293,'TAR FIN'!$A$1:$O$85,15,0))</f>
        <v>509.43</v>
      </c>
      <c r="X293" s="6">
        <f>IF(ISERROR(VLOOKUP($U$293,'TAR FIN'!$A$1:$O$85,15,0)),0,VLOOKUP($U$293,'TAR FIN'!$A$1:$O$85,15,0))</f>
        <v>251.85</v>
      </c>
      <c r="Y293" s="6"/>
      <c r="Z293" s="6">
        <f ca="1">('TUSD BE'!$AM$48+'TUSD BF'!$AM$48+'TUSD CVA'!$AM$48)*1</f>
        <v>657.94939927032419</v>
      </c>
      <c r="AA293" s="6">
        <f>('TE BE'!$AA$39+'TE BF'!$AA$39+'TE CVA'!$AA$39)*1</f>
        <v>256.69216484835653</v>
      </c>
      <c r="AB293" s="6">
        <f>$K$293*$V$293</f>
        <v>0</v>
      </c>
      <c r="AC293" s="6">
        <f>$M$293*$W$293</f>
        <v>221.60204999999999</v>
      </c>
      <c r="AD293" s="6">
        <f>$O$293*$X$293</f>
        <v>109.55475</v>
      </c>
      <c r="AE293" s="6">
        <f>$K$293*$Y$293</f>
        <v>0</v>
      </c>
      <c r="AF293" s="6">
        <f ca="1">$M$293*$Z$293</f>
        <v>286.20798868259101</v>
      </c>
      <c r="AG293" s="6">
        <f>$O$293*$AA$293</f>
        <v>111.66109170903509</v>
      </c>
    </row>
    <row r="294" spans="1:33" ht="11.25" customHeight="1" x14ac:dyDescent="0.25">
      <c r="A294" s="4" t="s">
        <v>21</v>
      </c>
      <c r="B294" s="4" t="s">
        <v>32</v>
      </c>
      <c r="C294" s="4" t="s">
        <v>23</v>
      </c>
      <c r="D294" s="4" t="s">
        <v>33</v>
      </c>
      <c r="E294" s="4" t="s">
        <v>25</v>
      </c>
      <c r="F294" s="4" t="s">
        <v>25</v>
      </c>
      <c r="G294" s="4" t="s">
        <v>25</v>
      </c>
      <c r="H294" s="4" t="s">
        <v>25</v>
      </c>
      <c r="I294" s="5">
        <v>44593</v>
      </c>
      <c r="J294" s="6">
        <v>0</v>
      </c>
      <c r="K294" s="6">
        <v>0</v>
      </c>
      <c r="L294" s="6">
        <v>0.39400000000000002</v>
      </c>
      <c r="M294" s="6">
        <v>0.39400000000000002</v>
      </c>
      <c r="N294" s="6">
        <v>0.39400000000000002</v>
      </c>
      <c r="O294" s="6">
        <v>0.39400000000000002</v>
      </c>
      <c r="P294" s="6">
        <v>3</v>
      </c>
      <c r="Q294" s="4" t="s">
        <v>26</v>
      </c>
      <c r="R294" s="4">
        <v>0</v>
      </c>
      <c r="S294" s="6">
        <v>0</v>
      </c>
      <c r="T294" s="6">
        <v>44</v>
      </c>
      <c r="U294" s="6">
        <v>81</v>
      </c>
      <c r="V294" s="6">
        <f>IF(ISERROR(VLOOKUP($S$294,'TAR FIN'!$A$1:$O$85,15,0)),0,VLOOKUP($S$294,'TAR FIN'!$A$1:$O$85,15,0))</f>
        <v>0</v>
      </c>
      <c r="W294" s="6">
        <f>IF(ISERROR(VLOOKUP($T$294,'TAR FIN'!$A$1:$O$85,15,0)),0,VLOOKUP($T$294,'TAR FIN'!$A$1:$O$85,15,0))</f>
        <v>509.43</v>
      </c>
      <c r="X294" s="6">
        <f>IF(ISERROR(VLOOKUP($U$294,'TAR FIN'!$A$1:$O$85,15,0)),0,VLOOKUP($U$294,'TAR FIN'!$A$1:$O$85,15,0))</f>
        <v>251.85</v>
      </c>
      <c r="Y294" s="6"/>
      <c r="Z294" s="6">
        <f ca="1">('TUSD BE'!$AM$48+'TUSD BF'!$AM$48+'TUSD CVA'!$AM$48)*1</f>
        <v>657.94939927032419</v>
      </c>
      <c r="AA294" s="6">
        <f>('TE BE'!$AA$39+'TE BF'!$AA$39+'TE CVA'!$AA$39)*1</f>
        <v>256.69216484835653</v>
      </c>
      <c r="AB294" s="6">
        <f>$K$294*$V$294</f>
        <v>0</v>
      </c>
      <c r="AC294" s="6">
        <f>$M$294*$W$294</f>
        <v>200.71542000000002</v>
      </c>
      <c r="AD294" s="6">
        <f>$O$294*$X$294</f>
        <v>99.228899999999996</v>
      </c>
      <c r="AE294" s="6">
        <f>$K$294*$Y$294</f>
        <v>0</v>
      </c>
      <c r="AF294" s="6">
        <f ca="1">$M$294*$Z$294</f>
        <v>259.23206331250776</v>
      </c>
      <c r="AG294" s="6">
        <f>$O$294*$AA$294</f>
        <v>101.13671295025247</v>
      </c>
    </row>
    <row r="295" spans="1:33" ht="11.25" customHeight="1" x14ac:dyDescent="0.25">
      <c r="A295" s="4" t="s">
        <v>21</v>
      </c>
      <c r="B295" s="4" t="s">
        <v>32</v>
      </c>
      <c r="C295" s="4" t="s">
        <v>23</v>
      </c>
      <c r="D295" s="4" t="s">
        <v>33</v>
      </c>
      <c r="E295" s="4" t="s">
        <v>25</v>
      </c>
      <c r="F295" s="4" t="s">
        <v>25</v>
      </c>
      <c r="G295" s="4" t="s">
        <v>25</v>
      </c>
      <c r="H295" s="4" t="s">
        <v>25</v>
      </c>
      <c r="I295" s="5">
        <v>44621</v>
      </c>
      <c r="J295" s="6">
        <v>0</v>
      </c>
      <c r="K295" s="6">
        <v>0</v>
      </c>
      <c r="L295" s="6">
        <v>1.3620000000000001</v>
      </c>
      <c r="M295" s="6">
        <v>1.3620000000000001</v>
      </c>
      <c r="N295" s="6">
        <v>1.3620000000000001</v>
      </c>
      <c r="O295" s="6">
        <v>1.3620000000000001</v>
      </c>
      <c r="P295" s="6">
        <v>4</v>
      </c>
      <c r="Q295" s="4" t="s">
        <v>26</v>
      </c>
      <c r="R295" s="4">
        <v>0</v>
      </c>
      <c r="S295" s="6">
        <v>0</v>
      </c>
      <c r="T295" s="6">
        <v>44</v>
      </c>
      <c r="U295" s="6">
        <v>81</v>
      </c>
      <c r="V295" s="6">
        <f>IF(ISERROR(VLOOKUP($S$295,'TAR FIN'!$A$1:$O$85,15,0)),0,VLOOKUP($S$295,'TAR FIN'!$A$1:$O$85,15,0))</f>
        <v>0</v>
      </c>
      <c r="W295" s="6">
        <f>IF(ISERROR(VLOOKUP($T$295,'TAR FIN'!$A$1:$O$85,15,0)),0,VLOOKUP($T$295,'TAR FIN'!$A$1:$O$85,15,0))</f>
        <v>509.43</v>
      </c>
      <c r="X295" s="6">
        <f>IF(ISERROR(VLOOKUP($U$295,'TAR FIN'!$A$1:$O$85,15,0)),0,VLOOKUP($U$295,'TAR FIN'!$A$1:$O$85,15,0))</f>
        <v>251.85</v>
      </c>
      <c r="Y295" s="6"/>
      <c r="Z295" s="6">
        <f ca="1">('TUSD BE'!$AM$48+'TUSD BF'!$AM$48+'TUSD CVA'!$AM$48)*1</f>
        <v>657.94939927032419</v>
      </c>
      <c r="AA295" s="6">
        <f>('TE BE'!$AA$39+'TE BF'!$AA$39+'TE CVA'!$AA$39)*1</f>
        <v>256.69216484835653</v>
      </c>
      <c r="AB295" s="6">
        <f>$K$295*$V$295</f>
        <v>0</v>
      </c>
      <c r="AC295" s="6">
        <f>$M$295*$W$295</f>
        <v>693.84366000000011</v>
      </c>
      <c r="AD295" s="6">
        <f>$O$295*$X$295</f>
        <v>343.0197</v>
      </c>
      <c r="AE295" s="6">
        <f>$K$295*$Y$295</f>
        <v>0</v>
      </c>
      <c r="AF295" s="6">
        <f ca="1">$M$295*$Z$295</f>
        <v>896.12708180618165</v>
      </c>
      <c r="AG295" s="6">
        <f>$O$295*$AA$295</f>
        <v>349.61472852346162</v>
      </c>
    </row>
    <row r="296" spans="1:33" ht="11.25" customHeight="1" x14ac:dyDescent="0.25">
      <c r="A296" s="4" t="s">
        <v>21</v>
      </c>
      <c r="B296" s="4" t="s">
        <v>32</v>
      </c>
      <c r="C296" s="4" t="s">
        <v>23</v>
      </c>
      <c r="D296" s="4" t="s">
        <v>33</v>
      </c>
      <c r="E296" s="4" t="s">
        <v>25</v>
      </c>
      <c r="F296" s="4" t="s">
        <v>25</v>
      </c>
      <c r="G296" s="4" t="s">
        <v>25</v>
      </c>
      <c r="H296" s="4" t="s">
        <v>25</v>
      </c>
      <c r="I296" s="5">
        <v>44652</v>
      </c>
      <c r="J296" s="6">
        <v>0</v>
      </c>
      <c r="K296" s="6">
        <v>0</v>
      </c>
      <c r="L296" s="6">
        <v>1.321</v>
      </c>
      <c r="M296" s="6">
        <v>1.321</v>
      </c>
      <c r="N296" s="6">
        <v>1.321</v>
      </c>
      <c r="O296" s="6">
        <v>1.321</v>
      </c>
      <c r="P296" s="6">
        <v>4</v>
      </c>
      <c r="Q296" s="4" t="s">
        <v>26</v>
      </c>
      <c r="R296" s="4">
        <v>0</v>
      </c>
      <c r="S296" s="6">
        <v>0</v>
      </c>
      <c r="T296" s="6">
        <v>44</v>
      </c>
      <c r="U296" s="6">
        <v>81</v>
      </c>
      <c r="V296" s="6">
        <f>IF(ISERROR(VLOOKUP($S$296,'TAR FIN'!$A$1:$O$85,15,0)),0,VLOOKUP($S$296,'TAR FIN'!$A$1:$O$85,15,0))</f>
        <v>0</v>
      </c>
      <c r="W296" s="6">
        <f>IF(ISERROR(VLOOKUP($T$296,'TAR FIN'!$A$1:$O$85,15,0)),0,VLOOKUP($T$296,'TAR FIN'!$A$1:$O$85,15,0))</f>
        <v>509.43</v>
      </c>
      <c r="X296" s="6">
        <f>IF(ISERROR(VLOOKUP($U$296,'TAR FIN'!$A$1:$O$85,15,0)),0,VLOOKUP($U$296,'TAR FIN'!$A$1:$O$85,15,0))</f>
        <v>251.85</v>
      </c>
      <c r="Y296" s="6"/>
      <c r="Z296" s="6">
        <f ca="1">('TUSD BE'!$AM$48+'TUSD BF'!$AM$48+'TUSD CVA'!$AM$48)*1</f>
        <v>657.94939927032419</v>
      </c>
      <c r="AA296" s="6">
        <f>('TE BE'!$AA$39+'TE BF'!$AA$39+'TE CVA'!$AA$39)*1</f>
        <v>256.69216484835653</v>
      </c>
      <c r="AB296" s="6">
        <f>$K$296*$V$296</f>
        <v>0</v>
      </c>
      <c r="AC296" s="6">
        <f>$M$296*$W$296</f>
        <v>672.95703000000003</v>
      </c>
      <c r="AD296" s="6">
        <f>$O$296*$X$296</f>
        <v>332.69385</v>
      </c>
      <c r="AE296" s="6">
        <f>$K$296*$Y$296</f>
        <v>0</v>
      </c>
      <c r="AF296" s="6">
        <f ca="1">$M$296*$Z$296</f>
        <v>869.15115643609818</v>
      </c>
      <c r="AG296" s="6">
        <f>$O$296*$AA$296</f>
        <v>339.09034976467893</v>
      </c>
    </row>
    <row r="297" spans="1:33" ht="11.25" customHeight="1" x14ac:dyDescent="0.25">
      <c r="A297" s="4" t="s">
        <v>21</v>
      </c>
      <c r="B297" s="4" t="s">
        <v>32</v>
      </c>
      <c r="C297" s="4" t="s">
        <v>23</v>
      </c>
      <c r="D297" s="4" t="s">
        <v>43</v>
      </c>
      <c r="E297" s="4" t="s">
        <v>25</v>
      </c>
      <c r="F297" s="4" t="s">
        <v>25</v>
      </c>
      <c r="G297" s="4" t="s">
        <v>25</v>
      </c>
      <c r="H297" s="4" t="s">
        <v>25</v>
      </c>
      <c r="I297" s="5">
        <v>44317</v>
      </c>
      <c r="J297" s="6">
        <v>0</v>
      </c>
      <c r="K297" s="6">
        <v>0</v>
      </c>
      <c r="L297" s="6">
        <v>15.272</v>
      </c>
      <c r="M297" s="6">
        <v>15.272</v>
      </c>
      <c r="N297" s="6">
        <v>15.272</v>
      </c>
      <c r="O297" s="6">
        <v>15.272</v>
      </c>
      <c r="P297" s="6">
        <v>30</v>
      </c>
      <c r="Q297" s="4" t="s">
        <v>26</v>
      </c>
      <c r="R297" s="4">
        <v>0</v>
      </c>
      <c r="S297" s="6">
        <v>0</v>
      </c>
      <c r="T297" s="6">
        <v>44</v>
      </c>
      <c r="U297" s="6">
        <v>81</v>
      </c>
      <c r="V297" s="6">
        <f>IF(ISERROR(VLOOKUP($S$297,'TAR FIN'!$A$1:$O$85,15,0)),0,VLOOKUP($S$297,'TAR FIN'!$A$1:$O$85,15,0))</f>
        <v>0</v>
      </c>
      <c r="W297" s="6">
        <f>IF(ISERROR(VLOOKUP($T$297,'TAR FIN'!$A$1:$O$85,15,0)),0,VLOOKUP($T$297,'TAR FIN'!$A$1:$O$85,15,0))</f>
        <v>509.43</v>
      </c>
      <c r="X297" s="6">
        <f>IF(ISERROR(VLOOKUP($U$297,'TAR FIN'!$A$1:$O$85,15,0)),0,VLOOKUP($U$297,'TAR FIN'!$A$1:$O$85,15,0))</f>
        <v>251.85</v>
      </c>
      <c r="Y297" s="6"/>
      <c r="Z297" s="6">
        <f ca="1">('TUSD BE'!$AM$48+'TUSD BF'!$AM$48+'TUSD CVA'!$AM$48)*1</f>
        <v>657.94939927032419</v>
      </c>
      <c r="AA297" s="6">
        <f>('TE BE'!$AA$39+'TE BF'!$AA$39+'TE CVA'!$AA$39)*1</f>
        <v>256.69216484835653</v>
      </c>
      <c r="AB297" s="6">
        <f>$K$297*$V$297</f>
        <v>0</v>
      </c>
      <c r="AC297" s="6">
        <f>$M$297*$W$297</f>
        <v>7780.0149600000004</v>
      </c>
      <c r="AD297" s="6">
        <f>$O$297*$X$297</f>
        <v>3846.2532000000001</v>
      </c>
      <c r="AE297" s="6">
        <f>$K$297*$Y$297</f>
        <v>0</v>
      </c>
      <c r="AF297" s="6">
        <f ca="1">$M$297*$Z$297</f>
        <v>10048.203225656391</v>
      </c>
      <c r="AG297" s="6">
        <f>$O$297*$AA$297</f>
        <v>3920.202741564101</v>
      </c>
    </row>
    <row r="298" spans="1:33" ht="11.25" customHeight="1" x14ac:dyDescent="0.25">
      <c r="A298" s="4" t="s">
        <v>21</v>
      </c>
      <c r="B298" s="4" t="s">
        <v>32</v>
      </c>
      <c r="C298" s="4" t="s">
        <v>23</v>
      </c>
      <c r="D298" s="4" t="s">
        <v>43</v>
      </c>
      <c r="E298" s="4" t="s">
        <v>25</v>
      </c>
      <c r="F298" s="4" t="s">
        <v>25</v>
      </c>
      <c r="G298" s="4" t="s">
        <v>25</v>
      </c>
      <c r="H298" s="4" t="s">
        <v>25</v>
      </c>
      <c r="I298" s="5">
        <v>44348</v>
      </c>
      <c r="J298" s="6">
        <v>0</v>
      </c>
      <c r="K298" s="6">
        <v>0</v>
      </c>
      <c r="L298" s="6">
        <v>13.058999999999999</v>
      </c>
      <c r="M298" s="6">
        <v>13.058999999999999</v>
      </c>
      <c r="N298" s="6">
        <v>13.058999999999999</v>
      </c>
      <c r="O298" s="6">
        <v>13.058999999999999</v>
      </c>
      <c r="P298" s="6">
        <v>30</v>
      </c>
      <c r="Q298" s="4" t="s">
        <v>26</v>
      </c>
      <c r="R298" s="4">
        <v>0</v>
      </c>
      <c r="S298" s="6">
        <v>0</v>
      </c>
      <c r="T298" s="6">
        <v>44</v>
      </c>
      <c r="U298" s="6">
        <v>81</v>
      </c>
      <c r="V298" s="6">
        <f>IF(ISERROR(VLOOKUP($S$298,'TAR FIN'!$A$1:$O$85,15,0)),0,VLOOKUP($S$298,'TAR FIN'!$A$1:$O$85,15,0))</f>
        <v>0</v>
      </c>
      <c r="W298" s="6">
        <f>IF(ISERROR(VLOOKUP($T$298,'TAR FIN'!$A$1:$O$85,15,0)),0,VLOOKUP($T$298,'TAR FIN'!$A$1:$O$85,15,0))</f>
        <v>509.43</v>
      </c>
      <c r="X298" s="6">
        <f>IF(ISERROR(VLOOKUP($U$298,'TAR FIN'!$A$1:$O$85,15,0)),0,VLOOKUP($U$298,'TAR FIN'!$A$1:$O$85,15,0))</f>
        <v>251.85</v>
      </c>
      <c r="Y298" s="6"/>
      <c r="Z298" s="6">
        <f ca="1">('TUSD BE'!$AM$48+'TUSD BF'!$AM$48+'TUSD CVA'!$AM$48)*1</f>
        <v>657.94939927032419</v>
      </c>
      <c r="AA298" s="6">
        <f>('TE BE'!$AA$39+'TE BF'!$AA$39+'TE CVA'!$AA$39)*1</f>
        <v>256.69216484835653</v>
      </c>
      <c r="AB298" s="6">
        <f>$K$298*$V$298</f>
        <v>0</v>
      </c>
      <c r="AC298" s="6">
        <f>$M$298*$W$298</f>
        <v>6652.6463699999995</v>
      </c>
      <c r="AD298" s="6">
        <f>$O$298*$X$298</f>
        <v>3288.90915</v>
      </c>
      <c r="AE298" s="6">
        <f>$K$298*$Y$298</f>
        <v>0</v>
      </c>
      <c r="AF298" s="6">
        <f ca="1">$M$298*$Z$298</f>
        <v>8592.1612050711628</v>
      </c>
      <c r="AG298" s="6">
        <f>$O$298*$AA$298</f>
        <v>3352.1429807546879</v>
      </c>
    </row>
    <row r="299" spans="1:33" ht="11.25" customHeight="1" x14ac:dyDescent="0.25">
      <c r="A299" s="4" t="s">
        <v>21</v>
      </c>
      <c r="B299" s="4" t="s">
        <v>32</v>
      </c>
      <c r="C299" s="4" t="s">
        <v>23</v>
      </c>
      <c r="D299" s="4" t="s">
        <v>43</v>
      </c>
      <c r="E299" s="4" t="s">
        <v>25</v>
      </c>
      <c r="F299" s="4" t="s">
        <v>25</v>
      </c>
      <c r="G299" s="4" t="s">
        <v>25</v>
      </c>
      <c r="H299" s="4" t="s">
        <v>25</v>
      </c>
      <c r="I299" s="5">
        <v>44378</v>
      </c>
      <c r="J299" s="6">
        <v>0</v>
      </c>
      <c r="K299" s="6">
        <v>0</v>
      </c>
      <c r="L299" s="6">
        <v>13.198</v>
      </c>
      <c r="M299" s="6">
        <v>13.198</v>
      </c>
      <c r="N299" s="6">
        <v>13.198</v>
      </c>
      <c r="O299" s="6">
        <v>13.198</v>
      </c>
      <c r="P299" s="6">
        <v>30</v>
      </c>
      <c r="Q299" s="4" t="s">
        <v>26</v>
      </c>
      <c r="R299" s="4">
        <v>0</v>
      </c>
      <c r="S299" s="6">
        <v>0</v>
      </c>
      <c r="T299" s="6">
        <v>44</v>
      </c>
      <c r="U299" s="6">
        <v>81</v>
      </c>
      <c r="V299" s="6">
        <f>IF(ISERROR(VLOOKUP($S$299,'TAR FIN'!$A$1:$O$85,15,0)),0,VLOOKUP($S$299,'TAR FIN'!$A$1:$O$85,15,0))</f>
        <v>0</v>
      </c>
      <c r="W299" s="6">
        <f>IF(ISERROR(VLOOKUP($T$299,'TAR FIN'!$A$1:$O$85,15,0)),0,VLOOKUP($T$299,'TAR FIN'!$A$1:$O$85,15,0))</f>
        <v>509.43</v>
      </c>
      <c r="X299" s="6">
        <f>IF(ISERROR(VLOOKUP($U$299,'TAR FIN'!$A$1:$O$85,15,0)),0,VLOOKUP($U$299,'TAR FIN'!$A$1:$O$85,15,0))</f>
        <v>251.85</v>
      </c>
      <c r="Y299" s="6"/>
      <c r="Z299" s="6">
        <f ca="1">('TUSD BE'!$AM$48+'TUSD BF'!$AM$48+'TUSD CVA'!$AM$48)*1</f>
        <v>657.94939927032419</v>
      </c>
      <c r="AA299" s="6">
        <f>('TE BE'!$AA$39+'TE BF'!$AA$39+'TE CVA'!$AA$39)*1</f>
        <v>256.69216484835653</v>
      </c>
      <c r="AB299" s="6">
        <f>$K$299*$V$299</f>
        <v>0</v>
      </c>
      <c r="AC299" s="6">
        <f>$M$299*$W$299</f>
        <v>6723.4571400000004</v>
      </c>
      <c r="AD299" s="6">
        <f>$O$299*$X$299</f>
        <v>3323.9162999999999</v>
      </c>
      <c r="AE299" s="6">
        <f>$K$299*$Y$299</f>
        <v>0</v>
      </c>
      <c r="AF299" s="6">
        <f ca="1">$M$299*$Z$299</f>
        <v>8683.6161715697381</v>
      </c>
      <c r="AG299" s="6">
        <f>$O$299*$AA$299</f>
        <v>3387.8231916686095</v>
      </c>
    </row>
    <row r="300" spans="1:33" ht="11.25" customHeight="1" x14ac:dyDescent="0.25">
      <c r="A300" s="4" t="s">
        <v>21</v>
      </c>
      <c r="B300" s="4" t="s">
        <v>32</v>
      </c>
      <c r="C300" s="4" t="s">
        <v>23</v>
      </c>
      <c r="D300" s="4" t="s">
        <v>43</v>
      </c>
      <c r="E300" s="4" t="s">
        <v>25</v>
      </c>
      <c r="F300" s="4" t="s">
        <v>25</v>
      </c>
      <c r="G300" s="4" t="s">
        <v>25</v>
      </c>
      <c r="H300" s="4" t="s">
        <v>25</v>
      </c>
      <c r="I300" s="5">
        <v>44409</v>
      </c>
      <c r="J300" s="6">
        <v>0</v>
      </c>
      <c r="K300" s="6">
        <v>0</v>
      </c>
      <c r="L300" s="6">
        <v>17.021999999999998</v>
      </c>
      <c r="M300" s="6">
        <v>17.021999999999998</v>
      </c>
      <c r="N300" s="6">
        <v>17.021999999999998</v>
      </c>
      <c r="O300" s="6">
        <v>17.021999999999998</v>
      </c>
      <c r="P300" s="6">
        <v>31</v>
      </c>
      <c r="Q300" s="4" t="s">
        <v>26</v>
      </c>
      <c r="R300" s="4">
        <v>0</v>
      </c>
      <c r="S300" s="6">
        <v>0</v>
      </c>
      <c r="T300" s="6">
        <v>44</v>
      </c>
      <c r="U300" s="6">
        <v>81</v>
      </c>
      <c r="V300" s="6">
        <f>IF(ISERROR(VLOOKUP($S$300,'TAR FIN'!$A$1:$O$85,15,0)),0,VLOOKUP($S$300,'TAR FIN'!$A$1:$O$85,15,0))</f>
        <v>0</v>
      </c>
      <c r="W300" s="6">
        <f>IF(ISERROR(VLOOKUP($T$300,'TAR FIN'!$A$1:$O$85,15,0)),0,VLOOKUP($T$300,'TAR FIN'!$A$1:$O$85,15,0))</f>
        <v>509.43</v>
      </c>
      <c r="X300" s="6">
        <f>IF(ISERROR(VLOOKUP($U$300,'TAR FIN'!$A$1:$O$85,15,0)),0,VLOOKUP($U$300,'TAR FIN'!$A$1:$O$85,15,0))</f>
        <v>251.85</v>
      </c>
      <c r="Y300" s="6"/>
      <c r="Z300" s="6">
        <f ca="1">('TUSD BE'!$AM$48+'TUSD BF'!$AM$48+'TUSD CVA'!$AM$48)*1</f>
        <v>657.94939927032419</v>
      </c>
      <c r="AA300" s="6">
        <f>('TE BE'!$AA$39+'TE BF'!$AA$39+'TE CVA'!$AA$39)*1</f>
        <v>256.69216484835653</v>
      </c>
      <c r="AB300" s="6">
        <f>$K$300*$V$300</f>
        <v>0</v>
      </c>
      <c r="AC300" s="6">
        <f>$M$300*$W$300</f>
        <v>8671.5174599999991</v>
      </c>
      <c r="AD300" s="6">
        <f>$O$300*$X$300</f>
        <v>4286.9906999999994</v>
      </c>
      <c r="AE300" s="6">
        <f>$K$300*$Y$300</f>
        <v>0</v>
      </c>
      <c r="AF300" s="6">
        <f ca="1">$M$300*$Z$300</f>
        <v>11199.614674379458</v>
      </c>
      <c r="AG300" s="6">
        <f>$O$300*$AA$300</f>
        <v>4369.4140300487243</v>
      </c>
    </row>
    <row r="301" spans="1:33" ht="11.25" customHeight="1" x14ac:dyDescent="0.25">
      <c r="A301" s="4" t="s">
        <v>21</v>
      </c>
      <c r="B301" s="4" t="s">
        <v>32</v>
      </c>
      <c r="C301" s="4" t="s">
        <v>23</v>
      </c>
      <c r="D301" s="4" t="s">
        <v>43</v>
      </c>
      <c r="E301" s="4" t="s">
        <v>25</v>
      </c>
      <c r="F301" s="4" t="s">
        <v>25</v>
      </c>
      <c r="G301" s="4" t="s">
        <v>25</v>
      </c>
      <c r="H301" s="4" t="s">
        <v>25</v>
      </c>
      <c r="I301" s="5">
        <v>44440</v>
      </c>
      <c r="J301" s="6">
        <v>0</v>
      </c>
      <c r="K301" s="6">
        <v>0</v>
      </c>
      <c r="L301" s="6">
        <v>16.433</v>
      </c>
      <c r="M301" s="6">
        <v>16.433</v>
      </c>
      <c r="N301" s="6">
        <v>16.433</v>
      </c>
      <c r="O301" s="6">
        <v>16.433</v>
      </c>
      <c r="P301" s="6">
        <v>31</v>
      </c>
      <c r="Q301" s="4" t="s">
        <v>26</v>
      </c>
      <c r="R301" s="4">
        <v>0</v>
      </c>
      <c r="S301" s="6">
        <v>0</v>
      </c>
      <c r="T301" s="6">
        <v>44</v>
      </c>
      <c r="U301" s="6">
        <v>81</v>
      </c>
      <c r="V301" s="6">
        <f>IF(ISERROR(VLOOKUP($S$301,'TAR FIN'!$A$1:$O$85,15,0)),0,VLOOKUP($S$301,'TAR FIN'!$A$1:$O$85,15,0))</f>
        <v>0</v>
      </c>
      <c r="W301" s="6">
        <f>IF(ISERROR(VLOOKUP($T$301,'TAR FIN'!$A$1:$O$85,15,0)),0,VLOOKUP($T$301,'TAR FIN'!$A$1:$O$85,15,0))</f>
        <v>509.43</v>
      </c>
      <c r="X301" s="6">
        <f>IF(ISERROR(VLOOKUP($U$301,'TAR FIN'!$A$1:$O$85,15,0)),0,VLOOKUP($U$301,'TAR FIN'!$A$1:$O$85,15,0))</f>
        <v>251.85</v>
      </c>
      <c r="Y301" s="6"/>
      <c r="Z301" s="6">
        <f ca="1">('TUSD BE'!$AM$48+'TUSD BF'!$AM$48+'TUSD CVA'!$AM$48)*1</f>
        <v>657.94939927032419</v>
      </c>
      <c r="AA301" s="6">
        <f>('TE BE'!$AA$39+'TE BF'!$AA$39+'TE CVA'!$AA$39)*1</f>
        <v>256.69216484835653</v>
      </c>
      <c r="AB301" s="6">
        <f>$K$301*$V$301</f>
        <v>0</v>
      </c>
      <c r="AC301" s="6">
        <f>$M$301*$W$301</f>
        <v>8371.4631900000004</v>
      </c>
      <c r="AD301" s="6">
        <f>$O$301*$X$301</f>
        <v>4138.6510499999995</v>
      </c>
      <c r="AE301" s="6">
        <f>$K$301*$Y$301</f>
        <v>0</v>
      </c>
      <c r="AF301" s="6">
        <f ca="1">$M$301*$Z$301</f>
        <v>10812.082478209237</v>
      </c>
      <c r="AG301" s="6">
        <f>$O$301*$AA$301</f>
        <v>4218.2223449530429</v>
      </c>
    </row>
    <row r="302" spans="1:33" ht="11.25" customHeight="1" x14ac:dyDescent="0.25">
      <c r="A302" s="4" t="s">
        <v>21</v>
      </c>
      <c r="B302" s="4" t="s">
        <v>32</v>
      </c>
      <c r="C302" s="4" t="s">
        <v>23</v>
      </c>
      <c r="D302" s="4" t="s">
        <v>43</v>
      </c>
      <c r="E302" s="4" t="s">
        <v>25</v>
      </c>
      <c r="F302" s="4" t="s">
        <v>25</v>
      </c>
      <c r="G302" s="4" t="s">
        <v>25</v>
      </c>
      <c r="H302" s="4" t="s">
        <v>25</v>
      </c>
      <c r="I302" s="5">
        <v>44470</v>
      </c>
      <c r="J302" s="6">
        <v>0</v>
      </c>
      <c r="K302" s="6">
        <v>0</v>
      </c>
      <c r="L302" s="6">
        <v>13.925000000000001</v>
      </c>
      <c r="M302" s="6">
        <v>13.925000000000001</v>
      </c>
      <c r="N302" s="6">
        <v>13.925000000000001</v>
      </c>
      <c r="O302" s="6">
        <v>13.925000000000001</v>
      </c>
      <c r="P302" s="6">
        <v>30</v>
      </c>
      <c r="Q302" s="4" t="s">
        <v>26</v>
      </c>
      <c r="R302" s="4">
        <v>0</v>
      </c>
      <c r="S302" s="6">
        <v>0</v>
      </c>
      <c r="T302" s="6">
        <v>44</v>
      </c>
      <c r="U302" s="6">
        <v>81</v>
      </c>
      <c r="V302" s="6">
        <f>IF(ISERROR(VLOOKUP($S$302,'TAR FIN'!$A$1:$O$85,15,0)),0,VLOOKUP($S$302,'TAR FIN'!$A$1:$O$85,15,0))</f>
        <v>0</v>
      </c>
      <c r="W302" s="6">
        <f>IF(ISERROR(VLOOKUP($T$302,'TAR FIN'!$A$1:$O$85,15,0)),0,VLOOKUP($T$302,'TAR FIN'!$A$1:$O$85,15,0))</f>
        <v>509.43</v>
      </c>
      <c r="X302" s="6">
        <f>IF(ISERROR(VLOOKUP($U$302,'TAR FIN'!$A$1:$O$85,15,0)),0,VLOOKUP($U$302,'TAR FIN'!$A$1:$O$85,15,0))</f>
        <v>251.85</v>
      </c>
      <c r="Y302" s="6"/>
      <c r="Z302" s="6">
        <f ca="1">('TUSD BE'!$AM$48+'TUSD BF'!$AM$48+'TUSD CVA'!$AM$48)*1</f>
        <v>657.94939927032419</v>
      </c>
      <c r="AA302" s="6">
        <f>('TE BE'!$AA$39+'TE BF'!$AA$39+'TE CVA'!$AA$39)*1</f>
        <v>256.69216484835653</v>
      </c>
      <c r="AB302" s="6">
        <f>$K$302*$V$302</f>
        <v>0</v>
      </c>
      <c r="AC302" s="6">
        <f>$M$302*$W$302</f>
        <v>7093.8127500000001</v>
      </c>
      <c r="AD302" s="6">
        <f>$O$302*$X$302</f>
        <v>3507.01125</v>
      </c>
      <c r="AE302" s="6">
        <f>$K$302*$Y$302</f>
        <v>0</v>
      </c>
      <c r="AF302" s="6">
        <f ca="1">$M$302*$Z$302</f>
        <v>9161.9453848392641</v>
      </c>
      <c r="AG302" s="6">
        <f>$O$302*$AA$302</f>
        <v>3574.4383955133649</v>
      </c>
    </row>
    <row r="303" spans="1:33" ht="11.25" customHeight="1" x14ac:dyDescent="0.25">
      <c r="A303" s="4" t="s">
        <v>21</v>
      </c>
      <c r="B303" s="4" t="s">
        <v>32</v>
      </c>
      <c r="C303" s="4" t="s">
        <v>23</v>
      </c>
      <c r="D303" s="4" t="s">
        <v>43</v>
      </c>
      <c r="E303" s="4" t="s">
        <v>25</v>
      </c>
      <c r="F303" s="4" t="s">
        <v>25</v>
      </c>
      <c r="G303" s="4" t="s">
        <v>25</v>
      </c>
      <c r="H303" s="4" t="s">
        <v>25</v>
      </c>
      <c r="I303" s="5">
        <v>44501</v>
      </c>
      <c r="J303" s="6">
        <v>0</v>
      </c>
      <c r="K303" s="6">
        <v>0</v>
      </c>
      <c r="L303" s="6">
        <v>18.533999999999999</v>
      </c>
      <c r="M303" s="6">
        <v>18.533999999999999</v>
      </c>
      <c r="N303" s="6">
        <v>18.533999999999999</v>
      </c>
      <c r="O303" s="6">
        <v>18.533999999999999</v>
      </c>
      <c r="P303" s="6">
        <v>30</v>
      </c>
      <c r="Q303" s="4" t="s">
        <v>26</v>
      </c>
      <c r="R303" s="4">
        <v>0</v>
      </c>
      <c r="S303" s="6">
        <v>0</v>
      </c>
      <c r="T303" s="6">
        <v>44</v>
      </c>
      <c r="U303" s="6">
        <v>81</v>
      </c>
      <c r="V303" s="6">
        <f>IF(ISERROR(VLOOKUP($S$303,'TAR FIN'!$A$1:$O$85,15,0)),0,VLOOKUP($S$303,'TAR FIN'!$A$1:$O$85,15,0))</f>
        <v>0</v>
      </c>
      <c r="W303" s="6">
        <f>IF(ISERROR(VLOOKUP($T$303,'TAR FIN'!$A$1:$O$85,15,0)),0,VLOOKUP($T$303,'TAR FIN'!$A$1:$O$85,15,0))</f>
        <v>509.43</v>
      </c>
      <c r="X303" s="6">
        <f>IF(ISERROR(VLOOKUP($U$303,'TAR FIN'!$A$1:$O$85,15,0)),0,VLOOKUP($U$303,'TAR FIN'!$A$1:$O$85,15,0))</f>
        <v>251.85</v>
      </c>
      <c r="Y303" s="6"/>
      <c r="Z303" s="6">
        <f ca="1">('TUSD BE'!$AM$48+'TUSD BF'!$AM$48+'TUSD CVA'!$AM$48)*1</f>
        <v>657.94939927032419</v>
      </c>
      <c r="AA303" s="6">
        <f>('TE BE'!$AA$39+'TE BF'!$AA$39+'TE CVA'!$AA$39)*1</f>
        <v>256.69216484835653</v>
      </c>
      <c r="AB303" s="6">
        <f>$K$303*$V$303</f>
        <v>0</v>
      </c>
      <c r="AC303" s="6">
        <f>$M$303*$W$303</f>
        <v>9441.7756200000003</v>
      </c>
      <c r="AD303" s="6">
        <f>$O$303*$X$303</f>
        <v>4667.7878999999994</v>
      </c>
      <c r="AE303" s="6">
        <f>$K$303*$Y$303</f>
        <v>0</v>
      </c>
      <c r="AF303" s="6">
        <f ca="1">$M$303*$Z$303</f>
        <v>12194.434166076187</v>
      </c>
      <c r="AG303" s="6">
        <f>$O$303*$AA$303</f>
        <v>4757.5325832994395</v>
      </c>
    </row>
    <row r="304" spans="1:33" ht="11.25" customHeight="1" x14ac:dyDescent="0.25">
      <c r="A304" s="4" t="s">
        <v>21</v>
      </c>
      <c r="B304" s="4" t="s">
        <v>32</v>
      </c>
      <c r="C304" s="4" t="s">
        <v>23</v>
      </c>
      <c r="D304" s="4" t="s">
        <v>43</v>
      </c>
      <c r="E304" s="4" t="s">
        <v>25</v>
      </c>
      <c r="F304" s="4" t="s">
        <v>25</v>
      </c>
      <c r="G304" s="4" t="s">
        <v>25</v>
      </c>
      <c r="H304" s="4" t="s">
        <v>25</v>
      </c>
      <c r="I304" s="5">
        <v>44531</v>
      </c>
      <c r="J304" s="6">
        <v>0</v>
      </c>
      <c r="K304" s="6">
        <v>0</v>
      </c>
      <c r="L304" s="6">
        <v>19.696000000000002</v>
      </c>
      <c r="M304" s="6">
        <v>19.696000000000002</v>
      </c>
      <c r="N304" s="6">
        <v>19.696000000000002</v>
      </c>
      <c r="O304" s="6">
        <v>19.696000000000002</v>
      </c>
      <c r="P304" s="6">
        <v>30</v>
      </c>
      <c r="Q304" s="4" t="s">
        <v>26</v>
      </c>
      <c r="R304" s="4">
        <v>0</v>
      </c>
      <c r="S304" s="6">
        <v>0</v>
      </c>
      <c r="T304" s="6">
        <v>44</v>
      </c>
      <c r="U304" s="6">
        <v>81</v>
      </c>
      <c r="V304" s="6">
        <f>IF(ISERROR(VLOOKUP($S$304,'TAR FIN'!$A$1:$O$85,15,0)),0,VLOOKUP($S$304,'TAR FIN'!$A$1:$O$85,15,0))</f>
        <v>0</v>
      </c>
      <c r="W304" s="6">
        <f>IF(ISERROR(VLOOKUP($T$304,'TAR FIN'!$A$1:$O$85,15,0)),0,VLOOKUP($T$304,'TAR FIN'!$A$1:$O$85,15,0))</f>
        <v>509.43</v>
      </c>
      <c r="X304" s="6">
        <f>IF(ISERROR(VLOOKUP($U$304,'TAR FIN'!$A$1:$O$85,15,0)),0,VLOOKUP($U$304,'TAR FIN'!$A$1:$O$85,15,0))</f>
        <v>251.85</v>
      </c>
      <c r="Y304" s="6"/>
      <c r="Z304" s="6">
        <f ca="1">('TUSD BE'!$AM$48+'TUSD BF'!$AM$48+'TUSD CVA'!$AM$48)*1</f>
        <v>657.94939927032419</v>
      </c>
      <c r="AA304" s="6">
        <f>('TE BE'!$AA$39+'TE BF'!$AA$39+'TE CVA'!$AA$39)*1</f>
        <v>256.69216484835653</v>
      </c>
      <c r="AB304" s="6">
        <f>$K$304*$V$304</f>
        <v>0</v>
      </c>
      <c r="AC304" s="6">
        <f>$M$304*$W$304</f>
        <v>10033.73328</v>
      </c>
      <c r="AD304" s="6">
        <f>$O$304*$X$304</f>
        <v>4960.4376000000002</v>
      </c>
      <c r="AE304" s="6">
        <f>$K$304*$Y$304</f>
        <v>0</v>
      </c>
      <c r="AF304" s="6">
        <f ca="1">$M$304*$Z$304</f>
        <v>12958.971368028306</v>
      </c>
      <c r="AG304" s="6">
        <f>$O$304*$AA$304</f>
        <v>5055.8088788532305</v>
      </c>
    </row>
    <row r="305" spans="1:33" ht="11.25" customHeight="1" x14ac:dyDescent="0.25">
      <c r="A305" s="4" t="s">
        <v>21</v>
      </c>
      <c r="B305" s="4" t="s">
        <v>32</v>
      </c>
      <c r="C305" s="4" t="s">
        <v>23</v>
      </c>
      <c r="D305" s="4" t="s">
        <v>43</v>
      </c>
      <c r="E305" s="4" t="s">
        <v>25</v>
      </c>
      <c r="F305" s="4" t="s">
        <v>25</v>
      </c>
      <c r="G305" s="4" t="s">
        <v>25</v>
      </c>
      <c r="H305" s="4" t="s">
        <v>25</v>
      </c>
      <c r="I305" s="5">
        <v>44562</v>
      </c>
      <c r="J305" s="6">
        <v>0</v>
      </c>
      <c r="K305" s="6">
        <v>0</v>
      </c>
      <c r="L305" s="6">
        <v>16.475000000000001</v>
      </c>
      <c r="M305" s="6">
        <v>16.475000000000001</v>
      </c>
      <c r="N305" s="6">
        <v>16.475000000000001</v>
      </c>
      <c r="O305" s="6">
        <v>16.475000000000001</v>
      </c>
      <c r="P305" s="6">
        <v>30</v>
      </c>
      <c r="Q305" s="4" t="s">
        <v>26</v>
      </c>
      <c r="R305" s="4">
        <v>0</v>
      </c>
      <c r="S305" s="6">
        <v>0</v>
      </c>
      <c r="T305" s="6">
        <v>44</v>
      </c>
      <c r="U305" s="6">
        <v>81</v>
      </c>
      <c r="V305" s="6">
        <f>IF(ISERROR(VLOOKUP($S$305,'TAR FIN'!$A$1:$O$85,15,0)),0,VLOOKUP($S$305,'TAR FIN'!$A$1:$O$85,15,0))</f>
        <v>0</v>
      </c>
      <c r="W305" s="6">
        <f>IF(ISERROR(VLOOKUP($T$305,'TAR FIN'!$A$1:$O$85,15,0)),0,VLOOKUP($T$305,'TAR FIN'!$A$1:$O$85,15,0))</f>
        <v>509.43</v>
      </c>
      <c r="X305" s="6">
        <f>IF(ISERROR(VLOOKUP($U$305,'TAR FIN'!$A$1:$O$85,15,0)),0,VLOOKUP($U$305,'TAR FIN'!$A$1:$O$85,15,0))</f>
        <v>251.85</v>
      </c>
      <c r="Y305" s="6"/>
      <c r="Z305" s="6">
        <f ca="1">('TUSD BE'!$AM$48+'TUSD BF'!$AM$48+'TUSD CVA'!$AM$48)*1</f>
        <v>657.94939927032419</v>
      </c>
      <c r="AA305" s="6">
        <f>('TE BE'!$AA$39+'TE BF'!$AA$39+'TE CVA'!$AA$39)*1</f>
        <v>256.69216484835653</v>
      </c>
      <c r="AB305" s="6">
        <f>$K$305*$V$305</f>
        <v>0</v>
      </c>
      <c r="AC305" s="6">
        <f>$M$305*$W$305</f>
        <v>8392.8592500000013</v>
      </c>
      <c r="AD305" s="6">
        <f>$O$305*$X$305</f>
        <v>4149.2287500000002</v>
      </c>
      <c r="AE305" s="6">
        <f>$K$305*$Y$305</f>
        <v>0</v>
      </c>
      <c r="AF305" s="6">
        <f ca="1">$M$305*$Z$305</f>
        <v>10839.716352978592</v>
      </c>
      <c r="AG305" s="6">
        <f>$O$305*$AA$305</f>
        <v>4229.0034158766739</v>
      </c>
    </row>
    <row r="306" spans="1:33" ht="11.25" customHeight="1" x14ac:dyDescent="0.25">
      <c r="A306" s="4" t="s">
        <v>21</v>
      </c>
      <c r="B306" s="4" t="s">
        <v>32</v>
      </c>
      <c r="C306" s="4" t="s">
        <v>23</v>
      </c>
      <c r="D306" s="4" t="s">
        <v>43</v>
      </c>
      <c r="E306" s="4" t="s">
        <v>25</v>
      </c>
      <c r="F306" s="4" t="s">
        <v>25</v>
      </c>
      <c r="G306" s="4" t="s">
        <v>25</v>
      </c>
      <c r="H306" s="4" t="s">
        <v>25</v>
      </c>
      <c r="I306" s="5">
        <v>44593</v>
      </c>
      <c r="J306" s="6">
        <v>0</v>
      </c>
      <c r="K306" s="6">
        <v>0</v>
      </c>
      <c r="L306" s="6">
        <v>16.347999999999999</v>
      </c>
      <c r="M306" s="6">
        <v>16.347999999999999</v>
      </c>
      <c r="N306" s="6">
        <v>16.347999999999999</v>
      </c>
      <c r="O306" s="6">
        <v>16.347999999999999</v>
      </c>
      <c r="P306" s="6">
        <v>30</v>
      </c>
      <c r="Q306" s="4" t="s">
        <v>26</v>
      </c>
      <c r="R306" s="4">
        <v>0</v>
      </c>
      <c r="S306" s="6">
        <v>0</v>
      </c>
      <c r="T306" s="6">
        <v>44</v>
      </c>
      <c r="U306" s="6">
        <v>81</v>
      </c>
      <c r="V306" s="6">
        <f>IF(ISERROR(VLOOKUP($S$306,'TAR FIN'!$A$1:$O$85,15,0)),0,VLOOKUP($S$306,'TAR FIN'!$A$1:$O$85,15,0))</f>
        <v>0</v>
      </c>
      <c r="W306" s="6">
        <f>IF(ISERROR(VLOOKUP($T$306,'TAR FIN'!$A$1:$O$85,15,0)),0,VLOOKUP($T$306,'TAR FIN'!$A$1:$O$85,15,0))</f>
        <v>509.43</v>
      </c>
      <c r="X306" s="6">
        <f>IF(ISERROR(VLOOKUP($U$306,'TAR FIN'!$A$1:$O$85,15,0)),0,VLOOKUP($U$306,'TAR FIN'!$A$1:$O$85,15,0))</f>
        <v>251.85</v>
      </c>
      <c r="Y306" s="6"/>
      <c r="Z306" s="6">
        <f ca="1">('TUSD BE'!$AM$48+'TUSD BF'!$AM$48+'TUSD CVA'!$AM$48)*1</f>
        <v>657.94939927032419</v>
      </c>
      <c r="AA306" s="6">
        <f>('TE BE'!$AA$39+'TE BF'!$AA$39+'TE CVA'!$AA$39)*1</f>
        <v>256.69216484835653</v>
      </c>
      <c r="AB306" s="6">
        <f>$K$306*$V$306</f>
        <v>0</v>
      </c>
      <c r="AC306" s="6">
        <f>$M$306*$W$306</f>
        <v>8328.1616400000003</v>
      </c>
      <c r="AD306" s="6">
        <f>$O$306*$X$306</f>
        <v>4117.2437999999993</v>
      </c>
      <c r="AE306" s="6">
        <f>$K$306*$Y$306</f>
        <v>0</v>
      </c>
      <c r="AF306" s="6">
        <f ca="1">$M$306*$Z$306</f>
        <v>10756.156779271259</v>
      </c>
      <c r="AG306" s="6">
        <f>$O$306*$AA$306</f>
        <v>4196.4035109409324</v>
      </c>
    </row>
    <row r="307" spans="1:33" ht="11.25" customHeight="1" x14ac:dyDescent="0.25">
      <c r="A307" s="4" t="s">
        <v>21</v>
      </c>
      <c r="B307" s="4" t="s">
        <v>32</v>
      </c>
      <c r="C307" s="4" t="s">
        <v>23</v>
      </c>
      <c r="D307" s="4" t="s">
        <v>43</v>
      </c>
      <c r="E307" s="4" t="s">
        <v>25</v>
      </c>
      <c r="F307" s="4" t="s">
        <v>25</v>
      </c>
      <c r="G307" s="4" t="s">
        <v>25</v>
      </c>
      <c r="H307" s="4" t="s">
        <v>25</v>
      </c>
      <c r="I307" s="5">
        <v>44621</v>
      </c>
      <c r="J307" s="6">
        <v>0</v>
      </c>
      <c r="K307" s="6">
        <v>0</v>
      </c>
      <c r="L307" s="6">
        <v>20.091000000000001</v>
      </c>
      <c r="M307" s="6">
        <v>20.091000000000001</v>
      </c>
      <c r="N307" s="6">
        <v>20.091000000000001</v>
      </c>
      <c r="O307" s="6">
        <v>20.091000000000001</v>
      </c>
      <c r="P307" s="6">
        <v>30</v>
      </c>
      <c r="Q307" s="4" t="s">
        <v>26</v>
      </c>
      <c r="R307" s="4">
        <v>0</v>
      </c>
      <c r="S307" s="6">
        <v>0</v>
      </c>
      <c r="T307" s="6">
        <v>44</v>
      </c>
      <c r="U307" s="6">
        <v>81</v>
      </c>
      <c r="V307" s="6">
        <f>IF(ISERROR(VLOOKUP($S$307,'TAR FIN'!$A$1:$O$85,15,0)),0,VLOOKUP($S$307,'TAR FIN'!$A$1:$O$85,15,0))</f>
        <v>0</v>
      </c>
      <c r="W307" s="6">
        <f>IF(ISERROR(VLOOKUP($T$307,'TAR FIN'!$A$1:$O$85,15,0)),0,VLOOKUP($T$307,'TAR FIN'!$A$1:$O$85,15,0))</f>
        <v>509.43</v>
      </c>
      <c r="X307" s="6">
        <f>IF(ISERROR(VLOOKUP($U$307,'TAR FIN'!$A$1:$O$85,15,0)),0,VLOOKUP($U$307,'TAR FIN'!$A$1:$O$85,15,0))</f>
        <v>251.85</v>
      </c>
      <c r="Y307" s="6"/>
      <c r="Z307" s="6">
        <f ca="1">('TUSD BE'!$AM$48+'TUSD BF'!$AM$48+'TUSD CVA'!$AM$48)*1</f>
        <v>657.94939927032419</v>
      </c>
      <c r="AA307" s="6">
        <f>('TE BE'!$AA$39+'TE BF'!$AA$39+'TE CVA'!$AA$39)*1</f>
        <v>256.69216484835653</v>
      </c>
      <c r="AB307" s="6">
        <f>$K$307*$V$307</f>
        <v>0</v>
      </c>
      <c r="AC307" s="6">
        <f>$M$307*$W$307</f>
        <v>10234.958130000001</v>
      </c>
      <c r="AD307" s="6">
        <f>$O$307*$X$307</f>
        <v>5059.9183499999999</v>
      </c>
      <c r="AE307" s="6">
        <f>$K$307*$Y$307</f>
        <v>0</v>
      </c>
      <c r="AF307" s="6">
        <f ca="1">$M$307*$Z$307</f>
        <v>13218.861380740083</v>
      </c>
      <c r="AG307" s="6">
        <f>$O$307*$AA$307</f>
        <v>5157.2022839683314</v>
      </c>
    </row>
    <row r="308" spans="1:33" ht="11.25" customHeight="1" x14ac:dyDescent="0.25">
      <c r="A308" s="4" t="s">
        <v>21</v>
      </c>
      <c r="B308" s="4" t="s">
        <v>32</v>
      </c>
      <c r="C308" s="4" t="s">
        <v>23</v>
      </c>
      <c r="D308" s="4" t="s">
        <v>43</v>
      </c>
      <c r="E308" s="4" t="s">
        <v>25</v>
      </c>
      <c r="F308" s="4" t="s">
        <v>25</v>
      </c>
      <c r="G308" s="4" t="s">
        <v>25</v>
      </c>
      <c r="H308" s="4" t="s">
        <v>25</v>
      </c>
      <c r="I308" s="5">
        <v>44652</v>
      </c>
      <c r="J308" s="6">
        <v>0</v>
      </c>
      <c r="K308" s="6">
        <v>0</v>
      </c>
      <c r="L308" s="6">
        <v>20.172999999999998</v>
      </c>
      <c r="M308" s="6">
        <v>20.172999999999998</v>
      </c>
      <c r="N308" s="6">
        <v>20.172999999999998</v>
      </c>
      <c r="O308" s="6">
        <v>20.172999999999998</v>
      </c>
      <c r="P308" s="6">
        <v>30</v>
      </c>
      <c r="Q308" s="4" t="s">
        <v>26</v>
      </c>
      <c r="R308" s="4">
        <v>0</v>
      </c>
      <c r="S308" s="6">
        <v>0</v>
      </c>
      <c r="T308" s="6">
        <v>44</v>
      </c>
      <c r="U308" s="6">
        <v>81</v>
      </c>
      <c r="V308" s="6">
        <f>IF(ISERROR(VLOOKUP($S$308,'TAR FIN'!$A$1:$O$85,15,0)),0,VLOOKUP($S$308,'TAR FIN'!$A$1:$O$85,15,0))</f>
        <v>0</v>
      </c>
      <c r="W308" s="6">
        <f>IF(ISERROR(VLOOKUP($T$308,'TAR FIN'!$A$1:$O$85,15,0)),0,VLOOKUP($T$308,'TAR FIN'!$A$1:$O$85,15,0))</f>
        <v>509.43</v>
      </c>
      <c r="X308" s="6">
        <f>IF(ISERROR(VLOOKUP($U$308,'TAR FIN'!$A$1:$O$85,15,0)),0,VLOOKUP($U$308,'TAR FIN'!$A$1:$O$85,15,0))</f>
        <v>251.85</v>
      </c>
      <c r="Y308" s="6"/>
      <c r="Z308" s="6">
        <f ca="1">('TUSD BE'!$AM$48+'TUSD BF'!$AM$48+'TUSD CVA'!$AM$48)*1</f>
        <v>657.94939927032419</v>
      </c>
      <c r="AA308" s="6">
        <f>('TE BE'!$AA$39+'TE BF'!$AA$39+'TE CVA'!$AA$39)*1</f>
        <v>256.69216484835653</v>
      </c>
      <c r="AB308" s="6">
        <f>$K$308*$V$308</f>
        <v>0</v>
      </c>
      <c r="AC308" s="6">
        <f>$M$308*$W$308</f>
        <v>10276.731389999999</v>
      </c>
      <c r="AD308" s="6">
        <f>$O$308*$X$308</f>
        <v>5080.5700499999994</v>
      </c>
      <c r="AE308" s="6">
        <f>$K$308*$Y$308</f>
        <v>0</v>
      </c>
      <c r="AF308" s="6">
        <f ca="1">$M$308*$Z$308</f>
        <v>13272.81323148025</v>
      </c>
      <c r="AG308" s="6">
        <f>$O$308*$AA$308</f>
        <v>5178.2510414858962</v>
      </c>
    </row>
    <row r="309" spans="1:33" ht="11.25" customHeight="1" x14ac:dyDescent="0.25">
      <c r="A309" s="4" t="s">
        <v>21</v>
      </c>
      <c r="B309" s="4" t="s">
        <v>32</v>
      </c>
      <c r="C309" s="4" t="s">
        <v>23</v>
      </c>
      <c r="D309" s="4" t="s">
        <v>47</v>
      </c>
      <c r="E309" s="4" t="s">
        <v>48</v>
      </c>
      <c r="F309" s="4" t="s">
        <v>25</v>
      </c>
      <c r="G309" s="4" t="s">
        <v>25</v>
      </c>
      <c r="H309" s="4" t="s">
        <v>25</v>
      </c>
      <c r="I309" s="5">
        <v>44317</v>
      </c>
      <c r="J309" s="6">
        <v>0</v>
      </c>
      <c r="K309" s="70">
        <v>0</v>
      </c>
      <c r="L309" s="6">
        <v>60.37</v>
      </c>
      <c r="M309" s="70">
        <v>60.37</v>
      </c>
      <c r="N309" s="6">
        <v>60.37</v>
      </c>
      <c r="O309" s="70">
        <v>60.37</v>
      </c>
      <c r="P309" s="6">
        <v>9</v>
      </c>
      <c r="Q309" s="4" t="s">
        <v>26</v>
      </c>
      <c r="R309" s="4">
        <v>0</v>
      </c>
      <c r="S309" s="6">
        <v>0</v>
      </c>
      <c r="T309" s="6">
        <v>44</v>
      </c>
      <c r="U309" s="6">
        <v>81</v>
      </c>
      <c r="V309" s="70">
        <f>IF(ISERROR(VLOOKUP($S$309,'TAR FIN'!$A$1:$O$85,15,0)),0,VLOOKUP($S$309,'TAR FIN'!$A$1:$O$85,15,0))</f>
        <v>0</v>
      </c>
      <c r="W309" s="70">
        <f>IF(ISERROR(VLOOKUP($T$309,'TAR FIN'!$A$1:$O$85,15,0)),0,VLOOKUP($T$309,'TAR FIN'!$A$1:$O$85,15,0))*(1-0.06)</f>
        <v>478.86419999999998</v>
      </c>
      <c r="X309" s="70">
        <f>IF(ISERROR(VLOOKUP($U$309,'TAR FIN'!$A$1:$O$85,15,0)),0,VLOOKUP($U$309,'TAR FIN'!$A$1:$O$85,15,0))*(1-0.06)</f>
        <v>236.73899999999998</v>
      </c>
      <c r="Y309" s="70"/>
      <c r="Z309" s="70">
        <f ca="1">('TUSD BE'!$AM$48+'TUSD BF'!$AM$48+'TUSD CVA'!$AM$48)*1*(1-0.03)</f>
        <v>638.2109172922145</v>
      </c>
      <c r="AA309" s="70">
        <f>('TE BE'!$AA$39+'TE BF'!$AA$39+'TE CVA'!$AA$39)*1*(1-0.03)</f>
        <v>248.99139990290581</v>
      </c>
      <c r="AB309" s="6">
        <f>$K$309*$V$309</f>
        <v>0</v>
      </c>
      <c r="AC309" s="6">
        <f>$M$309*$W$309</f>
        <v>28909.031753999996</v>
      </c>
      <c r="AD309" s="6">
        <f>$O$309*$X$309</f>
        <v>14291.933429999997</v>
      </c>
      <c r="AE309" s="6">
        <f>$K$309*$Y$309</f>
        <v>0</v>
      </c>
      <c r="AF309" s="6">
        <f ca="1">$M$309*$Z$309</f>
        <v>38528.79307693099</v>
      </c>
      <c r="AG309" s="6">
        <f>$O$309*$AA$309</f>
        <v>15031.610812138424</v>
      </c>
    </row>
    <row r="310" spans="1:33" ht="11.25" customHeight="1" x14ac:dyDescent="0.25">
      <c r="A310" s="4" t="s">
        <v>21</v>
      </c>
      <c r="B310" s="4" t="s">
        <v>32</v>
      </c>
      <c r="C310" s="4" t="s">
        <v>23</v>
      </c>
      <c r="D310" s="4" t="s">
        <v>47</v>
      </c>
      <c r="E310" s="4" t="s">
        <v>48</v>
      </c>
      <c r="F310" s="4" t="s">
        <v>25</v>
      </c>
      <c r="G310" s="4" t="s">
        <v>25</v>
      </c>
      <c r="H310" s="4" t="s">
        <v>25</v>
      </c>
      <c r="I310" s="5">
        <v>44348</v>
      </c>
      <c r="J310" s="6">
        <v>0</v>
      </c>
      <c r="K310" s="70">
        <v>0</v>
      </c>
      <c r="L310" s="6">
        <v>66.103999999999999</v>
      </c>
      <c r="M310" s="70">
        <v>66.103999999999999</v>
      </c>
      <c r="N310" s="6">
        <v>66.103999999999999</v>
      </c>
      <c r="O310" s="70">
        <v>66.103999999999999</v>
      </c>
      <c r="P310" s="6">
        <v>9</v>
      </c>
      <c r="Q310" s="4" t="s">
        <v>26</v>
      </c>
      <c r="R310" s="4">
        <v>0</v>
      </c>
      <c r="S310" s="6">
        <v>0</v>
      </c>
      <c r="T310" s="6">
        <v>44</v>
      </c>
      <c r="U310" s="6">
        <v>81</v>
      </c>
      <c r="V310" s="70">
        <f>IF(ISERROR(VLOOKUP($S$310,'TAR FIN'!$A$1:$O$85,15,0)),0,VLOOKUP($S$310,'TAR FIN'!$A$1:$O$85,15,0))</f>
        <v>0</v>
      </c>
      <c r="W310" s="70">
        <f>IF(ISERROR(VLOOKUP($T$310,'TAR FIN'!$A$1:$O$85,15,0)),0,VLOOKUP($T$310,'TAR FIN'!$A$1:$O$85,15,0))*(1-0.06)</f>
        <v>478.86419999999998</v>
      </c>
      <c r="X310" s="70">
        <f>IF(ISERROR(VLOOKUP($U$310,'TAR FIN'!$A$1:$O$85,15,0)),0,VLOOKUP($U$310,'TAR FIN'!$A$1:$O$85,15,0))*(1-0.06)</f>
        <v>236.73899999999998</v>
      </c>
      <c r="Y310" s="70"/>
      <c r="Z310" s="70">
        <f ca="1">('TUSD BE'!$AM$48+'TUSD BF'!$AM$48+'TUSD CVA'!$AM$48)*1*(1-0.03)</f>
        <v>638.2109172922145</v>
      </c>
      <c r="AA310" s="70">
        <f>('TE BE'!$AA$39+'TE BF'!$AA$39+'TE CVA'!$AA$39)*1*(1-0.03)</f>
        <v>248.99139990290581</v>
      </c>
      <c r="AB310" s="6">
        <f>$K$310*$V$310</f>
        <v>0</v>
      </c>
      <c r="AC310" s="6">
        <f>$M$310*$W$310</f>
        <v>31654.839076799999</v>
      </c>
      <c r="AD310" s="6">
        <f>$O$310*$X$310</f>
        <v>15649.394855999999</v>
      </c>
      <c r="AE310" s="6">
        <f>$K$310*$Y$310</f>
        <v>0</v>
      </c>
      <c r="AF310" s="6">
        <f ca="1">$M$310*$Z$310</f>
        <v>42188.294476684547</v>
      </c>
      <c r="AG310" s="6">
        <f>$O$310*$AA$310</f>
        <v>16459.327499181687</v>
      </c>
    </row>
    <row r="311" spans="1:33" ht="11.25" customHeight="1" x14ac:dyDescent="0.25">
      <c r="A311" s="4" t="s">
        <v>21</v>
      </c>
      <c r="B311" s="4" t="s">
        <v>32</v>
      </c>
      <c r="C311" s="4" t="s">
        <v>23</v>
      </c>
      <c r="D311" s="4" t="s">
        <v>47</v>
      </c>
      <c r="E311" s="4" t="s">
        <v>48</v>
      </c>
      <c r="F311" s="4" t="s">
        <v>25</v>
      </c>
      <c r="G311" s="4" t="s">
        <v>25</v>
      </c>
      <c r="H311" s="4" t="s">
        <v>25</v>
      </c>
      <c r="I311" s="5">
        <v>44378</v>
      </c>
      <c r="J311" s="6">
        <v>0</v>
      </c>
      <c r="K311" s="70">
        <v>0</v>
      </c>
      <c r="L311" s="6">
        <v>64.19</v>
      </c>
      <c r="M311" s="70">
        <v>64.19</v>
      </c>
      <c r="N311" s="6">
        <v>64.19</v>
      </c>
      <c r="O311" s="70">
        <v>64.19</v>
      </c>
      <c r="P311" s="6">
        <v>9</v>
      </c>
      <c r="Q311" s="4" t="s">
        <v>26</v>
      </c>
      <c r="R311" s="4">
        <v>0</v>
      </c>
      <c r="S311" s="6">
        <v>0</v>
      </c>
      <c r="T311" s="6">
        <v>44</v>
      </c>
      <c r="U311" s="6">
        <v>81</v>
      </c>
      <c r="V311" s="70">
        <f>IF(ISERROR(VLOOKUP($S$311,'TAR FIN'!$A$1:$O$85,15,0)),0,VLOOKUP($S$311,'TAR FIN'!$A$1:$O$85,15,0))</f>
        <v>0</v>
      </c>
      <c r="W311" s="70">
        <f>IF(ISERROR(VLOOKUP($T$311,'TAR FIN'!$A$1:$O$85,15,0)),0,VLOOKUP($T$311,'TAR FIN'!$A$1:$O$85,15,0))*(1-0.06)</f>
        <v>478.86419999999998</v>
      </c>
      <c r="X311" s="70">
        <f>IF(ISERROR(VLOOKUP($U$311,'TAR FIN'!$A$1:$O$85,15,0)),0,VLOOKUP($U$311,'TAR FIN'!$A$1:$O$85,15,0))*(1-0.06)</f>
        <v>236.73899999999998</v>
      </c>
      <c r="Y311" s="70"/>
      <c r="Z311" s="70">
        <f ca="1">('TUSD BE'!$AM$48+'TUSD BF'!$AM$48+'TUSD CVA'!$AM$48)*1*(1-0.03)</f>
        <v>638.2109172922145</v>
      </c>
      <c r="AA311" s="70">
        <f>('TE BE'!$AA$39+'TE BF'!$AA$39+'TE CVA'!$AA$39)*1*(1-0.03)</f>
        <v>248.99139990290581</v>
      </c>
      <c r="AB311" s="6">
        <f>$K$311*$V$311</f>
        <v>0</v>
      </c>
      <c r="AC311" s="6">
        <f>$M$311*$W$311</f>
        <v>30738.292997999997</v>
      </c>
      <c r="AD311" s="6">
        <f>$O$311*$X$311</f>
        <v>15196.276409999999</v>
      </c>
      <c r="AE311" s="6">
        <f>$K$311*$Y$311</f>
        <v>0</v>
      </c>
      <c r="AF311" s="6">
        <f ca="1">$M$311*$Z$311</f>
        <v>40966.758780987249</v>
      </c>
      <c r="AG311" s="6">
        <f>$O$311*$AA$311</f>
        <v>15982.757959767523</v>
      </c>
    </row>
    <row r="312" spans="1:33" ht="11.25" customHeight="1" x14ac:dyDescent="0.25">
      <c r="A312" s="4" t="s">
        <v>21</v>
      </c>
      <c r="B312" s="4" t="s">
        <v>32</v>
      </c>
      <c r="C312" s="4" t="s">
        <v>23</v>
      </c>
      <c r="D312" s="4" t="s">
        <v>47</v>
      </c>
      <c r="E312" s="4" t="s">
        <v>48</v>
      </c>
      <c r="F312" s="4" t="s">
        <v>25</v>
      </c>
      <c r="G312" s="4" t="s">
        <v>25</v>
      </c>
      <c r="H312" s="4" t="s">
        <v>25</v>
      </c>
      <c r="I312" s="5">
        <v>44409</v>
      </c>
      <c r="J312" s="6">
        <v>0</v>
      </c>
      <c r="K312" s="70">
        <v>0</v>
      </c>
      <c r="L312" s="6">
        <v>55.654000000000003</v>
      </c>
      <c r="M312" s="70">
        <v>55.654000000000003</v>
      </c>
      <c r="N312" s="6">
        <v>55.654000000000003</v>
      </c>
      <c r="O312" s="70">
        <v>55.654000000000003</v>
      </c>
      <c r="P312" s="6">
        <v>9</v>
      </c>
      <c r="Q312" s="4" t="s">
        <v>26</v>
      </c>
      <c r="R312" s="4">
        <v>0</v>
      </c>
      <c r="S312" s="6">
        <v>0</v>
      </c>
      <c r="T312" s="6">
        <v>44</v>
      </c>
      <c r="U312" s="6">
        <v>81</v>
      </c>
      <c r="V312" s="70">
        <f>IF(ISERROR(VLOOKUP($S$312,'TAR FIN'!$A$1:$O$85,15,0)),0,VLOOKUP($S$312,'TAR FIN'!$A$1:$O$85,15,0))</f>
        <v>0</v>
      </c>
      <c r="W312" s="70">
        <f>IF(ISERROR(VLOOKUP($T$312,'TAR FIN'!$A$1:$O$85,15,0)),0,VLOOKUP($T$312,'TAR FIN'!$A$1:$O$85,15,0))*(1-0.06)</f>
        <v>478.86419999999998</v>
      </c>
      <c r="X312" s="70">
        <f>IF(ISERROR(VLOOKUP($U$312,'TAR FIN'!$A$1:$O$85,15,0)),0,VLOOKUP($U$312,'TAR FIN'!$A$1:$O$85,15,0))*(1-0.06)</f>
        <v>236.73899999999998</v>
      </c>
      <c r="Y312" s="70"/>
      <c r="Z312" s="70">
        <f ca="1">('TUSD BE'!$AM$48+'TUSD BF'!$AM$48+'TUSD CVA'!$AM$48)*1*(1-0.03)</f>
        <v>638.2109172922145</v>
      </c>
      <c r="AA312" s="70">
        <f>('TE BE'!$AA$39+'TE BF'!$AA$39+'TE CVA'!$AA$39)*1*(1-0.03)</f>
        <v>248.99139990290581</v>
      </c>
      <c r="AB312" s="6">
        <f>$K$312*$V$312</f>
        <v>0</v>
      </c>
      <c r="AC312" s="6">
        <f>$M$312*$W$312</f>
        <v>26650.708186800002</v>
      </c>
      <c r="AD312" s="6">
        <f>$O$312*$X$312</f>
        <v>13175.472306</v>
      </c>
      <c r="AE312" s="6">
        <f>$K$312*$Y$312</f>
        <v>0</v>
      </c>
      <c r="AF312" s="6">
        <f ca="1">$M$312*$Z$312</f>
        <v>35518.990390980907</v>
      </c>
      <c r="AG312" s="6">
        <f>$O$312*$AA$312</f>
        <v>13857.367370196322</v>
      </c>
    </row>
    <row r="313" spans="1:33" ht="11.25" customHeight="1" x14ac:dyDescent="0.25">
      <c r="A313" s="4" t="s">
        <v>21</v>
      </c>
      <c r="B313" s="4" t="s">
        <v>32</v>
      </c>
      <c r="C313" s="4" t="s">
        <v>23</v>
      </c>
      <c r="D313" s="4" t="s">
        <v>47</v>
      </c>
      <c r="E313" s="4" t="s">
        <v>48</v>
      </c>
      <c r="F313" s="4" t="s">
        <v>25</v>
      </c>
      <c r="G313" s="4" t="s">
        <v>25</v>
      </c>
      <c r="H313" s="4" t="s">
        <v>25</v>
      </c>
      <c r="I313" s="5">
        <v>44440</v>
      </c>
      <c r="J313" s="6">
        <v>0</v>
      </c>
      <c r="K313" s="70">
        <v>0</v>
      </c>
      <c r="L313" s="6">
        <v>65.501999999999995</v>
      </c>
      <c r="M313" s="70">
        <v>65.501999999999995</v>
      </c>
      <c r="N313" s="6">
        <v>65.501999999999995</v>
      </c>
      <c r="O313" s="70">
        <v>65.501999999999995</v>
      </c>
      <c r="P313" s="6">
        <v>9</v>
      </c>
      <c r="Q313" s="4" t="s">
        <v>26</v>
      </c>
      <c r="R313" s="4">
        <v>0</v>
      </c>
      <c r="S313" s="6">
        <v>0</v>
      </c>
      <c r="T313" s="6">
        <v>44</v>
      </c>
      <c r="U313" s="6">
        <v>81</v>
      </c>
      <c r="V313" s="70">
        <f>IF(ISERROR(VLOOKUP($S$313,'TAR FIN'!$A$1:$O$85,15,0)),0,VLOOKUP($S$313,'TAR FIN'!$A$1:$O$85,15,0))</f>
        <v>0</v>
      </c>
      <c r="W313" s="70">
        <f>IF(ISERROR(VLOOKUP($T$313,'TAR FIN'!$A$1:$O$85,15,0)),0,VLOOKUP($T$313,'TAR FIN'!$A$1:$O$85,15,0))*(1-0.06)</f>
        <v>478.86419999999998</v>
      </c>
      <c r="X313" s="70">
        <f>IF(ISERROR(VLOOKUP($U$313,'TAR FIN'!$A$1:$O$85,15,0)),0,VLOOKUP($U$313,'TAR FIN'!$A$1:$O$85,15,0))*(1-0.06)</f>
        <v>236.73899999999998</v>
      </c>
      <c r="Y313" s="70"/>
      <c r="Z313" s="70">
        <f ca="1">('TUSD BE'!$AM$48+'TUSD BF'!$AM$48+'TUSD CVA'!$AM$48)*1*(1-0.03)</f>
        <v>638.2109172922145</v>
      </c>
      <c r="AA313" s="70">
        <f>('TE BE'!$AA$39+'TE BF'!$AA$39+'TE CVA'!$AA$39)*1*(1-0.03)</f>
        <v>248.99139990290581</v>
      </c>
      <c r="AB313" s="6">
        <f>$K$313*$V$313</f>
        <v>0</v>
      </c>
      <c r="AC313" s="6">
        <f>$M$313*$W$313</f>
        <v>31366.562828399998</v>
      </c>
      <c r="AD313" s="6">
        <f>$O$313*$X$313</f>
        <v>15506.877977999997</v>
      </c>
      <c r="AE313" s="6">
        <f>$K$313*$Y$313</f>
        <v>0</v>
      </c>
      <c r="AF313" s="6">
        <f ca="1">$M$313*$Z$313</f>
        <v>41804.091504474629</v>
      </c>
      <c r="AG313" s="6">
        <f>$O$313*$AA$313</f>
        <v>16309.434676440136</v>
      </c>
    </row>
    <row r="314" spans="1:33" ht="11.25" customHeight="1" x14ac:dyDescent="0.25">
      <c r="A314" s="4" t="s">
        <v>21</v>
      </c>
      <c r="B314" s="4" t="s">
        <v>32</v>
      </c>
      <c r="C314" s="4" t="s">
        <v>23</v>
      </c>
      <c r="D314" s="4" t="s">
        <v>47</v>
      </c>
      <c r="E314" s="4" t="s">
        <v>48</v>
      </c>
      <c r="F314" s="4" t="s">
        <v>25</v>
      </c>
      <c r="G314" s="4" t="s">
        <v>25</v>
      </c>
      <c r="H314" s="4" t="s">
        <v>25</v>
      </c>
      <c r="I314" s="5">
        <v>44470</v>
      </c>
      <c r="J314" s="6">
        <v>0</v>
      </c>
      <c r="K314" s="70">
        <v>0</v>
      </c>
      <c r="L314" s="6">
        <v>57.7</v>
      </c>
      <c r="M314" s="70">
        <v>57.7</v>
      </c>
      <c r="N314" s="6">
        <v>57.7</v>
      </c>
      <c r="O314" s="70">
        <v>57.7</v>
      </c>
      <c r="P314" s="6">
        <v>9</v>
      </c>
      <c r="Q314" s="4" t="s">
        <v>26</v>
      </c>
      <c r="R314" s="4">
        <v>0</v>
      </c>
      <c r="S314" s="6">
        <v>0</v>
      </c>
      <c r="T314" s="6">
        <v>44</v>
      </c>
      <c r="U314" s="6">
        <v>81</v>
      </c>
      <c r="V314" s="70">
        <f>IF(ISERROR(VLOOKUP($S$314,'TAR FIN'!$A$1:$O$85,15,0)),0,VLOOKUP($S$314,'TAR FIN'!$A$1:$O$85,15,0))</f>
        <v>0</v>
      </c>
      <c r="W314" s="70">
        <f>IF(ISERROR(VLOOKUP($T$314,'TAR FIN'!$A$1:$O$85,15,0)),0,VLOOKUP($T$314,'TAR FIN'!$A$1:$O$85,15,0))*(1-0.06)</f>
        <v>478.86419999999998</v>
      </c>
      <c r="X314" s="70">
        <f>IF(ISERROR(VLOOKUP($U$314,'TAR FIN'!$A$1:$O$85,15,0)),0,VLOOKUP($U$314,'TAR FIN'!$A$1:$O$85,15,0))*(1-0.06)</f>
        <v>236.73899999999998</v>
      </c>
      <c r="Y314" s="70"/>
      <c r="Z314" s="70">
        <f ca="1">('TUSD BE'!$AM$48+'TUSD BF'!$AM$48+'TUSD CVA'!$AM$48)*1*(1-0.03)</f>
        <v>638.2109172922145</v>
      </c>
      <c r="AA314" s="70">
        <f>('TE BE'!$AA$39+'TE BF'!$AA$39+'TE CVA'!$AA$39)*1*(1-0.03)</f>
        <v>248.99139990290581</v>
      </c>
      <c r="AB314" s="6">
        <f>$K$314*$V$314</f>
        <v>0</v>
      </c>
      <c r="AC314" s="6">
        <f>$M$314*$W$314</f>
        <v>27630.464339999999</v>
      </c>
      <c r="AD314" s="6">
        <f>$O$314*$X$314</f>
        <v>13659.8403</v>
      </c>
      <c r="AE314" s="6">
        <f>$K$314*$Y$314</f>
        <v>0</v>
      </c>
      <c r="AF314" s="6">
        <f ca="1">$M$314*$Z$314</f>
        <v>36824.769927760775</v>
      </c>
      <c r="AG314" s="6">
        <f>$O$314*$AA$314</f>
        <v>14366.803774397666</v>
      </c>
    </row>
    <row r="315" spans="1:33" ht="11.25" customHeight="1" x14ac:dyDescent="0.25">
      <c r="A315" s="4" t="s">
        <v>21</v>
      </c>
      <c r="B315" s="4" t="s">
        <v>32</v>
      </c>
      <c r="C315" s="4" t="s">
        <v>23</v>
      </c>
      <c r="D315" s="4" t="s">
        <v>47</v>
      </c>
      <c r="E315" s="4" t="s">
        <v>48</v>
      </c>
      <c r="F315" s="4" t="s">
        <v>25</v>
      </c>
      <c r="G315" s="4" t="s">
        <v>25</v>
      </c>
      <c r="H315" s="4" t="s">
        <v>25</v>
      </c>
      <c r="I315" s="5">
        <v>44501</v>
      </c>
      <c r="J315" s="6">
        <v>0</v>
      </c>
      <c r="K315" s="70">
        <v>0</v>
      </c>
      <c r="L315" s="6">
        <v>66.826999999999998</v>
      </c>
      <c r="M315" s="70">
        <v>66.826999999999998</v>
      </c>
      <c r="N315" s="6">
        <v>66.826999999999998</v>
      </c>
      <c r="O315" s="70">
        <v>66.826999999999998</v>
      </c>
      <c r="P315" s="6">
        <v>9</v>
      </c>
      <c r="Q315" s="4" t="s">
        <v>26</v>
      </c>
      <c r="R315" s="4">
        <v>0</v>
      </c>
      <c r="S315" s="6">
        <v>0</v>
      </c>
      <c r="T315" s="6">
        <v>44</v>
      </c>
      <c r="U315" s="6">
        <v>81</v>
      </c>
      <c r="V315" s="70">
        <f>IF(ISERROR(VLOOKUP($S$315,'TAR FIN'!$A$1:$O$85,15,0)),0,VLOOKUP($S$315,'TAR FIN'!$A$1:$O$85,15,0))</f>
        <v>0</v>
      </c>
      <c r="W315" s="70">
        <f>IF(ISERROR(VLOOKUP($T$315,'TAR FIN'!$A$1:$O$85,15,0)),0,VLOOKUP($T$315,'TAR FIN'!$A$1:$O$85,15,0))*(1-0.06)</f>
        <v>478.86419999999998</v>
      </c>
      <c r="X315" s="70">
        <f>IF(ISERROR(VLOOKUP($U$315,'TAR FIN'!$A$1:$O$85,15,0)),0,VLOOKUP($U$315,'TAR FIN'!$A$1:$O$85,15,0))*(1-0.06)</f>
        <v>236.73899999999998</v>
      </c>
      <c r="Y315" s="70"/>
      <c r="Z315" s="70">
        <f ca="1">('TUSD BE'!$AM$48+'TUSD BF'!$AM$48+'TUSD CVA'!$AM$48)*1*(1-0.03)</f>
        <v>638.2109172922145</v>
      </c>
      <c r="AA315" s="70">
        <f>('TE BE'!$AA$39+'TE BF'!$AA$39+'TE CVA'!$AA$39)*1*(1-0.03)</f>
        <v>248.99139990290581</v>
      </c>
      <c r="AB315" s="6">
        <f>$K$315*$V$315</f>
        <v>0</v>
      </c>
      <c r="AC315" s="6">
        <f>$M$315*$W$315</f>
        <v>32001.057893399997</v>
      </c>
      <c r="AD315" s="6">
        <f>$O$315*$X$315</f>
        <v>15820.557152999998</v>
      </c>
      <c r="AE315" s="6">
        <f>$K$315*$Y$315</f>
        <v>0</v>
      </c>
      <c r="AF315" s="6">
        <f ca="1">$M$315*$Z$315</f>
        <v>42649.720969886817</v>
      </c>
      <c r="AG315" s="6">
        <f>$O$315*$AA$315</f>
        <v>16639.348281311486</v>
      </c>
    </row>
    <row r="316" spans="1:33" ht="11.25" customHeight="1" x14ac:dyDescent="0.25">
      <c r="A316" s="4" t="s">
        <v>21</v>
      </c>
      <c r="B316" s="4" t="s">
        <v>32</v>
      </c>
      <c r="C316" s="4" t="s">
        <v>23</v>
      </c>
      <c r="D316" s="4" t="s">
        <v>47</v>
      </c>
      <c r="E316" s="4" t="s">
        <v>48</v>
      </c>
      <c r="F316" s="4" t="s">
        <v>25</v>
      </c>
      <c r="G316" s="4" t="s">
        <v>25</v>
      </c>
      <c r="H316" s="4" t="s">
        <v>25</v>
      </c>
      <c r="I316" s="5">
        <v>44531</v>
      </c>
      <c r="J316" s="6">
        <v>0</v>
      </c>
      <c r="K316" s="70">
        <v>0</v>
      </c>
      <c r="L316" s="6">
        <v>65.108999999999995</v>
      </c>
      <c r="M316" s="70">
        <v>65.108999999999995</v>
      </c>
      <c r="N316" s="6">
        <v>65.108999999999995</v>
      </c>
      <c r="O316" s="70">
        <v>65.108999999999995</v>
      </c>
      <c r="P316" s="6">
        <v>9</v>
      </c>
      <c r="Q316" s="4" t="s">
        <v>26</v>
      </c>
      <c r="R316" s="4">
        <v>0</v>
      </c>
      <c r="S316" s="6">
        <v>0</v>
      </c>
      <c r="T316" s="6">
        <v>44</v>
      </c>
      <c r="U316" s="6">
        <v>81</v>
      </c>
      <c r="V316" s="70">
        <f>IF(ISERROR(VLOOKUP($S$316,'TAR FIN'!$A$1:$O$85,15,0)),0,VLOOKUP($S$316,'TAR FIN'!$A$1:$O$85,15,0))</f>
        <v>0</v>
      </c>
      <c r="W316" s="70">
        <f>IF(ISERROR(VLOOKUP($T$316,'TAR FIN'!$A$1:$O$85,15,0)),0,VLOOKUP($T$316,'TAR FIN'!$A$1:$O$85,15,0))*(1-0.06)</f>
        <v>478.86419999999998</v>
      </c>
      <c r="X316" s="70">
        <f>IF(ISERROR(VLOOKUP($U$316,'TAR FIN'!$A$1:$O$85,15,0)),0,VLOOKUP($U$316,'TAR FIN'!$A$1:$O$85,15,0))*(1-0.06)</f>
        <v>236.73899999999998</v>
      </c>
      <c r="Y316" s="70"/>
      <c r="Z316" s="70">
        <f ca="1">('TUSD BE'!$AM$48+'TUSD BF'!$AM$48+'TUSD CVA'!$AM$48)*1*(1-0.03)</f>
        <v>638.2109172922145</v>
      </c>
      <c r="AA316" s="70">
        <f>('TE BE'!$AA$39+'TE BF'!$AA$39+'TE CVA'!$AA$39)*1*(1-0.03)</f>
        <v>248.99139990290581</v>
      </c>
      <c r="AB316" s="6">
        <f>$K$316*$V$316</f>
        <v>0</v>
      </c>
      <c r="AC316" s="6">
        <f>$M$316*$W$316</f>
        <v>31178.369197799995</v>
      </c>
      <c r="AD316" s="6">
        <f>$O$316*$X$316</f>
        <v>15413.839550999997</v>
      </c>
      <c r="AE316" s="6">
        <f>$K$316*$Y$316</f>
        <v>0</v>
      </c>
      <c r="AF316" s="6">
        <f ca="1">$M$316*$Z$316</f>
        <v>41553.274613978792</v>
      </c>
      <c r="AG316" s="6">
        <f>$O$316*$AA$316</f>
        <v>16211.581056278294</v>
      </c>
    </row>
    <row r="317" spans="1:33" ht="11.25" customHeight="1" x14ac:dyDescent="0.25">
      <c r="A317" s="4" t="s">
        <v>21</v>
      </c>
      <c r="B317" s="4" t="s">
        <v>32</v>
      </c>
      <c r="C317" s="4" t="s">
        <v>23</v>
      </c>
      <c r="D317" s="4" t="s">
        <v>47</v>
      </c>
      <c r="E317" s="4" t="s">
        <v>48</v>
      </c>
      <c r="F317" s="4" t="s">
        <v>25</v>
      </c>
      <c r="G317" s="4" t="s">
        <v>25</v>
      </c>
      <c r="H317" s="4" t="s">
        <v>25</v>
      </c>
      <c r="I317" s="5">
        <v>44562</v>
      </c>
      <c r="J317" s="6">
        <v>0</v>
      </c>
      <c r="K317" s="70">
        <v>0</v>
      </c>
      <c r="L317" s="6">
        <v>55.542000000000002</v>
      </c>
      <c r="M317" s="70">
        <v>55.542000000000002</v>
      </c>
      <c r="N317" s="6">
        <v>55.542000000000002</v>
      </c>
      <c r="O317" s="70">
        <v>55.542000000000002</v>
      </c>
      <c r="P317" s="6">
        <v>9</v>
      </c>
      <c r="Q317" s="4" t="s">
        <v>26</v>
      </c>
      <c r="R317" s="4">
        <v>0</v>
      </c>
      <c r="S317" s="6">
        <v>0</v>
      </c>
      <c r="T317" s="6">
        <v>44</v>
      </c>
      <c r="U317" s="6">
        <v>81</v>
      </c>
      <c r="V317" s="70">
        <f>IF(ISERROR(VLOOKUP($S$317,'TAR FIN'!$A$1:$O$85,15,0)),0,VLOOKUP($S$317,'TAR FIN'!$A$1:$O$85,15,0))</f>
        <v>0</v>
      </c>
      <c r="W317" s="70">
        <f>IF(ISERROR(VLOOKUP($T$317,'TAR FIN'!$A$1:$O$85,15,0)),0,VLOOKUP($T$317,'TAR FIN'!$A$1:$O$85,15,0))*(1-0.06)</f>
        <v>478.86419999999998</v>
      </c>
      <c r="X317" s="70">
        <f>IF(ISERROR(VLOOKUP($U$317,'TAR FIN'!$A$1:$O$85,15,0)),0,VLOOKUP($U$317,'TAR FIN'!$A$1:$O$85,15,0))*(1-0.06)</f>
        <v>236.73899999999998</v>
      </c>
      <c r="Y317" s="70"/>
      <c r="Z317" s="70">
        <f ca="1">('TUSD BE'!$AM$48+'TUSD BF'!$AM$48+'TUSD CVA'!$AM$48)*1*(1-0.03)</f>
        <v>638.2109172922145</v>
      </c>
      <c r="AA317" s="70">
        <f>('TE BE'!$AA$39+'TE BF'!$AA$39+'TE CVA'!$AA$39)*1*(1-0.03)</f>
        <v>248.99139990290581</v>
      </c>
      <c r="AB317" s="6">
        <f>$K$317*$V$317</f>
        <v>0</v>
      </c>
      <c r="AC317" s="6">
        <f>$M$317*$W$317</f>
        <v>26597.0753964</v>
      </c>
      <c r="AD317" s="6">
        <f>$O$317*$X$317</f>
        <v>13148.957537999999</v>
      </c>
      <c r="AE317" s="6">
        <f>$K$317*$Y$317</f>
        <v>0</v>
      </c>
      <c r="AF317" s="6">
        <f ca="1">$M$317*$Z$317</f>
        <v>35447.510768244181</v>
      </c>
      <c r="AG317" s="6">
        <f>$O$317*$AA$317</f>
        <v>13829.480333407195</v>
      </c>
    </row>
    <row r="318" spans="1:33" ht="11.25" customHeight="1" x14ac:dyDescent="0.25">
      <c r="A318" s="4" t="s">
        <v>21</v>
      </c>
      <c r="B318" s="4" t="s">
        <v>32</v>
      </c>
      <c r="C318" s="4" t="s">
        <v>23</v>
      </c>
      <c r="D318" s="4" t="s">
        <v>47</v>
      </c>
      <c r="E318" s="4" t="s">
        <v>48</v>
      </c>
      <c r="F318" s="4" t="s">
        <v>25</v>
      </c>
      <c r="G318" s="4" t="s">
        <v>25</v>
      </c>
      <c r="H318" s="4" t="s">
        <v>25</v>
      </c>
      <c r="I318" s="5">
        <v>44593</v>
      </c>
      <c r="J318" s="6">
        <v>0</v>
      </c>
      <c r="K318" s="70">
        <v>0</v>
      </c>
      <c r="L318" s="6">
        <v>56.944000000000003</v>
      </c>
      <c r="M318" s="70">
        <v>56.944000000000003</v>
      </c>
      <c r="N318" s="6">
        <v>56.944000000000003</v>
      </c>
      <c r="O318" s="70">
        <v>56.944000000000003</v>
      </c>
      <c r="P318" s="6">
        <v>9</v>
      </c>
      <c r="Q318" s="4" t="s">
        <v>26</v>
      </c>
      <c r="R318" s="4">
        <v>0</v>
      </c>
      <c r="S318" s="6">
        <v>0</v>
      </c>
      <c r="T318" s="6">
        <v>44</v>
      </c>
      <c r="U318" s="6">
        <v>81</v>
      </c>
      <c r="V318" s="70">
        <f>IF(ISERROR(VLOOKUP($S$318,'TAR FIN'!$A$1:$O$85,15,0)),0,VLOOKUP($S$318,'TAR FIN'!$A$1:$O$85,15,0))</f>
        <v>0</v>
      </c>
      <c r="W318" s="70">
        <f>IF(ISERROR(VLOOKUP($T$318,'TAR FIN'!$A$1:$O$85,15,0)),0,VLOOKUP($T$318,'TAR FIN'!$A$1:$O$85,15,0))*(1-0.06)</f>
        <v>478.86419999999998</v>
      </c>
      <c r="X318" s="70">
        <f>IF(ISERROR(VLOOKUP($U$318,'TAR FIN'!$A$1:$O$85,15,0)),0,VLOOKUP($U$318,'TAR FIN'!$A$1:$O$85,15,0))*(1-0.06)</f>
        <v>236.73899999999998</v>
      </c>
      <c r="Y318" s="70"/>
      <c r="Z318" s="70">
        <f ca="1">('TUSD BE'!$AM$48+'TUSD BF'!$AM$48+'TUSD CVA'!$AM$48)*1*(1-0.03)</f>
        <v>638.2109172922145</v>
      </c>
      <c r="AA318" s="70">
        <f>('TE BE'!$AA$39+'TE BF'!$AA$39+'TE CVA'!$AA$39)*1*(1-0.03)</f>
        <v>248.99139990290581</v>
      </c>
      <c r="AB318" s="6">
        <f>$K$318*$V$318</f>
        <v>0</v>
      </c>
      <c r="AC318" s="6">
        <f>$M$318*$W$318</f>
        <v>27268.443004799999</v>
      </c>
      <c r="AD318" s="6">
        <f>$O$318*$X$318</f>
        <v>13480.865615999999</v>
      </c>
      <c r="AE318" s="6">
        <f>$K$318*$Y$318</f>
        <v>0</v>
      </c>
      <c r="AF318" s="6">
        <f ca="1">$M$318*$Z$318</f>
        <v>36342.282474287866</v>
      </c>
      <c r="AG318" s="6">
        <f>$O$318*$AA$318</f>
        <v>14178.566276071069</v>
      </c>
    </row>
    <row r="319" spans="1:33" ht="11.25" customHeight="1" x14ac:dyDescent="0.25">
      <c r="A319" s="4" t="s">
        <v>21</v>
      </c>
      <c r="B319" s="4" t="s">
        <v>32</v>
      </c>
      <c r="C319" s="4" t="s">
        <v>23</v>
      </c>
      <c r="D319" s="4" t="s">
        <v>47</v>
      </c>
      <c r="E319" s="4" t="s">
        <v>48</v>
      </c>
      <c r="F319" s="4" t="s">
        <v>25</v>
      </c>
      <c r="G319" s="4" t="s">
        <v>25</v>
      </c>
      <c r="H319" s="4" t="s">
        <v>25</v>
      </c>
      <c r="I319" s="5">
        <v>44621</v>
      </c>
      <c r="J319" s="6">
        <v>0</v>
      </c>
      <c r="K319" s="70">
        <v>0</v>
      </c>
      <c r="L319" s="6">
        <v>61.503999999999998</v>
      </c>
      <c r="M319" s="70">
        <v>61.503999999999998</v>
      </c>
      <c r="N319" s="6">
        <v>61.503999999999998</v>
      </c>
      <c r="O319" s="70">
        <v>61.503999999999998</v>
      </c>
      <c r="P319" s="6">
        <v>9</v>
      </c>
      <c r="Q319" s="4" t="s">
        <v>26</v>
      </c>
      <c r="R319" s="4">
        <v>0</v>
      </c>
      <c r="S319" s="6">
        <v>0</v>
      </c>
      <c r="T319" s="6">
        <v>44</v>
      </c>
      <c r="U319" s="6">
        <v>81</v>
      </c>
      <c r="V319" s="70">
        <f>IF(ISERROR(VLOOKUP($S$319,'TAR FIN'!$A$1:$O$85,15,0)),0,VLOOKUP($S$319,'TAR FIN'!$A$1:$O$85,15,0))</f>
        <v>0</v>
      </c>
      <c r="W319" s="70">
        <f>IF(ISERROR(VLOOKUP($T$319,'TAR FIN'!$A$1:$O$85,15,0)),0,VLOOKUP($T$319,'TAR FIN'!$A$1:$O$85,15,0))*(1-0.06)</f>
        <v>478.86419999999998</v>
      </c>
      <c r="X319" s="70">
        <f>IF(ISERROR(VLOOKUP($U$319,'TAR FIN'!$A$1:$O$85,15,0)),0,VLOOKUP($U$319,'TAR FIN'!$A$1:$O$85,15,0))*(1-0.06)</f>
        <v>236.73899999999998</v>
      </c>
      <c r="Y319" s="70"/>
      <c r="Z319" s="70">
        <f ca="1">('TUSD BE'!$AM$48+'TUSD BF'!$AM$48+'TUSD CVA'!$AM$48)*1*(1-0.03)</f>
        <v>638.2109172922145</v>
      </c>
      <c r="AA319" s="70">
        <f>('TE BE'!$AA$39+'TE BF'!$AA$39+'TE CVA'!$AA$39)*1*(1-0.03)</f>
        <v>248.99139990290581</v>
      </c>
      <c r="AB319" s="6">
        <f>$K$319*$V$319</f>
        <v>0</v>
      </c>
      <c r="AC319" s="6">
        <f>$M$319*$W$319</f>
        <v>29452.063756799998</v>
      </c>
      <c r="AD319" s="6">
        <f>$O$319*$X$319</f>
        <v>14560.395455999998</v>
      </c>
      <c r="AE319" s="6">
        <f>$K$319*$Y$319</f>
        <v>0</v>
      </c>
      <c r="AF319" s="6">
        <f ca="1">$M$319*$Z$319</f>
        <v>39252.524257140358</v>
      </c>
      <c r="AG319" s="6">
        <f>$O$319*$AA$319</f>
        <v>15313.967059628318</v>
      </c>
    </row>
    <row r="320" spans="1:33" ht="11.25" customHeight="1" x14ac:dyDescent="0.25">
      <c r="A320" s="4" t="s">
        <v>21</v>
      </c>
      <c r="B320" s="4" t="s">
        <v>32</v>
      </c>
      <c r="C320" s="4" t="s">
        <v>23</v>
      </c>
      <c r="D320" s="4" t="s">
        <v>47</v>
      </c>
      <c r="E320" s="4" t="s">
        <v>48</v>
      </c>
      <c r="F320" s="4" t="s">
        <v>25</v>
      </c>
      <c r="G320" s="4" t="s">
        <v>25</v>
      </c>
      <c r="H320" s="4" t="s">
        <v>25</v>
      </c>
      <c r="I320" s="5">
        <v>44652</v>
      </c>
      <c r="J320" s="6">
        <v>0</v>
      </c>
      <c r="K320" s="70">
        <v>0</v>
      </c>
      <c r="L320" s="6">
        <v>74.944000000000003</v>
      </c>
      <c r="M320" s="70">
        <v>74.944000000000003</v>
      </c>
      <c r="N320" s="6">
        <v>74.944000000000003</v>
      </c>
      <c r="O320" s="70">
        <v>74.944000000000003</v>
      </c>
      <c r="P320" s="6">
        <v>9</v>
      </c>
      <c r="Q320" s="4" t="s">
        <v>26</v>
      </c>
      <c r="R320" s="4">
        <v>0</v>
      </c>
      <c r="S320" s="6">
        <v>0</v>
      </c>
      <c r="T320" s="6">
        <v>44</v>
      </c>
      <c r="U320" s="6">
        <v>81</v>
      </c>
      <c r="V320" s="70">
        <f>IF(ISERROR(VLOOKUP($S$320,'TAR FIN'!$A$1:$O$85,15,0)),0,VLOOKUP($S$320,'TAR FIN'!$A$1:$O$85,15,0))</f>
        <v>0</v>
      </c>
      <c r="W320" s="70">
        <f>IF(ISERROR(VLOOKUP($T$320,'TAR FIN'!$A$1:$O$85,15,0)),0,VLOOKUP($T$320,'TAR FIN'!$A$1:$O$85,15,0))*(1-0.06)</f>
        <v>478.86419999999998</v>
      </c>
      <c r="X320" s="70">
        <f>IF(ISERROR(VLOOKUP($U$320,'TAR FIN'!$A$1:$O$85,15,0)),0,VLOOKUP($U$320,'TAR FIN'!$A$1:$O$85,15,0))*(1-0.06)</f>
        <v>236.73899999999998</v>
      </c>
      <c r="Y320" s="70"/>
      <c r="Z320" s="70">
        <f ca="1">('TUSD BE'!$AM$48+'TUSD BF'!$AM$48+'TUSD CVA'!$AM$48)*1*(1-0.03)</f>
        <v>638.2109172922145</v>
      </c>
      <c r="AA320" s="70">
        <f>('TE BE'!$AA$39+'TE BF'!$AA$39+'TE CVA'!$AA$39)*1*(1-0.03)</f>
        <v>248.99139990290581</v>
      </c>
      <c r="AB320" s="6">
        <f>$K$320*$V$320</f>
        <v>0</v>
      </c>
      <c r="AC320" s="6">
        <f>$M$320*$W$320</f>
        <v>35887.998604799999</v>
      </c>
      <c r="AD320" s="6">
        <f>$O$320*$X$320</f>
        <v>17742.167615999999</v>
      </c>
      <c r="AE320" s="6">
        <f>$K$320*$Y$320</f>
        <v>0</v>
      </c>
      <c r="AF320" s="6">
        <f ca="1">$M$320*$Z$320</f>
        <v>47830.078985547727</v>
      </c>
      <c r="AG320" s="6">
        <f>$O$320*$AA$320</f>
        <v>18660.411474323373</v>
      </c>
    </row>
    <row r="321" spans="1:33" ht="11.25" customHeight="1" x14ac:dyDescent="0.25">
      <c r="A321" s="4" t="s">
        <v>21</v>
      </c>
      <c r="B321" s="4" t="s">
        <v>44</v>
      </c>
      <c r="C321" s="4" t="s">
        <v>23</v>
      </c>
      <c r="D321" s="4" t="s">
        <v>45</v>
      </c>
      <c r="E321" s="4" t="s">
        <v>46</v>
      </c>
      <c r="F321" s="4" t="s">
        <v>25</v>
      </c>
      <c r="G321" s="4" t="s">
        <v>25</v>
      </c>
      <c r="H321" s="4" t="s">
        <v>25</v>
      </c>
      <c r="I321" s="5">
        <v>44317</v>
      </c>
      <c r="J321" s="6">
        <v>0</v>
      </c>
      <c r="K321" s="6">
        <v>0</v>
      </c>
      <c r="L321" s="6">
        <v>132.27799999999999</v>
      </c>
      <c r="M321" s="6">
        <v>132.27799999999999</v>
      </c>
      <c r="N321" s="6">
        <v>132.27799999999999</v>
      </c>
      <c r="O321" s="6">
        <v>132.27799999999999</v>
      </c>
      <c r="P321" s="6">
        <v>5</v>
      </c>
      <c r="Q321" s="4" t="s">
        <v>26</v>
      </c>
      <c r="R321" s="4">
        <v>0</v>
      </c>
      <c r="S321" s="6">
        <v>0</v>
      </c>
      <c r="T321" s="6">
        <v>46</v>
      </c>
      <c r="U321" s="6">
        <v>83</v>
      </c>
      <c r="V321" s="6">
        <f>IF(ISERROR(VLOOKUP($S$321,'TAR FIN'!$A$1:$O$85,15,0)),0,VLOOKUP($S$321,'TAR FIN'!$A$1:$O$85,15,0))</f>
        <v>0</v>
      </c>
      <c r="W321" s="6">
        <f>IF(ISERROR(VLOOKUP($T$321,'TAR FIN'!$A$1:$O$85,15,0)),0,VLOOKUP($T$321,'TAR FIN'!$A$1:$O$85,15,0))</f>
        <v>280.18</v>
      </c>
      <c r="X321" s="6">
        <f>IF(ISERROR(VLOOKUP($U$321,'TAR FIN'!$A$1:$O$85,15,0)),0,VLOOKUP($U$321,'TAR FIN'!$A$1:$O$85,15,0))</f>
        <v>138.52000000000001</v>
      </c>
      <c r="Y321" s="6"/>
      <c r="Z321" s="6">
        <f ca="1">('TUSD BE'!$AM$50+'TUSD BF'!$AM$50+'TUSD CVA'!$AM$50)*1</f>
        <v>361.8721695986784</v>
      </c>
      <c r="AA321" s="6">
        <f>('TE BE'!$AA$41+'TE BF'!$AA$41+'TE CVA'!$AA$41)*1</f>
        <v>141.18069066659609</v>
      </c>
      <c r="AB321" s="6">
        <f>$K$321*$V$321</f>
        <v>0</v>
      </c>
      <c r="AC321" s="6">
        <f>$M$321*$W$321</f>
        <v>37061.65004</v>
      </c>
      <c r="AD321" s="6">
        <f>$O$321*$X$321</f>
        <v>18323.148560000001</v>
      </c>
      <c r="AE321" s="6">
        <f>$K$321*$Y$321</f>
        <v>0</v>
      </c>
      <c r="AF321" s="6">
        <f ca="1">$M$321*$Z$321</f>
        <v>47867.726850173975</v>
      </c>
      <c r="AG321" s="6">
        <f>$O$321*$AA$321</f>
        <v>18675.099399995997</v>
      </c>
    </row>
    <row r="322" spans="1:33" ht="11.25" customHeight="1" x14ac:dyDescent="0.25">
      <c r="A322" s="4" t="s">
        <v>21</v>
      </c>
      <c r="B322" s="4" t="s">
        <v>44</v>
      </c>
      <c r="C322" s="4" t="s">
        <v>23</v>
      </c>
      <c r="D322" s="4" t="s">
        <v>45</v>
      </c>
      <c r="E322" s="4" t="s">
        <v>46</v>
      </c>
      <c r="F322" s="4" t="s">
        <v>25</v>
      </c>
      <c r="G322" s="4" t="s">
        <v>25</v>
      </c>
      <c r="H322" s="4" t="s">
        <v>25</v>
      </c>
      <c r="I322" s="5">
        <v>44348</v>
      </c>
      <c r="J322" s="6">
        <v>0</v>
      </c>
      <c r="K322" s="6">
        <v>0</v>
      </c>
      <c r="L322" s="6">
        <v>124.815</v>
      </c>
      <c r="M322" s="6">
        <v>124.815</v>
      </c>
      <c r="N322" s="6">
        <v>124.815</v>
      </c>
      <c r="O322" s="6">
        <v>124.815</v>
      </c>
      <c r="P322" s="6">
        <v>5</v>
      </c>
      <c r="Q322" s="4" t="s">
        <v>26</v>
      </c>
      <c r="R322" s="4">
        <v>0</v>
      </c>
      <c r="S322" s="6">
        <v>0</v>
      </c>
      <c r="T322" s="6">
        <v>46</v>
      </c>
      <c r="U322" s="6">
        <v>83</v>
      </c>
      <c r="V322" s="6">
        <f>IF(ISERROR(VLOOKUP($S$322,'TAR FIN'!$A$1:$O$85,15,0)),0,VLOOKUP($S$322,'TAR FIN'!$A$1:$O$85,15,0))</f>
        <v>0</v>
      </c>
      <c r="W322" s="6">
        <f>IF(ISERROR(VLOOKUP($T$322,'TAR FIN'!$A$1:$O$85,15,0)),0,VLOOKUP($T$322,'TAR FIN'!$A$1:$O$85,15,0))</f>
        <v>280.18</v>
      </c>
      <c r="X322" s="6">
        <f>IF(ISERROR(VLOOKUP($U$322,'TAR FIN'!$A$1:$O$85,15,0)),0,VLOOKUP($U$322,'TAR FIN'!$A$1:$O$85,15,0))</f>
        <v>138.52000000000001</v>
      </c>
      <c r="Y322" s="6"/>
      <c r="Z322" s="6">
        <f ca="1">('TUSD BE'!$AM$50+'TUSD BF'!$AM$50+'TUSD CVA'!$AM$50)*1</f>
        <v>361.8721695986784</v>
      </c>
      <c r="AA322" s="6">
        <f>('TE BE'!$AA$41+'TE BF'!$AA$41+'TE CVA'!$AA$41)*1</f>
        <v>141.18069066659609</v>
      </c>
      <c r="AB322" s="6">
        <f>$K$322*$V$322</f>
        <v>0</v>
      </c>
      <c r="AC322" s="6">
        <f>$M$322*$W$322</f>
        <v>34970.666700000002</v>
      </c>
      <c r="AD322" s="6">
        <f>$O$322*$X$322</f>
        <v>17289.373800000001</v>
      </c>
      <c r="AE322" s="6">
        <f>$K$322*$Y$322</f>
        <v>0</v>
      </c>
      <c r="AF322" s="6">
        <f ca="1">$M$322*$Z$322</f>
        <v>45167.074848459044</v>
      </c>
      <c r="AG322" s="6">
        <f>$O$322*$AA$322</f>
        <v>17621.467905551192</v>
      </c>
    </row>
    <row r="323" spans="1:33" ht="11.25" customHeight="1" x14ac:dyDescent="0.25">
      <c r="A323" s="4" t="s">
        <v>21</v>
      </c>
      <c r="B323" s="4" t="s">
        <v>44</v>
      </c>
      <c r="C323" s="4" t="s">
        <v>23</v>
      </c>
      <c r="D323" s="4" t="s">
        <v>45</v>
      </c>
      <c r="E323" s="4" t="s">
        <v>46</v>
      </c>
      <c r="F323" s="4" t="s">
        <v>25</v>
      </c>
      <c r="G323" s="4" t="s">
        <v>25</v>
      </c>
      <c r="H323" s="4" t="s">
        <v>25</v>
      </c>
      <c r="I323" s="5">
        <v>44378</v>
      </c>
      <c r="J323" s="6">
        <v>0</v>
      </c>
      <c r="K323" s="6">
        <v>0</v>
      </c>
      <c r="L323" s="6">
        <v>135.209</v>
      </c>
      <c r="M323" s="6">
        <v>135.209</v>
      </c>
      <c r="N323" s="6">
        <v>135.209</v>
      </c>
      <c r="O323" s="6">
        <v>135.209</v>
      </c>
      <c r="P323" s="6">
        <v>5</v>
      </c>
      <c r="Q323" s="4" t="s">
        <v>26</v>
      </c>
      <c r="R323" s="4">
        <v>0</v>
      </c>
      <c r="S323" s="6">
        <v>0</v>
      </c>
      <c r="T323" s="6">
        <v>46</v>
      </c>
      <c r="U323" s="6">
        <v>83</v>
      </c>
      <c r="V323" s="6">
        <f>IF(ISERROR(VLOOKUP($S$323,'TAR FIN'!$A$1:$O$85,15,0)),0,VLOOKUP($S$323,'TAR FIN'!$A$1:$O$85,15,0))</f>
        <v>0</v>
      </c>
      <c r="W323" s="6">
        <f>IF(ISERROR(VLOOKUP($T$323,'TAR FIN'!$A$1:$O$85,15,0)),0,VLOOKUP($T$323,'TAR FIN'!$A$1:$O$85,15,0))</f>
        <v>280.18</v>
      </c>
      <c r="X323" s="6">
        <f>IF(ISERROR(VLOOKUP($U$323,'TAR FIN'!$A$1:$O$85,15,0)),0,VLOOKUP($U$323,'TAR FIN'!$A$1:$O$85,15,0))</f>
        <v>138.52000000000001</v>
      </c>
      <c r="Y323" s="6"/>
      <c r="Z323" s="6">
        <f ca="1">('TUSD BE'!$AM$50+'TUSD BF'!$AM$50+'TUSD CVA'!$AM$50)*1</f>
        <v>361.8721695986784</v>
      </c>
      <c r="AA323" s="6">
        <f>('TE BE'!$AA$41+'TE BF'!$AA$41+'TE CVA'!$AA$41)*1</f>
        <v>141.18069066659609</v>
      </c>
      <c r="AB323" s="6">
        <f>$K$323*$V$323</f>
        <v>0</v>
      </c>
      <c r="AC323" s="6">
        <f>$M$323*$W$323</f>
        <v>37882.857620000002</v>
      </c>
      <c r="AD323" s="6">
        <f>$O$323*$X$323</f>
        <v>18729.150680000002</v>
      </c>
      <c r="AE323" s="6">
        <f>$K$323*$Y$323</f>
        <v>0</v>
      </c>
      <c r="AF323" s="6">
        <f ca="1">$M$323*$Z$323</f>
        <v>48928.37417926771</v>
      </c>
      <c r="AG323" s="6">
        <f>$O$323*$AA$323</f>
        <v>19088.90000433979</v>
      </c>
    </row>
    <row r="324" spans="1:33" ht="11.25" customHeight="1" x14ac:dyDescent="0.25">
      <c r="A324" s="4" t="s">
        <v>21</v>
      </c>
      <c r="B324" s="4" t="s">
        <v>44</v>
      </c>
      <c r="C324" s="4" t="s">
        <v>23</v>
      </c>
      <c r="D324" s="4" t="s">
        <v>45</v>
      </c>
      <c r="E324" s="4" t="s">
        <v>46</v>
      </c>
      <c r="F324" s="4" t="s">
        <v>25</v>
      </c>
      <c r="G324" s="4" t="s">
        <v>25</v>
      </c>
      <c r="H324" s="4" t="s">
        <v>25</v>
      </c>
      <c r="I324" s="5">
        <v>44409</v>
      </c>
      <c r="J324" s="6">
        <v>0</v>
      </c>
      <c r="K324" s="6">
        <v>0</v>
      </c>
      <c r="L324" s="6">
        <v>127.328</v>
      </c>
      <c r="M324" s="6">
        <v>127.328</v>
      </c>
      <c r="N324" s="6">
        <v>127.328</v>
      </c>
      <c r="O324" s="6">
        <v>127.328</v>
      </c>
      <c r="P324" s="6">
        <v>5</v>
      </c>
      <c r="Q324" s="4" t="s">
        <v>26</v>
      </c>
      <c r="R324" s="4">
        <v>0</v>
      </c>
      <c r="S324" s="6">
        <v>0</v>
      </c>
      <c r="T324" s="6">
        <v>46</v>
      </c>
      <c r="U324" s="6">
        <v>83</v>
      </c>
      <c r="V324" s="6">
        <f>IF(ISERROR(VLOOKUP($S$324,'TAR FIN'!$A$1:$O$85,15,0)),0,VLOOKUP($S$324,'TAR FIN'!$A$1:$O$85,15,0))</f>
        <v>0</v>
      </c>
      <c r="W324" s="6">
        <f>IF(ISERROR(VLOOKUP($T$324,'TAR FIN'!$A$1:$O$85,15,0)),0,VLOOKUP($T$324,'TAR FIN'!$A$1:$O$85,15,0))</f>
        <v>280.18</v>
      </c>
      <c r="X324" s="6">
        <f>IF(ISERROR(VLOOKUP($U$324,'TAR FIN'!$A$1:$O$85,15,0)),0,VLOOKUP($U$324,'TAR FIN'!$A$1:$O$85,15,0))</f>
        <v>138.52000000000001</v>
      </c>
      <c r="Y324" s="6"/>
      <c r="Z324" s="6">
        <f ca="1">('TUSD BE'!$AM$50+'TUSD BF'!$AM$50+'TUSD CVA'!$AM$50)*1</f>
        <v>361.8721695986784</v>
      </c>
      <c r="AA324" s="6">
        <f>('TE BE'!$AA$41+'TE BF'!$AA$41+'TE CVA'!$AA$41)*1</f>
        <v>141.18069066659609</v>
      </c>
      <c r="AB324" s="6">
        <f>$K$324*$V$324</f>
        <v>0</v>
      </c>
      <c r="AC324" s="6">
        <f>$M$324*$W$324</f>
        <v>35674.759040000004</v>
      </c>
      <c r="AD324" s="6">
        <f>$O$324*$X$324</f>
        <v>17637.474560000002</v>
      </c>
      <c r="AE324" s="6">
        <f>$K$324*$Y$324</f>
        <v>0</v>
      </c>
      <c r="AF324" s="6">
        <f ca="1">$M$324*$Z$324</f>
        <v>46076.459610660524</v>
      </c>
      <c r="AG324" s="6">
        <f>$O$324*$AA$324</f>
        <v>17976.254981196347</v>
      </c>
    </row>
    <row r="325" spans="1:33" ht="11.25" customHeight="1" x14ac:dyDescent="0.25">
      <c r="A325" s="4" t="s">
        <v>21</v>
      </c>
      <c r="B325" s="4" t="s">
        <v>44</v>
      </c>
      <c r="C325" s="4" t="s">
        <v>23</v>
      </c>
      <c r="D325" s="4" t="s">
        <v>45</v>
      </c>
      <c r="E325" s="4" t="s">
        <v>46</v>
      </c>
      <c r="F325" s="4" t="s">
        <v>25</v>
      </c>
      <c r="G325" s="4" t="s">
        <v>25</v>
      </c>
      <c r="H325" s="4" t="s">
        <v>25</v>
      </c>
      <c r="I325" s="5">
        <v>44440</v>
      </c>
      <c r="J325" s="6">
        <v>0</v>
      </c>
      <c r="K325" s="6">
        <v>0</v>
      </c>
      <c r="L325" s="6">
        <v>127.422</v>
      </c>
      <c r="M325" s="6">
        <v>127.422</v>
      </c>
      <c r="N325" s="6">
        <v>127.422</v>
      </c>
      <c r="O325" s="6">
        <v>127.422</v>
      </c>
      <c r="P325" s="6">
        <v>5</v>
      </c>
      <c r="Q325" s="4" t="s">
        <v>26</v>
      </c>
      <c r="R325" s="4">
        <v>0</v>
      </c>
      <c r="S325" s="6">
        <v>0</v>
      </c>
      <c r="T325" s="6">
        <v>46</v>
      </c>
      <c r="U325" s="6">
        <v>83</v>
      </c>
      <c r="V325" s="6">
        <f>IF(ISERROR(VLOOKUP($S$325,'TAR FIN'!$A$1:$O$85,15,0)),0,VLOOKUP($S$325,'TAR FIN'!$A$1:$O$85,15,0))</f>
        <v>0</v>
      </c>
      <c r="W325" s="6">
        <f>IF(ISERROR(VLOOKUP($T$325,'TAR FIN'!$A$1:$O$85,15,0)),0,VLOOKUP($T$325,'TAR FIN'!$A$1:$O$85,15,0))</f>
        <v>280.18</v>
      </c>
      <c r="X325" s="6">
        <f>IF(ISERROR(VLOOKUP($U$325,'TAR FIN'!$A$1:$O$85,15,0)),0,VLOOKUP($U$325,'TAR FIN'!$A$1:$O$85,15,0))</f>
        <v>138.52000000000001</v>
      </c>
      <c r="Y325" s="6"/>
      <c r="Z325" s="6">
        <f ca="1">('TUSD BE'!$AM$50+'TUSD BF'!$AM$50+'TUSD CVA'!$AM$50)*1</f>
        <v>361.8721695986784</v>
      </c>
      <c r="AA325" s="6">
        <f>('TE BE'!$AA$41+'TE BF'!$AA$41+'TE CVA'!$AA$41)*1</f>
        <v>141.18069066659609</v>
      </c>
      <c r="AB325" s="6">
        <f>$K$325*$V$325</f>
        <v>0</v>
      </c>
      <c r="AC325" s="6">
        <f>$M$325*$W$325</f>
        <v>35701.095959999999</v>
      </c>
      <c r="AD325" s="6">
        <f>$O$325*$X$325</f>
        <v>17650.495440000002</v>
      </c>
      <c r="AE325" s="6">
        <f>$K$325*$Y$325</f>
        <v>0</v>
      </c>
      <c r="AF325" s="6">
        <f ca="1">$M$325*$Z$325</f>
        <v>46110.475594602794</v>
      </c>
      <c r="AG325" s="6">
        <f>$O$325*$AA$325</f>
        <v>17989.525966119007</v>
      </c>
    </row>
    <row r="326" spans="1:33" ht="11.25" customHeight="1" x14ac:dyDescent="0.25">
      <c r="A326" s="4" t="s">
        <v>21</v>
      </c>
      <c r="B326" s="4" t="s">
        <v>44</v>
      </c>
      <c r="C326" s="4" t="s">
        <v>23</v>
      </c>
      <c r="D326" s="4" t="s">
        <v>45</v>
      </c>
      <c r="E326" s="4" t="s">
        <v>46</v>
      </c>
      <c r="F326" s="4" t="s">
        <v>25</v>
      </c>
      <c r="G326" s="4" t="s">
        <v>25</v>
      </c>
      <c r="H326" s="4" t="s">
        <v>25</v>
      </c>
      <c r="I326" s="5">
        <v>44470</v>
      </c>
      <c r="J326" s="6">
        <v>0</v>
      </c>
      <c r="K326" s="6">
        <v>0</v>
      </c>
      <c r="L326" s="6">
        <v>129.19499999999999</v>
      </c>
      <c r="M326" s="6">
        <v>129.19499999999999</v>
      </c>
      <c r="N326" s="6">
        <v>129.19499999999999</v>
      </c>
      <c r="O326" s="6">
        <v>129.19499999999999</v>
      </c>
      <c r="P326" s="6">
        <v>5</v>
      </c>
      <c r="Q326" s="4" t="s">
        <v>26</v>
      </c>
      <c r="R326" s="4">
        <v>0</v>
      </c>
      <c r="S326" s="6">
        <v>0</v>
      </c>
      <c r="T326" s="6">
        <v>46</v>
      </c>
      <c r="U326" s="6">
        <v>83</v>
      </c>
      <c r="V326" s="6">
        <f>IF(ISERROR(VLOOKUP($S$326,'TAR FIN'!$A$1:$O$85,15,0)),0,VLOOKUP($S$326,'TAR FIN'!$A$1:$O$85,15,0))</f>
        <v>0</v>
      </c>
      <c r="W326" s="6">
        <f>IF(ISERROR(VLOOKUP($T$326,'TAR FIN'!$A$1:$O$85,15,0)),0,VLOOKUP($T$326,'TAR FIN'!$A$1:$O$85,15,0))</f>
        <v>280.18</v>
      </c>
      <c r="X326" s="6">
        <f>IF(ISERROR(VLOOKUP($U$326,'TAR FIN'!$A$1:$O$85,15,0)),0,VLOOKUP($U$326,'TAR FIN'!$A$1:$O$85,15,0))</f>
        <v>138.52000000000001</v>
      </c>
      <c r="Y326" s="6"/>
      <c r="Z326" s="6">
        <f ca="1">('TUSD BE'!$AM$50+'TUSD BF'!$AM$50+'TUSD CVA'!$AM$50)*1</f>
        <v>361.8721695986784</v>
      </c>
      <c r="AA326" s="6">
        <f>('TE BE'!$AA$41+'TE BF'!$AA$41+'TE CVA'!$AA$41)*1</f>
        <v>141.18069066659609</v>
      </c>
      <c r="AB326" s="6">
        <f>$K$326*$V$326</f>
        <v>0</v>
      </c>
      <c r="AC326" s="6">
        <f>$M$326*$W$326</f>
        <v>36197.855100000001</v>
      </c>
      <c r="AD326" s="6">
        <f>$O$326*$X$326</f>
        <v>17896.091400000001</v>
      </c>
      <c r="AE326" s="6">
        <f>$K$326*$Y$326</f>
        <v>0</v>
      </c>
      <c r="AF326" s="6">
        <f ca="1">$M$326*$Z$326</f>
        <v>46752.074951301256</v>
      </c>
      <c r="AG326" s="6">
        <f>$O$326*$AA$326</f>
        <v>18239.839330670882</v>
      </c>
    </row>
    <row r="327" spans="1:33" ht="11.25" customHeight="1" x14ac:dyDescent="0.25">
      <c r="A327" s="4" t="s">
        <v>21</v>
      </c>
      <c r="B327" s="4" t="s">
        <v>44</v>
      </c>
      <c r="C327" s="4" t="s">
        <v>23</v>
      </c>
      <c r="D327" s="4" t="s">
        <v>45</v>
      </c>
      <c r="E327" s="4" t="s">
        <v>46</v>
      </c>
      <c r="F327" s="4" t="s">
        <v>25</v>
      </c>
      <c r="G327" s="4" t="s">
        <v>25</v>
      </c>
      <c r="H327" s="4" t="s">
        <v>25</v>
      </c>
      <c r="I327" s="5">
        <v>44501</v>
      </c>
      <c r="J327" s="6">
        <v>0</v>
      </c>
      <c r="K327" s="6">
        <v>0</v>
      </c>
      <c r="L327" s="6">
        <v>122.45399999999999</v>
      </c>
      <c r="M327" s="6">
        <v>122.45399999999999</v>
      </c>
      <c r="N327" s="6">
        <v>122.45399999999999</v>
      </c>
      <c r="O327" s="6">
        <v>122.45399999999999</v>
      </c>
      <c r="P327" s="6">
        <v>5</v>
      </c>
      <c r="Q327" s="4" t="s">
        <v>26</v>
      </c>
      <c r="R327" s="4">
        <v>0</v>
      </c>
      <c r="S327" s="6">
        <v>0</v>
      </c>
      <c r="T327" s="6">
        <v>46</v>
      </c>
      <c r="U327" s="6">
        <v>83</v>
      </c>
      <c r="V327" s="6">
        <f>IF(ISERROR(VLOOKUP($S$327,'TAR FIN'!$A$1:$O$85,15,0)),0,VLOOKUP($S$327,'TAR FIN'!$A$1:$O$85,15,0))</f>
        <v>0</v>
      </c>
      <c r="W327" s="6">
        <f>IF(ISERROR(VLOOKUP($T$327,'TAR FIN'!$A$1:$O$85,15,0)),0,VLOOKUP($T$327,'TAR FIN'!$A$1:$O$85,15,0))</f>
        <v>280.18</v>
      </c>
      <c r="X327" s="6">
        <f>IF(ISERROR(VLOOKUP($U$327,'TAR FIN'!$A$1:$O$85,15,0)),0,VLOOKUP($U$327,'TAR FIN'!$A$1:$O$85,15,0))</f>
        <v>138.52000000000001</v>
      </c>
      <c r="Y327" s="6"/>
      <c r="Z327" s="6">
        <f ca="1">('TUSD BE'!$AM$50+'TUSD BF'!$AM$50+'TUSD CVA'!$AM$50)*1</f>
        <v>361.8721695986784</v>
      </c>
      <c r="AA327" s="6">
        <f>('TE BE'!$AA$41+'TE BF'!$AA$41+'TE CVA'!$AA$41)*1</f>
        <v>141.18069066659609</v>
      </c>
      <c r="AB327" s="6">
        <f>$K$327*$V$327</f>
        <v>0</v>
      </c>
      <c r="AC327" s="6">
        <f>$M$327*$W$327</f>
        <v>34309.161719999996</v>
      </c>
      <c r="AD327" s="6">
        <f>$O$327*$X$327</f>
        <v>16962.328079999999</v>
      </c>
      <c r="AE327" s="6">
        <f>$K$327*$Y$327</f>
        <v>0</v>
      </c>
      <c r="AF327" s="6">
        <f ca="1">$M$327*$Z$327</f>
        <v>44312.694656036561</v>
      </c>
      <c r="AG327" s="6">
        <f>$O$327*$AA$327</f>
        <v>17288.140294887358</v>
      </c>
    </row>
    <row r="328" spans="1:33" ht="11.25" customHeight="1" x14ac:dyDescent="0.25">
      <c r="A328" s="4" t="s">
        <v>21</v>
      </c>
      <c r="B328" s="4" t="s">
        <v>44</v>
      </c>
      <c r="C328" s="4" t="s">
        <v>23</v>
      </c>
      <c r="D328" s="4" t="s">
        <v>45</v>
      </c>
      <c r="E328" s="4" t="s">
        <v>46</v>
      </c>
      <c r="F328" s="4" t="s">
        <v>25</v>
      </c>
      <c r="G328" s="4" t="s">
        <v>25</v>
      </c>
      <c r="H328" s="4" t="s">
        <v>25</v>
      </c>
      <c r="I328" s="5">
        <v>44531</v>
      </c>
      <c r="J328" s="6">
        <v>0</v>
      </c>
      <c r="K328" s="6">
        <v>0</v>
      </c>
      <c r="L328" s="6">
        <v>128.922</v>
      </c>
      <c r="M328" s="6">
        <v>128.922</v>
      </c>
      <c r="N328" s="6">
        <v>128.922</v>
      </c>
      <c r="O328" s="6">
        <v>128.922</v>
      </c>
      <c r="P328" s="6">
        <v>5</v>
      </c>
      <c r="Q328" s="4" t="s">
        <v>26</v>
      </c>
      <c r="R328" s="4">
        <v>0</v>
      </c>
      <c r="S328" s="6">
        <v>0</v>
      </c>
      <c r="T328" s="6">
        <v>46</v>
      </c>
      <c r="U328" s="6">
        <v>83</v>
      </c>
      <c r="V328" s="6">
        <f>IF(ISERROR(VLOOKUP($S$328,'TAR FIN'!$A$1:$O$85,15,0)),0,VLOOKUP($S$328,'TAR FIN'!$A$1:$O$85,15,0))</f>
        <v>0</v>
      </c>
      <c r="W328" s="6">
        <f>IF(ISERROR(VLOOKUP($T$328,'TAR FIN'!$A$1:$O$85,15,0)),0,VLOOKUP($T$328,'TAR FIN'!$A$1:$O$85,15,0))</f>
        <v>280.18</v>
      </c>
      <c r="X328" s="6">
        <f>IF(ISERROR(VLOOKUP($U$328,'TAR FIN'!$A$1:$O$85,15,0)),0,VLOOKUP($U$328,'TAR FIN'!$A$1:$O$85,15,0))</f>
        <v>138.52000000000001</v>
      </c>
      <c r="Y328" s="6"/>
      <c r="Z328" s="6">
        <f ca="1">('TUSD BE'!$AM$50+'TUSD BF'!$AM$50+'TUSD CVA'!$AM$50)*1</f>
        <v>361.8721695986784</v>
      </c>
      <c r="AA328" s="6">
        <f>('TE BE'!$AA$41+'TE BF'!$AA$41+'TE CVA'!$AA$41)*1</f>
        <v>141.18069066659609</v>
      </c>
      <c r="AB328" s="6">
        <f>$K$328*$V$328</f>
        <v>0</v>
      </c>
      <c r="AC328" s="6">
        <f>$M$328*$W$328</f>
        <v>36121.365960000003</v>
      </c>
      <c r="AD328" s="6">
        <f>$O$328*$X$328</f>
        <v>17858.275440000001</v>
      </c>
      <c r="AE328" s="6">
        <f>$K$328*$Y$328</f>
        <v>0</v>
      </c>
      <c r="AF328" s="6">
        <f ca="1">$M$328*$Z$328</f>
        <v>46653.283849000814</v>
      </c>
      <c r="AG328" s="6">
        <f>$O$328*$AA$328</f>
        <v>18201.297002118899</v>
      </c>
    </row>
    <row r="329" spans="1:33" ht="11.25" customHeight="1" x14ac:dyDescent="0.25">
      <c r="A329" s="4" t="s">
        <v>21</v>
      </c>
      <c r="B329" s="4" t="s">
        <v>44</v>
      </c>
      <c r="C329" s="4" t="s">
        <v>23</v>
      </c>
      <c r="D329" s="4" t="s">
        <v>45</v>
      </c>
      <c r="E329" s="4" t="s">
        <v>46</v>
      </c>
      <c r="F329" s="4" t="s">
        <v>25</v>
      </c>
      <c r="G329" s="4" t="s">
        <v>25</v>
      </c>
      <c r="H329" s="4" t="s">
        <v>25</v>
      </c>
      <c r="I329" s="5">
        <v>44562</v>
      </c>
      <c r="J329" s="6">
        <v>0</v>
      </c>
      <c r="K329" s="6">
        <v>0</v>
      </c>
      <c r="L329" s="6">
        <v>132.09399999999999</v>
      </c>
      <c r="M329" s="6">
        <v>132.09399999999999</v>
      </c>
      <c r="N329" s="6">
        <v>132.09399999999999</v>
      </c>
      <c r="O329" s="6">
        <v>132.09399999999999</v>
      </c>
      <c r="P329" s="6">
        <v>5</v>
      </c>
      <c r="Q329" s="4" t="s">
        <v>26</v>
      </c>
      <c r="R329" s="4">
        <v>0</v>
      </c>
      <c r="S329" s="6">
        <v>0</v>
      </c>
      <c r="T329" s="6">
        <v>46</v>
      </c>
      <c r="U329" s="6">
        <v>83</v>
      </c>
      <c r="V329" s="6">
        <f>IF(ISERROR(VLOOKUP($S$329,'TAR FIN'!$A$1:$O$85,15,0)),0,VLOOKUP($S$329,'TAR FIN'!$A$1:$O$85,15,0))</f>
        <v>0</v>
      </c>
      <c r="W329" s="6">
        <f>IF(ISERROR(VLOOKUP($T$329,'TAR FIN'!$A$1:$O$85,15,0)),0,VLOOKUP($T$329,'TAR FIN'!$A$1:$O$85,15,0))</f>
        <v>280.18</v>
      </c>
      <c r="X329" s="6">
        <f>IF(ISERROR(VLOOKUP($U$329,'TAR FIN'!$A$1:$O$85,15,0)),0,VLOOKUP($U$329,'TAR FIN'!$A$1:$O$85,15,0))</f>
        <v>138.52000000000001</v>
      </c>
      <c r="Y329" s="6"/>
      <c r="Z329" s="6">
        <f ca="1">('TUSD BE'!$AM$50+'TUSD BF'!$AM$50+'TUSD CVA'!$AM$50)*1</f>
        <v>361.8721695986784</v>
      </c>
      <c r="AA329" s="6">
        <f>('TE BE'!$AA$41+'TE BF'!$AA$41+'TE CVA'!$AA$41)*1</f>
        <v>141.18069066659609</v>
      </c>
      <c r="AB329" s="6">
        <f>$K$329*$V$329</f>
        <v>0</v>
      </c>
      <c r="AC329" s="6">
        <f>$M$329*$W$329</f>
        <v>37010.096919999996</v>
      </c>
      <c r="AD329" s="6">
        <f>$O$329*$X$329</f>
        <v>18297.660879999999</v>
      </c>
      <c r="AE329" s="6">
        <f>$K$329*$Y$329</f>
        <v>0</v>
      </c>
      <c r="AF329" s="6">
        <f ca="1">$M$329*$Z$329</f>
        <v>47801.14237096782</v>
      </c>
      <c r="AG329" s="6">
        <f>$O$329*$AA$329</f>
        <v>18649.122152913344</v>
      </c>
    </row>
    <row r="330" spans="1:33" ht="11.25" customHeight="1" x14ac:dyDescent="0.25">
      <c r="A330" s="4" t="s">
        <v>21</v>
      </c>
      <c r="B330" s="4" t="s">
        <v>44</v>
      </c>
      <c r="C330" s="4" t="s">
        <v>23</v>
      </c>
      <c r="D330" s="4" t="s">
        <v>45</v>
      </c>
      <c r="E330" s="4" t="s">
        <v>46</v>
      </c>
      <c r="F330" s="4" t="s">
        <v>25</v>
      </c>
      <c r="G330" s="4" t="s">
        <v>25</v>
      </c>
      <c r="H330" s="4" t="s">
        <v>25</v>
      </c>
      <c r="I330" s="5">
        <v>44593</v>
      </c>
      <c r="J330" s="6">
        <v>0</v>
      </c>
      <c r="K330" s="6">
        <v>0</v>
      </c>
      <c r="L330" s="6">
        <v>114.63</v>
      </c>
      <c r="M330" s="6">
        <v>114.63</v>
      </c>
      <c r="N330" s="6">
        <v>114.63</v>
      </c>
      <c r="O330" s="6">
        <v>114.63</v>
      </c>
      <c r="P330" s="6">
        <v>5</v>
      </c>
      <c r="Q330" s="4" t="s">
        <v>26</v>
      </c>
      <c r="R330" s="4">
        <v>0</v>
      </c>
      <c r="S330" s="6">
        <v>0</v>
      </c>
      <c r="T330" s="6">
        <v>46</v>
      </c>
      <c r="U330" s="6">
        <v>83</v>
      </c>
      <c r="V330" s="6">
        <f>IF(ISERROR(VLOOKUP($S$330,'TAR FIN'!$A$1:$O$85,15,0)),0,VLOOKUP($S$330,'TAR FIN'!$A$1:$O$85,15,0))</f>
        <v>0</v>
      </c>
      <c r="W330" s="6">
        <f>IF(ISERROR(VLOOKUP($T$330,'TAR FIN'!$A$1:$O$85,15,0)),0,VLOOKUP($T$330,'TAR FIN'!$A$1:$O$85,15,0))</f>
        <v>280.18</v>
      </c>
      <c r="X330" s="6">
        <f>IF(ISERROR(VLOOKUP($U$330,'TAR FIN'!$A$1:$O$85,15,0)),0,VLOOKUP($U$330,'TAR FIN'!$A$1:$O$85,15,0))</f>
        <v>138.52000000000001</v>
      </c>
      <c r="Y330" s="6"/>
      <c r="Z330" s="6">
        <f ca="1">('TUSD BE'!$AM$50+'TUSD BF'!$AM$50+'TUSD CVA'!$AM$50)*1</f>
        <v>361.8721695986784</v>
      </c>
      <c r="AA330" s="6">
        <f>('TE BE'!$AA$41+'TE BF'!$AA$41+'TE CVA'!$AA$41)*1</f>
        <v>141.18069066659609</v>
      </c>
      <c r="AB330" s="6">
        <f>$K$330*$V$330</f>
        <v>0</v>
      </c>
      <c r="AC330" s="6">
        <f>$M$330*$W$330</f>
        <v>32117.0334</v>
      </c>
      <c r="AD330" s="6">
        <f>$O$330*$X$330</f>
        <v>15878.5476</v>
      </c>
      <c r="AE330" s="6">
        <f>$K$330*$Y$330</f>
        <v>0</v>
      </c>
      <c r="AF330" s="6">
        <f ca="1">$M$330*$Z$330</f>
        <v>41481.406801096506</v>
      </c>
      <c r="AG330" s="6">
        <f>$O$330*$AA$330</f>
        <v>16183.54257111191</v>
      </c>
    </row>
    <row r="331" spans="1:33" ht="11.25" customHeight="1" x14ac:dyDescent="0.25">
      <c r="A331" s="4" t="s">
        <v>21</v>
      </c>
      <c r="B331" s="4" t="s">
        <v>44</v>
      </c>
      <c r="C331" s="4" t="s">
        <v>23</v>
      </c>
      <c r="D331" s="4" t="s">
        <v>45</v>
      </c>
      <c r="E331" s="4" t="s">
        <v>46</v>
      </c>
      <c r="F331" s="4" t="s">
        <v>25</v>
      </c>
      <c r="G331" s="4" t="s">
        <v>25</v>
      </c>
      <c r="H331" s="4" t="s">
        <v>25</v>
      </c>
      <c r="I331" s="5">
        <v>44621</v>
      </c>
      <c r="J331" s="6">
        <v>0</v>
      </c>
      <c r="K331" s="6">
        <v>0</v>
      </c>
      <c r="L331" s="6">
        <v>127.53400000000001</v>
      </c>
      <c r="M331" s="6">
        <v>127.53400000000001</v>
      </c>
      <c r="N331" s="6">
        <v>127.53400000000001</v>
      </c>
      <c r="O331" s="6">
        <v>127.53400000000001</v>
      </c>
      <c r="P331" s="6">
        <v>5</v>
      </c>
      <c r="Q331" s="4" t="s">
        <v>26</v>
      </c>
      <c r="R331" s="4">
        <v>0</v>
      </c>
      <c r="S331" s="6">
        <v>0</v>
      </c>
      <c r="T331" s="6">
        <v>46</v>
      </c>
      <c r="U331" s="6">
        <v>83</v>
      </c>
      <c r="V331" s="6">
        <f>IF(ISERROR(VLOOKUP($S$331,'TAR FIN'!$A$1:$O$85,15,0)),0,VLOOKUP($S$331,'TAR FIN'!$A$1:$O$85,15,0))</f>
        <v>0</v>
      </c>
      <c r="W331" s="6">
        <f>IF(ISERROR(VLOOKUP($T$331,'TAR FIN'!$A$1:$O$85,15,0)),0,VLOOKUP($T$331,'TAR FIN'!$A$1:$O$85,15,0))</f>
        <v>280.18</v>
      </c>
      <c r="X331" s="6">
        <f>IF(ISERROR(VLOOKUP($U$331,'TAR FIN'!$A$1:$O$85,15,0)),0,VLOOKUP($U$331,'TAR FIN'!$A$1:$O$85,15,0))</f>
        <v>138.52000000000001</v>
      </c>
      <c r="Y331" s="6"/>
      <c r="Z331" s="6">
        <f ca="1">('TUSD BE'!$AM$50+'TUSD BF'!$AM$50+'TUSD CVA'!$AM$50)*1</f>
        <v>361.8721695986784</v>
      </c>
      <c r="AA331" s="6">
        <f>('TE BE'!$AA$41+'TE BF'!$AA$41+'TE CVA'!$AA$41)*1</f>
        <v>141.18069066659609</v>
      </c>
      <c r="AB331" s="6">
        <f>$K$331*$V$331</f>
        <v>0</v>
      </c>
      <c r="AC331" s="6">
        <f>$M$331*$W$331</f>
        <v>35732.476119999999</v>
      </c>
      <c r="AD331" s="6">
        <f>$O$331*$X$331</f>
        <v>17666.009680000003</v>
      </c>
      <c r="AE331" s="6">
        <f>$K$331*$Y$331</f>
        <v>0</v>
      </c>
      <c r="AF331" s="6">
        <f ca="1">$M$331*$Z$331</f>
        <v>46151.005277597855</v>
      </c>
      <c r="AG331" s="6">
        <f>$O$331*$AA$331</f>
        <v>18005.338203473668</v>
      </c>
    </row>
    <row r="332" spans="1:33" ht="11.25" customHeight="1" x14ac:dyDescent="0.25">
      <c r="A332" s="4" t="s">
        <v>21</v>
      </c>
      <c r="B332" s="4" t="s">
        <v>44</v>
      </c>
      <c r="C332" s="4" t="s">
        <v>23</v>
      </c>
      <c r="D332" s="4" t="s">
        <v>45</v>
      </c>
      <c r="E332" s="4" t="s">
        <v>46</v>
      </c>
      <c r="F332" s="4" t="s">
        <v>25</v>
      </c>
      <c r="G332" s="4" t="s">
        <v>25</v>
      </c>
      <c r="H332" s="4" t="s">
        <v>25</v>
      </c>
      <c r="I332" s="5">
        <v>44652</v>
      </c>
      <c r="J332" s="6">
        <v>0</v>
      </c>
      <c r="K332" s="6">
        <v>0</v>
      </c>
      <c r="L332" s="6">
        <v>116.187</v>
      </c>
      <c r="M332" s="6">
        <v>116.187</v>
      </c>
      <c r="N332" s="6">
        <v>116.187</v>
      </c>
      <c r="O332" s="6">
        <v>116.187</v>
      </c>
      <c r="P332" s="6">
        <v>5</v>
      </c>
      <c r="Q332" s="4" t="s">
        <v>26</v>
      </c>
      <c r="R332" s="4">
        <v>0</v>
      </c>
      <c r="S332" s="6">
        <v>0</v>
      </c>
      <c r="T332" s="6">
        <v>46</v>
      </c>
      <c r="U332" s="6">
        <v>83</v>
      </c>
      <c r="V332" s="6">
        <f>IF(ISERROR(VLOOKUP($S$332,'TAR FIN'!$A$1:$O$85,15,0)),0,VLOOKUP($S$332,'TAR FIN'!$A$1:$O$85,15,0))</f>
        <v>0</v>
      </c>
      <c r="W332" s="6">
        <f>IF(ISERROR(VLOOKUP($T$332,'TAR FIN'!$A$1:$O$85,15,0)),0,VLOOKUP($T$332,'TAR FIN'!$A$1:$O$85,15,0))</f>
        <v>280.18</v>
      </c>
      <c r="X332" s="6">
        <f>IF(ISERROR(VLOOKUP($U$332,'TAR FIN'!$A$1:$O$85,15,0)),0,VLOOKUP($U$332,'TAR FIN'!$A$1:$O$85,15,0))</f>
        <v>138.52000000000001</v>
      </c>
      <c r="Y332" s="6"/>
      <c r="Z332" s="6">
        <f ca="1">('TUSD BE'!$AM$50+'TUSD BF'!$AM$50+'TUSD CVA'!$AM$50)*1</f>
        <v>361.8721695986784</v>
      </c>
      <c r="AA332" s="6">
        <f>('TE BE'!$AA$41+'TE BF'!$AA$41+'TE CVA'!$AA$41)*1</f>
        <v>141.18069066659609</v>
      </c>
      <c r="AB332" s="6">
        <f>$K$332*$V$332</f>
        <v>0</v>
      </c>
      <c r="AC332" s="6">
        <f>$M$332*$W$332</f>
        <v>32553.273659999999</v>
      </c>
      <c r="AD332" s="6">
        <f>$O$332*$X$332</f>
        <v>16094.223240000001</v>
      </c>
      <c r="AE332" s="6">
        <f>$K$332*$Y$332</f>
        <v>0</v>
      </c>
      <c r="AF332" s="6">
        <f ca="1">$M$332*$Z$332</f>
        <v>42044.841769161649</v>
      </c>
      <c r="AG332" s="6">
        <f>$O$332*$AA$332</f>
        <v>16403.3609064798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7D89-9C76-4C0F-B882-B387DAC111CE}">
  <dimension ref="A1:AJ333"/>
  <sheetViews>
    <sheetView showGridLines="0" topLeftCell="W1" workbookViewId="0">
      <selection sqref="A1:AF157"/>
    </sheetView>
  </sheetViews>
  <sheetFormatPr defaultRowHeight="11.25" customHeight="1" x14ac:dyDescent="0.25"/>
  <cols>
    <col min="1" max="1" width="19.140625" style="4" bestFit="1" customWidth="1"/>
    <col min="2" max="2" width="13.28515625" style="4" bestFit="1" customWidth="1"/>
    <col min="3" max="3" width="14.5703125" style="4" bestFit="1" customWidth="1"/>
    <col min="4" max="4" width="11.5703125" style="4" bestFit="1" customWidth="1"/>
    <col min="5" max="5" width="25.140625" style="4" bestFit="1" customWidth="1"/>
    <col min="6" max="6" width="12.85546875" style="4" bestFit="1" customWidth="1"/>
    <col min="7" max="7" width="11.28515625" style="4" bestFit="1" customWidth="1"/>
    <col min="8" max="8" width="10.28515625" style="4" bestFit="1" customWidth="1"/>
    <col min="9" max="9" width="12.140625" style="5" bestFit="1" customWidth="1"/>
    <col min="10" max="10" width="6.5703125" style="6" bestFit="1" customWidth="1"/>
    <col min="11" max="11" width="7.85546875" style="6" bestFit="1" customWidth="1"/>
    <col min="12" max="12" width="11.28515625" style="6" bestFit="1" customWidth="1"/>
    <col min="13" max="13" width="12.5703125" style="6" bestFit="1" customWidth="1"/>
    <col min="14" max="14" width="9.140625" style="6" bestFit="1" customWidth="1"/>
    <col min="15" max="15" width="10.42578125" style="6" bestFit="1" customWidth="1"/>
    <col min="16" max="16" width="7.7109375" style="6" bestFit="1" customWidth="1"/>
    <col min="17" max="17" width="11.140625" style="4" bestFit="1" customWidth="1"/>
    <col min="18" max="18" width="13.140625" style="4" bestFit="1" customWidth="1"/>
    <col min="19" max="19" width="23" style="4" bestFit="1" customWidth="1"/>
    <col min="20" max="20" width="24.42578125" style="4" bestFit="1" customWidth="1"/>
    <col min="21" max="21" width="22.28515625" style="4" bestFit="1" customWidth="1"/>
    <col min="22" max="22" width="15.85546875" style="4" bestFit="1" customWidth="1"/>
    <col min="23" max="23" width="17.28515625" style="4" bestFit="1" customWidth="1"/>
    <col min="24" max="24" width="15.140625" style="4" bestFit="1" customWidth="1"/>
    <col min="25" max="25" width="20.85546875" style="4" bestFit="1" customWidth="1"/>
    <col min="26" max="26" width="22.42578125" style="4" bestFit="1" customWidth="1"/>
    <col min="27" max="27" width="20.140625" style="4" bestFit="1" customWidth="1"/>
    <col min="28" max="28" width="19.140625" style="4" bestFit="1" customWidth="1"/>
    <col min="29" max="29" width="20.5703125" style="4" bestFit="1" customWidth="1"/>
    <col min="30" max="30" width="19" style="4" bestFit="1" customWidth="1"/>
    <col min="31" max="31" width="20.42578125" style="4" bestFit="1" customWidth="1"/>
    <col min="32" max="32" width="32.140625" style="4" bestFit="1" customWidth="1"/>
    <col min="33" max="33" width="9.140625" style="4"/>
    <col min="34" max="34" width="32.140625" style="4" bestFit="1" customWidth="1"/>
    <col min="35" max="36" width="8.7109375" style="4" bestFit="1" customWidth="1"/>
    <col min="37" max="16384" width="9.140625" style="4"/>
  </cols>
  <sheetData>
    <row r="1" spans="1:36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656</v>
      </c>
      <c r="W1" s="1" t="s">
        <v>657</v>
      </c>
      <c r="X1" s="1" t="s">
        <v>658</v>
      </c>
      <c r="Y1" s="1" t="s">
        <v>659</v>
      </c>
      <c r="Z1" s="1" t="s">
        <v>660</v>
      </c>
      <c r="AA1" s="1" t="s">
        <v>661</v>
      </c>
      <c r="AB1" s="1" t="s">
        <v>699</v>
      </c>
      <c r="AC1" s="1" t="s">
        <v>700</v>
      </c>
      <c r="AD1" s="1" t="s">
        <v>701</v>
      </c>
      <c r="AE1" s="1" t="s">
        <v>702</v>
      </c>
      <c r="AF1" s="1" t="s">
        <v>703</v>
      </c>
      <c r="AH1" s="52" t="s">
        <v>703</v>
      </c>
      <c r="AI1" s="52" t="s">
        <v>708</v>
      </c>
      <c r="AJ1" s="52" t="s">
        <v>709</v>
      </c>
    </row>
    <row r="2" spans="1:36" ht="11.25" customHeight="1" x14ac:dyDescent="0.25">
      <c r="A2" s="4" t="s">
        <v>21</v>
      </c>
      <c r="B2" s="4" t="s">
        <v>22</v>
      </c>
      <c r="C2" s="4" t="s">
        <v>23</v>
      </c>
      <c r="D2" s="4" t="s">
        <v>24</v>
      </c>
      <c r="E2" s="4" t="s">
        <v>24</v>
      </c>
      <c r="F2" s="4" t="s">
        <v>25</v>
      </c>
      <c r="G2" s="4" t="s">
        <v>25</v>
      </c>
      <c r="H2" s="4" t="s">
        <v>25</v>
      </c>
      <c r="I2" s="5">
        <v>44317</v>
      </c>
      <c r="J2" s="6">
        <v>0</v>
      </c>
      <c r="K2" s="6">
        <v>0</v>
      </c>
      <c r="L2" s="6">
        <v>211.17099999999999</v>
      </c>
      <c r="M2" s="6">
        <v>211.17099999999999</v>
      </c>
      <c r="N2" s="6">
        <v>211.17099999999999</v>
      </c>
      <c r="O2" s="6">
        <v>211.17099999999999</v>
      </c>
      <c r="P2" s="6">
        <v>1979</v>
      </c>
      <c r="Q2" s="4" t="s">
        <v>26</v>
      </c>
      <c r="R2" s="4">
        <v>0</v>
      </c>
      <c r="S2" s="4">
        <v>0</v>
      </c>
      <c r="T2" s="4">
        <v>16</v>
      </c>
      <c r="U2" s="4">
        <v>53</v>
      </c>
      <c r="V2" s="6">
        <f>IF(ISERROR(VLOOKUP($S$2,'TAR FIN'!$A$1:$O$85,15,0)),0,VLOOKUP($S$2,'TAR FIN'!$A$1:$O$85,15,0))</f>
        <v>0</v>
      </c>
      <c r="W2" s="6">
        <f>IF(ISERROR(VLOOKUP($T$2,'TAR FIN'!$A$1:$O$85,15,0)),0,VLOOKUP($T$2,'TAR FIN'!$A$1:$O$85,15,0))</f>
        <v>509.43</v>
      </c>
      <c r="X2" s="6">
        <f>IF(ISERROR(VLOOKUP($U$2,'TAR FIN'!$A$1:$O$85,15,0)),0,VLOOKUP($U$2,'TAR FIN'!$A$1:$O$85,15,0))</f>
        <v>251.85</v>
      </c>
      <c r="Y2" s="6"/>
      <c r="Z2" s="6">
        <f ca="1">('TUSD BE'!$AM$20+'TUSD BF'!$AM$20+'TUSD CVA'!$AM$20)*1</f>
        <v>657.94939927032419</v>
      </c>
      <c r="AA2" s="6">
        <f>('TE BE'!$AA$11+'TE BF'!$AA$11+'TE CVA'!$AA$11)*1</f>
        <v>256.69216484835653</v>
      </c>
      <c r="AB2" s="6">
        <f t="shared" ref="AB2:AB33" si="0">(J2-K2)*V2</f>
        <v>0</v>
      </c>
      <c r="AC2" s="6">
        <f>(L2-M2)*W2+(N2-O2)*X2</f>
        <v>0</v>
      </c>
      <c r="AD2" s="6">
        <f t="shared" ref="AD2:AD33" si="1">(J2-K2)*Y2</f>
        <v>0</v>
      </c>
      <c r="AE2" s="6">
        <f ca="1">(L2-M2)*Z2+(N2-O2)*AA2</f>
        <v>0</v>
      </c>
      <c r="AH2" s="53" t="s">
        <v>710</v>
      </c>
      <c r="AI2" s="54">
        <f t="shared" ref="AI2:AI9" si="2">SUMIF($AF$2:$AF$333,AH2,$AB$2:$AB$333)+SUMIF($AF$2:$AF$333,AH2,$AC$2:$AC$333)</f>
        <v>0</v>
      </c>
      <c r="AJ2" s="54">
        <f t="shared" ref="AJ2:AJ9" si="3">SUMIF($AF$2:$AF$333,AH2,$AD$2:$AD$333)+SUMIF($AF$2:$AF$333,AH2,$AE$2:$AE$333)</f>
        <v>0</v>
      </c>
    </row>
    <row r="3" spans="1:36" ht="11.25" customHeight="1" x14ac:dyDescent="0.25">
      <c r="A3" s="4" t="s">
        <v>21</v>
      </c>
      <c r="B3" s="4" t="s">
        <v>22</v>
      </c>
      <c r="C3" s="4" t="s">
        <v>23</v>
      </c>
      <c r="D3" s="4" t="s">
        <v>24</v>
      </c>
      <c r="E3" s="4" t="s">
        <v>28</v>
      </c>
      <c r="F3" s="4" t="s">
        <v>25</v>
      </c>
      <c r="G3" s="4" t="s">
        <v>25</v>
      </c>
      <c r="H3" s="4" t="s">
        <v>25</v>
      </c>
      <c r="I3" s="5">
        <v>44317</v>
      </c>
      <c r="J3" s="6">
        <v>0</v>
      </c>
      <c r="K3" s="6">
        <v>0</v>
      </c>
      <c r="L3" s="6">
        <v>59.46</v>
      </c>
      <c r="M3" s="6">
        <v>59.46</v>
      </c>
      <c r="N3" s="6">
        <v>59.46</v>
      </c>
      <c r="O3" s="6">
        <v>59.46</v>
      </c>
      <c r="P3" s="6">
        <v>128</v>
      </c>
      <c r="Q3" s="4" t="s">
        <v>26</v>
      </c>
      <c r="R3" s="4">
        <v>0</v>
      </c>
      <c r="S3" s="4">
        <v>0</v>
      </c>
      <c r="T3" s="4">
        <v>17</v>
      </c>
      <c r="U3" s="4">
        <v>54</v>
      </c>
      <c r="V3" s="6">
        <f>IF(ISERROR(VLOOKUP($S$3,'TAR FIN'!$A$1:$O$85,15,0)),0,VLOOKUP($S$3,'TAR FIN'!$A$1:$O$85,15,0))</f>
        <v>0</v>
      </c>
      <c r="W3" s="6">
        <f>IF(ISERROR(VLOOKUP($T$3,'TAR FIN'!$A$1:$O$85,15,0)),0,VLOOKUP($T$3,'TAR FIN'!$A$1:$O$85,15,0))</f>
        <v>166.1</v>
      </c>
      <c r="X3" s="6">
        <f>IF(ISERROR(VLOOKUP($U$3,'TAR FIN'!$A$1:$O$85,15,0)),0,VLOOKUP($U$3,'TAR FIN'!$A$1:$O$85,15,0))</f>
        <v>88.15</v>
      </c>
      <c r="Y3" s="6"/>
      <c r="Z3" s="6">
        <f ca="1">('TUSD BE'!$AM$21+'TUSD BF'!$AM$21+'TUSD CVA'!$AM$21-('TUSD BE'!$P$21+'TUSD BF'!$P$21+'TUSD CVA'!$P$21)-('TUSD BE'!$Q$21+'TUSD BF'!$Q$21+'TUSD CVA'!$Q$21)-('TUSD BE'!$R$21+'TUSD BF'!$R$21+'TUSD CVA'!$R$21))*(1-CUSTOS!$M$34)</f>
        <v>210.78488841905764</v>
      </c>
      <c r="AA3" s="6">
        <f>('TE BE'!$AA$12+'TE BF'!$AA$12+'TE CVA'!$AA$12)*(1-CUSTOS!$M$34)</f>
        <v>89.842257696924776</v>
      </c>
      <c r="AB3" s="6">
        <f t="shared" si="0"/>
        <v>0</v>
      </c>
      <c r="AC3" s="6">
        <f>(L3-M3)*(W3+X3)+($W$39+$X$39-$W$3-$X$3)*(L3)</f>
        <v>28075.228199999998</v>
      </c>
      <c r="AD3" s="6">
        <f t="shared" si="1"/>
        <v>0</v>
      </c>
      <c r="AE3" s="6">
        <f ca="1">(L3-M3)*(Z3+AA3)+($Z$39+$AA$39-$Z$3-$AA$3)*(L3)</f>
        <v>33196.967343533164</v>
      </c>
      <c r="AF3" s="4" t="s">
        <v>704</v>
      </c>
      <c r="AH3" s="53" t="s">
        <v>711</v>
      </c>
      <c r="AI3" s="54">
        <f t="shared" si="2"/>
        <v>0</v>
      </c>
      <c r="AJ3" s="54">
        <f t="shared" si="3"/>
        <v>0</v>
      </c>
    </row>
    <row r="4" spans="1:36" ht="11.25" customHeight="1" x14ac:dyDescent="0.25">
      <c r="A4" s="4" t="s">
        <v>21</v>
      </c>
      <c r="B4" s="4" t="s">
        <v>22</v>
      </c>
      <c r="C4" s="4" t="s">
        <v>23</v>
      </c>
      <c r="D4" s="4" t="s">
        <v>24</v>
      </c>
      <c r="E4" s="4" t="s">
        <v>28</v>
      </c>
      <c r="F4" s="4" t="s">
        <v>25</v>
      </c>
      <c r="G4" s="4" t="s">
        <v>25</v>
      </c>
      <c r="H4" s="4" t="s">
        <v>25</v>
      </c>
      <c r="I4" s="5">
        <v>44348</v>
      </c>
      <c r="J4" s="6">
        <v>0</v>
      </c>
      <c r="K4" s="6">
        <v>0</v>
      </c>
      <c r="L4" s="6">
        <v>59.97</v>
      </c>
      <c r="M4" s="6">
        <v>59.97</v>
      </c>
      <c r="N4" s="6">
        <v>59.97</v>
      </c>
      <c r="O4" s="6">
        <v>59.97</v>
      </c>
      <c r="P4" s="6">
        <v>145</v>
      </c>
      <c r="Q4" s="4" t="s">
        <v>26</v>
      </c>
      <c r="R4" s="4">
        <v>0</v>
      </c>
      <c r="S4" s="4">
        <v>0</v>
      </c>
      <c r="T4" s="4">
        <v>17</v>
      </c>
      <c r="U4" s="4">
        <v>54</v>
      </c>
      <c r="V4" s="6">
        <f>IF(ISERROR(VLOOKUP($S$4,'TAR FIN'!$A$1:$O$85,15,0)),0,VLOOKUP($S$4,'TAR FIN'!$A$1:$O$85,15,0))</f>
        <v>0</v>
      </c>
      <c r="W4" s="6">
        <f>IF(ISERROR(VLOOKUP($T$4,'TAR FIN'!$A$1:$O$85,15,0)),0,VLOOKUP($T$4,'TAR FIN'!$A$1:$O$85,15,0))</f>
        <v>166.1</v>
      </c>
      <c r="X4" s="6">
        <f>IF(ISERROR(VLOOKUP($U$4,'TAR FIN'!$A$1:$O$85,15,0)),0,VLOOKUP($U$4,'TAR FIN'!$A$1:$O$85,15,0))</f>
        <v>88.15</v>
      </c>
      <c r="Y4" s="6"/>
      <c r="Z4" s="6">
        <f ca="1">('TUSD BE'!$AM$21+'TUSD BF'!$AM$21+'TUSD CVA'!$AM$21-('TUSD BE'!$P$21+'TUSD BF'!$P$21+'TUSD CVA'!$P$21)-('TUSD BE'!$Q$21+'TUSD BF'!$Q$21+'TUSD CVA'!$Q$21)-('TUSD BE'!$R$21+'TUSD BF'!$R$21+'TUSD CVA'!$R$21))*(1-CUSTOS!$M$34)</f>
        <v>210.78488841905764</v>
      </c>
      <c r="AA4" s="6">
        <f>('TE BE'!$AA$12+'TE BF'!$AA$12+'TE CVA'!$AA$12)*(1-CUSTOS!$M$34)</f>
        <v>89.842257696924776</v>
      </c>
      <c r="AB4" s="6">
        <f t="shared" si="0"/>
        <v>0</v>
      </c>
      <c r="AC4" s="6">
        <f>(L4-M4)*(W4+X4)+($W$39+$X$39-$W$4-$X$4)*(L4)</f>
        <v>28316.034899999999</v>
      </c>
      <c r="AD4" s="6">
        <f t="shared" si="1"/>
        <v>0</v>
      </c>
      <c r="AE4" s="6">
        <f ca="1">(L4-M4)*(Z4+AA4)+($Z$39+$AA$39-$Z$4-$AA$4)*(L4)</f>
        <v>33481.70419764016</v>
      </c>
      <c r="AF4" s="4" t="s">
        <v>704</v>
      </c>
      <c r="AH4" s="53" t="s">
        <v>712</v>
      </c>
      <c r="AI4" s="54">
        <f t="shared" si="2"/>
        <v>0</v>
      </c>
      <c r="AJ4" s="54">
        <f t="shared" si="3"/>
        <v>0</v>
      </c>
    </row>
    <row r="5" spans="1:36" ht="11.25" customHeight="1" x14ac:dyDescent="0.25">
      <c r="A5" s="4" t="s">
        <v>21</v>
      </c>
      <c r="B5" s="4" t="s">
        <v>22</v>
      </c>
      <c r="C5" s="4" t="s">
        <v>23</v>
      </c>
      <c r="D5" s="4" t="s">
        <v>24</v>
      </c>
      <c r="E5" s="4" t="s">
        <v>28</v>
      </c>
      <c r="F5" s="4" t="s">
        <v>25</v>
      </c>
      <c r="G5" s="4" t="s">
        <v>25</v>
      </c>
      <c r="H5" s="4" t="s">
        <v>25</v>
      </c>
      <c r="I5" s="5">
        <v>44378</v>
      </c>
      <c r="J5" s="6">
        <v>0</v>
      </c>
      <c r="K5" s="6">
        <v>0</v>
      </c>
      <c r="L5" s="6">
        <v>60.3</v>
      </c>
      <c r="M5" s="6">
        <v>60.3</v>
      </c>
      <c r="N5" s="6">
        <v>60.3</v>
      </c>
      <c r="O5" s="6">
        <v>60.3</v>
      </c>
      <c r="P5" s="6">
        <v>148</v>
      </c>
      <c r="Q5" s="4" t="s">
        <v>26</v>
      </c>
      <c r="R5" s="4">
        <v>0</v>
      </c>
      <c r="S5" s="4">
        <v>0</v>
      </c>
      <c r="T5" s="4">
        <v>17</v>
      </c>
      <c r="U5" s="4">
        <v>54</v>
      </c>
      <c r="V5" s="6">
        <f>IF(ISERROR(VLOOKUP($S$5,'TAR FIN'!$A$1:$O$85,15,0)),0,VLOOKUP($S$5,'TAR FIN'!$A$1:$O$85,15,0))</f>
        <v>0</v>
      </c>
      <c r="W5" s="6">
        <f>IF(ISERROR(VLOOKUP($T$5,'TAR FIN'!$A$1:$O$85,15,0)),0,VLOOKUP($T$5,'TAR FIN'!$A$1:$O$85,15,0))</f>
        <v>166.1</v>
      </c>
      <c r="X5" s="6">
        <f>IF(ISERROR(VLOOKUP($U$5,'TAR FIN'!$A$1:$O$85,15,0)),0,VLOOKUP($U$5,'TAR FIN'!$A$1:$O$85,15,0))</f>
        <v>88.15</v>
      </c>
      <c r="Y5" s="6"/>
      <c r="Z5" s="6">
        <f ca="1">('TUSD BE'!$AM$21+'TUSD BF'!$AM$21+'TUSD CVA'!$AM$21-('TUSD BE'!$P$21+'TUSD BF'!$P$21+'TUSD CVA'!$P$21)-('TUSD BE'!$Q$21+'TUSD BF'!$Q$21+'TUSD CVA'!$Q$21)-('TUSD BE'!$R$21+'TUSD BF'!$R$21+'TUSD CVA'!$R$21))*(1-CUSTOS!$M$34)</f>
        <v>210.78488841905764</v>
      </c>
      <c r="AA5" s="6">
        <f>('TE BE'!$AA$12+'TE BF'!$AA$12+'TE CVA'!$AA$12)*(1-CUSTOS!$M$34)</f>
        <v>89.842257696924776</v>
      </c>
      <c r="AB5" s="6">
        <f t="shared" si="0"/>
        <v>0</v>
      </c>
      <c r="AC5" s="6">
        <f>(L5-M5)*(W5+X5)+($W$39+$X$39-$W$5-$X$5)*(L5)</f>
        <v>28471.850999999995</v>
      </c>
      <c r="AD5" s="6">
        <f t="shared" si="1"/>
        <v>0</v>
      </c>
      <c r="AE5" s="6">
        <f ca="1">(L5-M5)*(Z5+AA5)+($Z$39+$AA$39-$Z$5-$AA$5)*(L5)</f>
        <v>33665.945691474095</v>
      </c>
      <c r="AF5" s="4" t="s">
        <v>704</v>
      </c>
      <c r="AH5" s="53" t="s">
        <v>707</v>
      </c>
      <c r="AI5" s="54">
        <f t="shared" si="2"/>
        <v>34275.413951999995</v>
      </c>
      <c r="AJ5" s="54">
        <f t="shared" ca="1" si="3"/>
        <v>20590.136498970503</v>
      </c>
    </row>
    <row r="6" spans="1:36" ht="11.25" customHeight="1" x14ac:dyDescent="0.25">
      <c r="A6" s="4" t="s">
        <v>21</v>
      </c>
      <c r="B6" s="4" t="s">
        <v>22</v>
      </c>
      <c r="C6" s="4" t="s">
        <v>23</v>
      </c>
      <c r="D6" s="4" t="s">
        <v>24</v>
      </c>
      <c r="E6" s="4" t="s">
        <v>28</v>
      </c>
      <c r="F6" s="4" t="s">
        <v>25</v>
      </c>
      <c r="G6" s="4" t="s">
        <v>25</v>
      </c>
      <c r="H6" s="4" t="s">
        <v>25</v>
      </c>
      <c r="I6" s="5">
        <v>44409</v>
      </c>
      <c r="J6" s="6">
        <v>0</v>
      </c>
      <c r="K6" s="6">
        <v>0</v>
      </c>
      <c r="L6" s="6">
        <v>60.9</v>
      </c>
      <c r="M6" s="6">
        <v>60.9</v>
      </c>
      <c r="N6" s="6">
        <v>60.9</v>
      </c>
      <c r="O6" s="6">
        <v>60.9</v>
      </c>
      <c r="P6" s="6">
        <v>150</v>
      </c>
      <c r="Q6" s="4" t="s">
        <v>26</v>
      </c>
      <c r="R6" s="4">
        <v>0</v>
      </c>
      <c r="S6" s="4">
        <v>0</v>
      </c>
      <c r="T6" s="4">
        <v>17</v>
      </c>
      <c r="U6" s="4">
        <v>54</v>
      </c>
      <c r="V6" s="6">
        <f>IF(ISERROR(VLOOKUP($S$6,'TAR FIN'!$A$1:$O$85,15,0)),0,VLOOKUP($S$6,'TAR FIN'!$A$1:$O$85,15,0))</f>
        <v>0</v>
      </c>
      <c r="W6" s="6">
        <f>IF(ISERROR(VLOOKUP($T$6,'TAR FIN'!$A$1:$O$85,15,0)),0,VLOOKUP($T$6,'TAR FIN'!$A$1:$O$85,15,0))</f>
        <v>166.1</v>
      </c>
      <c r="X6" s="6">
        <f>IF(ISERROR(VLOOKUP($U$6,'TAR FIN'!$A$1:$O$85,15,0)),0,VLOOKUP($U$6,'TAR FIN'!$A$1:$O$85,15,0))</f>
        <v>88.15</v>
      </c>
      <c r="Y6" s="6"/>
      <c r="Z6" s="6">
        <f ca="1">('TUSD BE'!$AM$21+'TUSD BF'!$AM$21+'TUSD CVA'!$AM$21-('TUSD BE'!$P$21+'TUSD BF'!$P$21+'TUSD CVA'!$P$21)-('TUSD BE'!$Q$21+'TUSD BF'!$Q$21+'TUSD CVA'!$Q$21)-('TUSD BE'!$R$21+'TUSD BF'!$R$21+'TUSD CVA'!$R$21))*(1-CUSTOS!$M$34)</f>
        <v>210.78488841905764</v>
      </c>
      <c r="AA6" s="6">
        <f>('TE BE'!$AA$12+'TE BF'!$AA$12+'TE CVA'!$AA$12)*(1-CUSTOS!$M$34)</f>
        <v>89.842257696924776</v>
      </c>
      <c r="AB6" s="6">
        <f t="shared" si="0"/>
        <v>0</v>
      </c>
      <c r="AC6" s="6">
        <f>(L6-M6)*(W6+X6)+($W$39+$X$39-$W$6-$X$6)*(L6)</f>
        <v>28755.152999999998</v>
      </c>
      <c r="AD6" s="6">
        <f t="shared" si="1"/>
        <v>0</v>
      </c>
      <c r="AE6" s="6">
        <f ca="1">(L6-M6)*(Z6+AA6)+($Z$39+$AA$39-$Z$6-$AA$6)*(L6)</f>
        <v>34000.930225717617</v>
      </c>
      <c r="AF6" s="4" t="s">
        <v>704</v>
      </c>
      <c r="AH6" s="53" t="s">
        <v>705</v>
      </c>
      <c r="AI6" s="54">
        <f t="shared" si="2"/>
        <v>229201.54462638288</v>
      </c>
      <c r="AJ6" s="54">
        <f t="shared" ca="1" si="3"/>
        <v>138122.56280162229</v>
      </c>
    </row>
    <row r="7" spans="1:36" ht="11.25" customHeight="1" x14ac:dyDescent="0.25">
      <c r="A7" s="4" t="s">
        <v>21</v>
      </c>
      <c r="B7" s="4" t="s">
        <v>22</v>
      </c>
      <c r="C7" s="4" t="s">
        <v>23</v>
      </c>
      <c r="D7" s="4" t="s">
        <v>24</v>
      </c>
      <c r="E7" s="4" t="s">
        <v>28</v>
      </c>
      <c r="F7" s="4" t="s">
        <v>25</v>
      </c>
      <c r="G7" s="4" t="s">
        <v>25</v>
      </c>
      <c r="H7" s="4" t="s">
        <v>25</v>
      </c>
      <c r="I7" s="5">
        <v>44440</v>
      </c>
      <c r="J7" s="6">
        <v>0</v>
      </c>
      <c r="K7" s="6">
        <v>0</v>
      </c>
      <c r="L7" s="6">
        <v>61.23</v>
      </c>
      <c r="M7" s="6">
        <v>61.23</v>
      </c>
      <c r="N7" s="6">
        <v>61.23</v>
      </c>
      <c r="O7" s="6">
        <v>61.23</v>
      </c>
      <c r="P7" s="6">
        <v>138</v>
      </c>
      <c r="Q7" s="4" t="s">
        <v>26</v>
      </c>
      <c r="R7" s="4">
        <v>0</v>
      </c>
      <c r="S7" s="4">
        <v>0</v>
      </c>
      <c r="T7" s="4">
        <v>17</v>
      </c>
      <c r="U7" s="4">
        <v>54</v>
      </c>
      <c r="V7" s="6">
        <f>IF(ISERROR(VLOOKUP($S$7,'TAR FIN'!$A$1:$O$85,15,0)),0,VLOOKUP($S$7,'TAR FIN'!$A$1:$O$85,15,0))</f>
        <v>0</v>
      </c>
      <c r="W7" s="6">
        <f>IF(ISERROR(VLOOKUP($T$7,'TAR FIN'!$A$1:$O$85,15,0)),0,VLOOKUP($T$7,'TAR FIN'!$A$1:$O$85,15,0))</f>
        <v>166.1</v>
      </c>
      <c r="X7" s="6">
        <f>IF(ISERROR(VLOOKUP($U$7,'TAR FIN'!$A$1:$O$85,15,0)),0,VLOOKUP($U$7,'TAR FIN'!$A$1:$O$85,15,0))</f>
        <v>88.15</v>
      </c>
      <c r="Y7" s="6"/>
      <c r="Z7" s="6">
        <f ca="1">('TUSD BE'!$AM$21+'TUSD BF'!$AM$21+'TUSD CVA'!$AM$21-('TUSD BE'!$P$21+'TUSD BF'!$P$21+'TUSD CVA'!$P$21)-('TUSD BE'!$Q$21+'TUSD BF'!$Q$21+'TUSD CVA'!$Q$21)-('TUSD BE'!$R$21+'TUSD BF'!$R$21+'TUSD CVA'!$R$21))*(1-CUSTOS!$M$34)</f>
        <v>210.78488841905764</v>
      </c>
      <c r="AA7" s="6">
        <f>('TE BE'!$AA$12+'TE BF'!$AA$12+'TE CVA'!$AA$12)*(1-CUSTOS!$M$34)</f>
        <v>89.842257696924776</v>
      </c>
      <c r="AB7" s="6">
        <f t="shared" si="0"/>
        <v>0</v>
      </c>
      <c r="AC7" s="6">
        <f>(L7-M7)*(W7+X7)+($W$39+$X$39-$W$7-$X$7)*(L7)</f>
        <v>28910.969099999995</v>
      </c>
      <c r="AD7" s="6">
        <f t="shared" si="1"/>
        <v>0</v>
      </c>
      <c r="AE7" s="6">
        <f ca="1">(L7-M7)*(Z7+AA7)+($Z$39+$AA$39-$Z$7-$AA$7)*(L7)</f>
        <v>34185.171719551552</v>
      </c>
      <c r="AF7" s="4" t="s">
        <v>704</v>
      </c>
      <c r="AH7" s="53" t="s">
        <v>706</v>
      </c>
      <c r="AI7" s="54">
        <f t="shared" si="2"/>
        <v>26692.669583999999</v>
      </c>
      <c r="AJ7" s="54">
        <f t="shared" ca="1" si="3"/>
        <v>31388.429561335084</v>
      </c>
    </row>
    <row r="8" spans="1:36" ht="11.25" customHeight="1" x14ac:dyDescent="0.25">
      <c r="A8" s="4" t="s">
        <v>21</v>
      </c>
      <c r="B8" s="4" t="s">
        <v>22</v>
      </c>
      <c r="C8" s="4" t="s">
        <v>23</v>
      </c>
      <c r="D8" s="4" t="s">
        <v>24</v>
      </c>
      <c r="E8" s="4" t="s">
        <v>28</v>
      </c>
      <c r="F8" s="4" t="s">
        <v>25</v>
      </c>
      <c r="G8" s="4" t="s">
        <v>25</v>
      </c>
      <c r="H8" s="4" t="s">
        <v>25</v>
      </c>
      <c r="I8" s="5">
        <v>44470</v>
      </c>
      <c r="J8" s="6">
        <v>0</v>
      </c>
      <c r="K8" s="6">
        <v>0</v>
      </c>
      <c r="L8" s="6">
        <v>61.98</v>
      </c>
      <c r="M8" s="6">
        <v>61.98</v>
      </c>
      <c r="N8" s="6">
        <v>61.98</v>
      </c>
      <c r="O8" s="6">
        <v>61.98</v>
      </c>
      <c r="P8" s="6">
        <v>150</v>
      </c>
      <c r="Q8" s="4" t="s">
        <v>26</v>
      </c>
      <c r="R8" s="4">
        <v>0</v>
      </c>
      <c r="S8" s="4">
        <v>0</v>
      </c>
      <c r="T8" s="4">
        <v>17</v>
      </c>
      <c r="U8" s="4">
        <v>54</v>
      </c>
      <c r="V8" s="6">
        <f>IF(ISERROR(VLOOKUP($S$8,'TAR FIN'!$A$1:$O$85,15,0)),0,VLOOKUP($S$8,'TAR FIN'!$A$1:$O$85,15,0))</f>
        <v>0</v>
      </c>
      <c r="W8" s="6">
        <f>IF(ISERROR(VLOOKUP($T$8,'TAR FIN'!$A$1:$O$85,15,0)),0,VLOOKUP($T$8,'TAR FIN'!$A$1:$O$85,15,0))</f>
        <v>166.1</v>
      </c>
      <c r="X8" s="6">
        <f>IF(ISERROR(VLOOKUP($U$8,'TAR FIN'!$A$1:$O$85,15,0)),0,VLOOKUP($U$8,'TAR FIN'!$A$1:$O$85,15,0))</f>
        <v>88.15</v>
      </c>
      <c r="Y8" s="6"/>
      <c r="Z8" s="6">
        <f ca="1">('TUSD BE'!$AM$21+'TUSD BF'!$AM$21+'TUSD CVA'!$AM$21-('TUSD BE'!$P$21+'TUSD BF'!$P$21+'TUSD CVA'!$P$21)-('TUSD BE'!$Q$21+'TUSD BF'!$Q$21+'TUSD CVA'!$Q$21)-('TUSD BE'!$R$21+'TUSD BF'!$R$21+'TUSD CVA'!$R$21))*(1-CUSTOS!$M$34)</f>
        <v>210.78488841905764</v>
      </c>
      <c r="AA8" s="6">
        <f>('TE BE'!$AA$12+'TE BF'!$AA$12+'TE CVA'!$AA$12)*(1-CUSTOS!$M$34)</f>
        <v>89.842257696924776</v>
      </c>
      <c r="AB8" s="6">
        <f t="shared" si="0"/>
        <v>0</v>
      </c>
      <c r="AC8" s="6">
        <f>(L8-M8)*(W8+X8)+($W$39+$X$39-$W$8-$X$8)*(L8)</f>
        <v>29265.096599999997</v>
      </c>
      <c r="AD8" s="6">
        <f t="shared" si="1"/>
        <v>0</v>
      </c>
      <c r="AE8" s="6">
        <f ca="1">(L8-M8)*(Z8+AA8)+($Z$39+$AA$39-$Z$8-$AA$8)*(L8)</f>
        <v>34603.902387355956</v>
      </c>
      <c r="AF8" s="4" t="s">
        <v>704</v>
      </c>
      <c r="AH8" s="53" t="s">
        <v>704</v>
      </c>
      <c r="AI8" s="54">
        <f t="shared" si="2"/>
        <v>751506.47971999983</v>
      </c>
      <c r="AJ8" s="54">
        <f t="shared" ca="1" si="3"/>
        <v>888598.35673701821</v>
      </c>
    </row>
    <row r="9" spans="1:36" ht="11.25" customHeight="1" x14ac:dyDescent="0.25">
      <c r="A9" s="4" t="s">
        <v>21</v>
      </c>
      <c r="B9" s="4" t="s">
        <v>22</v>
      </c>
      <c r="C9" s="4" t="s">
        <v>23</v>
      </c>
      <c r="D9" s="4" t="s">
        <v>24</v>
      </c>
      <c r="E9" s="4" t="s">
        <v>28</v>
      </c>
      <c r="F9" s="4" t="s">
        <v>25</v>
      </c>
      <c r="G9" s="4" t="s">
        <v>25</v>
      </c>
      <c r="H9" s="4" t="s">
        <v>25</v>
      </c>
      <c r="I9" s="5">
        <v>44501</v>
      </c>
      <c r="J9" s="6">
        <v>0</v>
      </c>
      <c r="K9" s="6">
        <v>0</v>
      </c>
      <c r="L9" s="6">
        <v>62.91</v>
      </c>
      <c r="M9" s="6">
        <v>62.91</v>
      </c>
      <c r="N9" s="6">
        <v>62.91</v>
      </c>
      <c r="O9" s="6">
        <v>62.91</v>
      </c>
      <c r="P9" s="6">
        <v>133</v>
      </c>
      <c r="Q9" s="4" t="s">
        <v>26</v>
      </c>
      <c r="R9" s="4">
        <v>0</v>
      </c>
      <c r="S9" s="4">
        <v>0</v>
      </c>
      <c r="T9" s="4">
        <v>17</v>
      </c>
      <c r="U9" s="4">
        <v>54</v>
      </c>
      <c r="V9" s="6">
        <f>IF(ISERROR(VLOOKUP($S$9,'TAR FIN'!$A$1:$O$85,15,0)),0,VLOOKUP($S$9,'TAR FIN'!$A$1:$O$85,15,0))</f>
        <v>0</v>
      </c>
      <c r="W9" s="6">
        <f>IF(ISERROR(VLOOKUP($T$9,'TAR FIN'!$A$1:$O$85,15,0)),0,VLOOKUP($T$9,'TAR FIN'!$A$1:$O$85,15,0))</f>
        <v>166.1</v>
      </c>
      <c r="X9" s="6">
        <f>IF(ISERROR(VLOOKUP($U$9,'TAR FIN'!$A$1:$O$85,15,0)),0,VLOOKUP($U$9,'TAR FIN'!$A$1:$O$85,15,0))</f>
        <v>88.15</v>
      </c>
      <c r="Y9" s="6"/>
      <c r="Z9" s="6">
        <f ca="1">('TUSD BE'!$AM$21+'TUSD BF'!$AM$21+'TUSD CVA'!$AM$21-('TUSD BE'!$P$21+'TUSD BF'!$P$21+'TUSD CVA'!$P$21)-('TUSD BE'!$Q$21+'TUSD BF'!$Q$21+'TUSD CVA'!$Q$21)-('TUSD BE'!$R$21+'TUSD BF'!$R$21+'TUSD CVA'!$R$21))*(1-CUSTOS!$M$34)</f>
        <v>210.78488841905764</v>
      </c>
      <c r="AA9" s="6">
        <f>('TE BE'!$AA$12+'TE BF'!$AA$12+'TE CVA'!$AA$12)*(1-CUSTOS!$M$34)</f>
        <v>89.842257696924776</v>
      </c>
      <c r="AB9" s="6">
        <f t="shared" si="0"/>
        <v>0</v>
      </c>
      <c r="AC9" s="6">
        <f>(L9-M9)*(W9+X9)+($W$39+$X$39-$W$9-$X$9)*(L9)</f>
        <v>29704.214699999997</v>
      </c>
      <c r="AD9" s="6">
        <f t="shared" si="1"/>
        <v>0</v>
      </c>
      <c r="AE9" s="6">
        <f ca="1">(L9-M9)*(Z9+AA9)+($Z$39+$AA$39-$Z$9-$AA$9)*(L9)</f>
        <v>35123.128415433421</v>
      </c>
      <c r="AF9" s="4" t="s">
        <v>704</v>
      </c>
      <c r="AH9" s="53" t="s">
        <v>713</v>
      </c>
      <c r="AI9" s="54">
        <f t="shared" si="2"/>
        <v>0</v>
      </c>
      <c r="AJ9" s="54">
        <f t="shared" si="3"/>
        <v>0</v>
      </c>
    </row>
    <row r="10" spans="1:36" ht="11.25" customHeight="1" x14ac:dyDescent="0.25">
      <c r="A10" s="4" t="s">
        <v>21</v>
      </c>
      <c r="B10" s="4" t="s">
        <v>22</v>
      </c>
      <c r="C10" s="4" t="s">
        <v>23</v>
      </c>
      <c r="D10" s="4" t="s">
        <v>24</v>
      </c>
      <c r="E10" s="4" t="s">
        <v>28</v>
      </c>
      <c r="F10" s="4" t="s">
        <v>25</v>
      </c>
      <c r="G10" s="4" t="s">
        <v>25</v>
      </c>
      <c r="H10" s="4" t="s">
        <v>25</v>
      </c>
      <c r="I10" s="5">
        <v>44531</v>
      </c>
      <c r="J10" s="6">
        <v>0</v>
      </c>
      <c r="K10" s="6">
        <v>0</v>
      </c>
      <c r="L10" s="6">
        <v>64.77</v>
      </c>
      <c r="M10" s="6">
        <v>64.77</v>
      </c>
      <c r="N10" s="6">
        <v>64.77</v>
      </c>
      <c r="O10" s="6">
        <v>64.77</v>
      </c>
      <c r="P10" s="6">
        <v>151</v>
      </c>
      <c r="Q10" s="4" t="s">
        <v>26</v>
      </c>
      <c r="R10" s="4">
        <v>0</v>
      </c>
      <c r="S10" s="4">
        <v>0</v>
      </c>
      <c r="T10" s="4">
        <v>17</v>
      </c>
      <c r="U10" s="4">
        <v>54</v>
      </c>
      <c r="V10" s="6">
        <f>IF(ISERROR(VLOOKUP($S$10,'TAR FIN'!$A$1:$O$85,15,0)),0,VLOOKUP($S$10,'TAR FIN'!$A$1:$O$85,15,0))</f>
        <v>0</v>
      </c>
      <c r="W10" s="6">
        <f>IF(ISERROR(VLOOKUP($T$10,'TAR FIN'!$A$1:$O$85,15,0)),0,VLOOKUP($T$10,'TAR FIN'!$A$1:$O$85,15,0))</f>
        <v>166.1</v>
      </c>
      <c r="X10" s="6">
        <f>IF(ISERROR(VLOOKUP($U$10,'TAR FIN'!$A$1:$O$85,15,0)),0,VLOOKUP($U$10,'TAR FIN'!$A$1:$O$85,15,0))</f>
        <v>88.15</v>
      </c>
      <c r="Y10" s="6"/>
      <c r="Z10" s="6">
        <f ca="1">('TUSD BE'!$AM$21+'TUSD BF'!$AM$21+'TUSD CVA'!$AM$21-('TUSD BE'!$P$21+'TUSD BF'!$P$21+'TUSD CVA'!$P$21)-('TUSD BE'!$Q$21+'TUSD BF'!$Q$21+'TUSD CVA'!$Q$21)-('TUSD BE'!$R$21+'TUSD BF'!$R$21+'TUSD CVA'!$R$21))*(1-CUSTOS!$M$34)</f>
        <v>210.78488841905764</v>
      </c>
      <c r="AA10" s="6">
        <f>('TE BE'!$AA$12+'TE BF'!$AA$12+'TE CVA'!$AA$12)*(1-CUSTOS!$M$34)</f>
        <v>89.842257696924776</v>
      </c>
      <c r="AB10" s="6">
        <f t="shared" si="0"/>
        <v>0</v>
      </c>
      <c r="AC10" s="6">
        <f>(L10-M10)*(W10+X10)+($W$39+$X$39-$W$10-$X$10)*(L10)</f>
        <v>30582.450899999996</v>
      </c>
      <c r="AD10" s="6">
        <f t="shared" si="1"/>
        <v>0</v>
      </c>
      <c r="AE10" s="6">
        <f ca="1">(L10-M10)*(Z10+AA10)+($Z$39+$AA$39-$Z$10-$AA$10)*(L10)</f>
        <v>36161.580471588342</v>
      </c>
      <c r="AF10" s="4" t="s">
        <v>704</v>
      </c>
    </row>
    <row r="11" spans="1:36" ht="11.25" customHeight="1" x14ac:dyDescent="0.25">
      <c r="A11" s="4" t="s">
        <v>21</v>
      </c>
      <c r="B11" s="4" t="s">
        <v>22</v>
      </c>
      <c r="C11" s="4" t="s">
        <v>23</v>
      </c>
      <c r="D11" s="4" t="s">
        <v>24</v>
      </c>
      <c r="E11" s="4" t="s">
        <v>28</v>
      </c>
      <c r="F11" s="4" t="s">
        <v>25</v>
      </c>
      <c r="G11" s="4" t="s">
        <v>25</v>
      </c>
      <c r="H11" s="4" t="s">
        <v>25</v>
      </c>
      <c r="I11" s="5">
        <v>44562</v>
      </c>
      <c r="J11" s="6">
        <v>0</v>
      </c>
      <c r="K11" s="6">
        <v>0</v>
      </c>
      <c r="L11" s="6">
        <v>64.92</v>
      </c>
      <c r="M11" s="6">
        <v>64.92</v>
      </c>
      <c r="N11" s="6">
        <v>64.92</v>
      </c>
      <c r="O11" s="6">
        <v>64.92</v>
      </c>
      <c r="P11" s="6">
        <v>142</v>
      </c>
      <c r="Q11" s="4" t="s">
        <v>26</v>
      </c>
      <c r="R11" s="4">
        <v>0</v>
      </c>
      <c r="S11" s="4">
        <v>0</v>
      </c>
      <c r="T11" s="4">
        <v>17</v>
      </c>
      <c r="U11" s="4">
        <v>54</v>
      </c>
      <c r="V11" s="6">
        <f>IF(ISERROR(VLOOKUP($S$11,'TAR FIN'!$A$1:$O$85,15,0)),0,VLOOKUP($S$11,'TAR FIN'!$A$1:$O$85,15,0))</f>
        <v>0</v>
      </c>
      <c r="W11" s="6">
        <f>IF(ISERROR(VLOOKUP($T$11,'TAR FIN'!$A$1:$O$85,15,0)),0,VLOOKUP($T$11,'TAR FIN'!$A$1:$O$85,15,0))</f>
        <v>166.1</v>
      </c>
      <c r="X11" s="6">
        <f>IF(ISERROR(VLOOKUP($U$11,'TAR FIN'!$A$1:$O$85,15,0)),0,VLOOKUP($U$11,'TAR FIN'!$A$1:$O$85,15,0))</f>
        <v>88.15</v>
      </c>
      <c r="Y11" s="6"/>
      <c r="Z11" s="6">
        <f ca="1">('TUSD BE'!$AM$21+'TUSD BF'!$AM$21+'TUSD CVA'!$AM$21-('TUSD BE'!$P$21+'TUSD BF'!$P$21+'TUSD CVA'!$P$21)-('TUSD BE'!$Q$21+'TUSD BF'!$Q$21+'TUSD CVA'!$Q$21)-('TUSD BE'!$R$21+'TUSD BF'!$R$21+'TUSD CVA'!$R$21))*(1-CUSTOS!$M$34)</f>
        <v>210.78488841905764</v>
      </c>
      <c r="AA11" s="6">
        <f>('TE BE'!$AA$12+'TE BF'!$AA$12+'TE CVA'!$AA$12)*(1-CUSTOS!$M$34)</f>
        <v>89.842257696924776</v>
      </c>
      <c r="AB11" s="6">
        <f t="shared" si="0"/>
        <v>0</v>
      </c>
      <c r="AC11" s="6">
        <f>(L11-M11)*(W11+X11)+($W$39+$X$39-$W$11-$X$11)*(L11)</f>
        <v>30653.276399999999</v>
      </c>
      <c r="AD11" s="6">
        <f t="shared" si="1"/>
        <v>0</v>
      </c>
      <c r="AE11" s="6">
        <f ca="1">(L11-M11)*(Z11+AA11)+($Z$39+$AA$39-$Z$11-$AA$11)*(L11)</f>
        <v>36245.326605149225</v>
      </c>
      <c r="AF11" s="4" t="s">
        <v>704</v>
      </c>
    </row>
    <row r="12" spans="1:36" ht="11.25" customHeight="1" x14ac:dyDescent="0.25">
      <c r="A12" s="4" t="s">
        <v>21</v>
      </c>
      <c r="B12" s="4" t="s">
        <v>22</v>
      </c>
      <c r="C12" s="4" t="s">
        <v>23</v>
      </c>
      <c r="D12" s="4" t="s">
        <v>24</v>
      </c>
      <c r="E12" s="4" t="s">
        <v>28</v>
      </c>
      <c r="F12" s="4" t="s">
        <v>25</v>
      </c>
      <c r="G12" s="4" t="s">
        <v>25</v>
      </c>
      <c r="H12" s="4" t="s">
        <v>25</v>
      </c>
      <c r="I12" s="5">
        <v>44593</v>
      </c>
      <c r="J12" s="6">
        <v>0</v>
      </c>
      <c r="K12" s="6">
        <v>0</v>
      </c>
      <c r="L12" s="6">
        <v>73.319999999999993</v>
      </c>
      <c r="M12" s="6">
        <v>73.319999999999993</v>
      </c>
      <c r="N12" s="6">
        <v>73.319999999999993</v>
      </c>
      <c r="O12" s="6">
        <v>73.319999999999993</v>
      </c>
      <c r="P12" s="6">
        <v>186</v>
      </c>
      <c r="Q12" s="4" t="s">
        <v>26</v>
      </c>
      <c r="R12" s="4">
        <v>0</v>
      </c>
      <c r="S12" s="4">
        <v>0</v>
      </c>
      <c r="T12" s="4">
        <v>17</v>
      </c>
      <c r="U12" s="4">
        <v>54</v>
      </c>
      <c r="V12" s="6">
        <f>IF(ISERROR(VLOOKUP($S$12,'TAR FIN'!$A$1:$O$85,15,0)),0,VLOOKUP($S$12,'TAR FIN'!$A$1:$O$85,15,0))</f>
        <v>0</v>
      </c>
      <c r="W12" s="6">
        <f>IF(ISERROR(VLOOKUP($T$12,'TAR FIN'!$A$1:$O$85,15,0)),0,VLOOKUP($T$12,'TAR FIN'!$A$1:$O$85,15,0))</f>
        <v>166.1</v>
      </c>
      <c r="X12" s="6">
        <f>IF(ISERROR(VLOOKUP($U$12,'TAR FIN'!$A$1:$O$85,15,0)),0,VLOOKUP($U$12,'TAR FIN'!$A$1:$O$85,15,0))</f>
        <v>88.15</v>
      </c>
      <c r="Y12" s="6"/>
      <c r="Z12" s="6">
        <f ca="1">('TUSD BE'!$AM$21+'TUSD BF'!$AM$21+'TUSD CVA'!$AM$21-('TUSD BE'!$P$21+'TUSD BF'!$P$21+'TUSD CVA'!$P$21)-('TUSD BE'!$Q$21+'TUSD BF'!$Q$21+'TUSD CVA'!$Q$21)-('TUSD BE'!$R$21+'TUSD BF'!$R$21+'TUSD CVA'!$R$21))*(1-CUSTOS!$M$34)</f>
        <v>210.78488841905764</v>
      </c>
      <c r="AA12" s="6">
        <f>('TE BE'!$AA$12+'TE BF'!$AA$12+'TE CVA'!$AA$12)*(1-CUSTOS!$M$34)</f>
        <v>89.842257696924776</v>
      </c>
      <c r="AB12" s="6">
        <f t="shared" si="0"/>
        <v>0</v>
      </c>
      <c r="AC12" s="6">
        <f>(L12-M12)*(W12+X12)+($W$39+$X$39-$W$12-$X$12)*(L12)</f>
        <v>34619.504399999991</v>
      </c>
      <c r="AD12" s="6">
        <f t="shared" si="1"/>
        <v>0</v>
      </c>
      <c r="AE12" s="6">
        <f ca="1">(L12-M12)*(Z12+AA12)+($Z$39+$AA$39-$Z$12-$AA$12)*(L12)</f>
        <v>40935.110084558546</v>
      </c>
      <c r="AF12" s="4" t="s">
        <v>704</v>
      </c>
    </row>
    <row r="13" spans="1:36" ht="11.25" customHeight="1" x14ac:dyDescent="0.25">
      <c r="A13" s="4" t="s">
        <v>21</v>
      </c>
      <c r="B13" s="4" t="s">
        <v>22</v>
      </c>
      <c r="C13" s="4" t="s">
        <v>23</v>
      </c>
      <c r="D13" s="4" t="s">
        <v>24</v>
      </c>
      <c r="E13" s="4" t="s">
        <v>28</v>
      </c>
      <c r="F13" s="4" t="s">
        <v>25</v>
      </c>
      <c r="G13" s="4" t="s">
        <v>25</v>
      </c>
      <c r="H13" s="4" t="s">
        <v>25</v>
      </c>
      <c r="I13" s="5">
        <v>44621</v>
      </c>
      <c r="J13" s="6">
        <v>0</v>
      </c>
      <c r="K13" s="6">
        <v>0</v>
      </c>
      <c r="L13" s="6">
        <v>75.36</v>
      </c>
      <c r="M13" s="6">
        <v>75.36</v>
      </c>
      <c r="N13" s="6">
        <v>75.36</v>
      </c>
      <c r="O13" s="6">
        <v>75.36</v>
      </c>
      <c r="P13" s="6">
        <v>172</v>
      </c>
      <c r="Q13" s="4" t="s">
        <v>26</v>
      </c>
      <c r="R13" s="4">
        <v>0</v>
      </c>
      <c r="S13" s="4">
        <v>0</v>
      </c>
      <c r="T13" s="4">
        <v>17</v>
      </c>
      <c r="U13" s="4">
        <v>54</v>
      </c>
      <c r="V13" s="6">
        <f>IF(ISERROR(VLOOKUP($S$13,'TAR FIN'!$A$1:$O$85,15,0)),0,VLOOKUP($S$13,'TAR FIN'!$A$1:$O$85,15,0))</f>
        <v>0</v>
      </c>
      <c r="W13" s="6">
        <f>IF(ISERROR(VLOOKUP($T$13,'TAR FIN'!$A$1:$O$85,15,0)),0,VLOOKUP($T$13,'TAR FIN'!$A$1:$O$85,15,0))</f>
        <v>166.1</v>
      </c>
      <c r="X13" s="6">
        <f>IF(ISERROR(VLOOKUP($U$13,'TAR FIN'!$A$1:$O$85,15,0)),0,VLOOKUP($U$13,'TAR FIN'!$A$1:$O$85,15,0))</f>
        <v>88.15</v>
      </c>
      <c r="Y13" s="6"/>
      <c r="Z13" s="6">
        <f ca="1">('TUSD BE'!$AM$21+'TUSD BF'!$AM$21+'TUSD CVA'!$AM$21-('TUSD BE'!$P$21+'TUSD BF'!$P$21+'TUSD CVA'!$P$21)-('TUSD BE'!$Q$21+'TUSD BF'!$Q$21+'TUSD CVA'!$Q$21)-('TUSD BE'!$R$21+'TUSD BF'!$R$21+'TUSD CVA'!$R$21))*(1-CUSTOS!$M$34)</f>
        <v>210.78488841905764</v>
      </c>
      <c r="AA13" s="6">
        <f>('TE BE'!$AA$12+'TE BF'!$AA$12+'TE CVA'!$AA$12)*(1-CUSTOS!$M$34)</f>
        <v>89.842257696924776</v>
      </c>
      <c r="AB13" s="6">
        <f t="shared" si="0"/>
        <v>0</v>
      </c>
      <c r="AC13" s="6">
        <f>(L13-M13)*(W13+X13)+($W$39+$X$39-$W$13-$X$13)*(L13)</f>
        <v>35582.731199999995</v>
      </c>
      <c r="AD13" s="6">
        <f t="shared" si="1"/>
        <v>0</v>
      </c>
      <c r="AE13" s="6">
        <f ca="1">(L13-M13)*(Z13+AA13)+($Z$39+$AA$39-$Z$13-$AA$13)*(L13)</f>
        <v>42074.057500986528</v>
      </c>
      <c r="AF13" s="4" t="s">
        <v>704</v>
      </c>
    </row>
    <row r="14" spans="1:36" ht="11.25" customHeight="1" x14ac:dyDescent="0.25">
      <c r="A14" s="4" t="s">
        <v>21</v>
      </c>
      <c r="B14" s="4" t="s">
        <v>22</v>
      </c>
      <c r="C14" s="4" t="s">
        <v>23</v>
      </c>
      <c r="D14" s="4" t="s">
        <v>24</v>
      </c>
      <c r="E14" s="4" t="s">
        <v>28</v>
      </c>
      <c r="F14" s="4" t="s">
        <v>25</v>
      </c>
      <c r="G14" s="4" t="s">
        <v>25</v>
      </c>
      <c r="H14" s="4" t="s">
        <v>25</v>
      </c>
      <c r="I14" s="5">
        <v>44652</v>
      </c>
      <c r="J14" s="6">
        <v>0</v>
      </c>
      <c r="K14" s="6">
        <v>0</v>
      </c>
      <c r="L14" s="6">
        <v>77.040000000000006</v>
      </c>
      <c r="M14" s="6">
        <v>77.040000000000006</v>
      </c>
      <c r="N14" s="6">
        <v>77.040000000000006</v>
      </c>
      <c r="O14" s="6">
        <v>77.040000000000006</v>
      </c>
      <c r="P14" s="6">
        <v>170</v>
      </c>
      <c r="Q14" s="4" t="s">
        <v>26</v>
      </c>
      <c r="R14" s="4">
        <v>0</v>
      </c>
      <c r="S14" s="4">
        <v>0</v>
      </c>
      <c r="T14" s="4">
        <v>17</v>
      </c>
      <c r="U14" s="4">
        <v>54</v>
      </c>
      <c r="V14" s="6">
        <f>IF(ISERROR(VLOOKUP($S$14,'TAR FIN'!$A$1:$O$85,15,0)),0,VLOOKUP($S$14,'TAR FIN'!$A$1:$O$85,15,0))</f>
        <v>0</v>
      </c>
      <c r="W14" s="6">
        <f>IF(ISERROR(VLOOKUP($T$14,'TAR FIN'!$A$1:$O$85,15,0)),0,VLOOKUP($T$14,'TAR FIN'!$A$1:$O$85,15,0))</f>
        <v>166.1</v>
      </c>
      <c r="X14" s="6">
        <f>IF(ISERROR(VLOOKUP($U$14,'TAR FIN'!$A$1:$O$85,15,0)),0,VLOOKUP($U$14,'TAR FIN'!$A$1:$O$85,15,0))</f>
        <v>88.15</v>
      </c>
      <c r="Y14" s="6"/>
      <c r="Z14" s="6">
        <f ca="1">('TUSD BE'!$AM$21+'TUSD BF'!$AM$21+'TUSD CVA'!$AM$21-('TUSD BE'!$P$21+'TUSD BF'!$P$21+'TUSD CVA'!$P$21)-('TUSD BE'!$Q$21+'TUSD BF'!$Q$21+'TUSD CVA'!$Q$21)-('TUSD BE'!$R$21+'TUSD BF'!$R$21+'TUSD CVA'!$R$21))*(1-CUSTOS!$M$34)</f>
        <v>210.78488841905764</v>
      </c>
      <c r="AA14" s="6">
        <f>('TE BE'!$AA$12+'TE BF'!$AA$12+'TE CVA'!$AA$12)*(1-CUSTOS!$M$34)</f>
        <v>89.842257696924776</v>
      </c>
      <c r="AB14" s="6">
        <f t="shared" si="0"/>
        <v>0</v>
      </c>
      <c r="AC14" s="6">
        <f>(L14-M14)*(W14+X14)+($W$39+$X$39-$W$14-$X$14)*(L14)</f>
        <v>36375.976799999997</v>
      </c>
      <c r="AD14" s="6">
        <f t="shared" si="1"/>
        <v>0</v>
      </c>
      <c r="AE14" s="6">
        <f ca="1">(L14-M14)*(Z14+AA14)+($Z$39+$AA$39-$Z$14-$AA$14)*(L14)</f>
        <v>43012.014196868397</v>
      </c>
      <c r="AF14" s="4" t="s">
        <v>704</v>
      </c>
    </row>
    <row r="15" spans="1:36" ht="11.25" customHeight="1" x14ac:dyDescent="0.25">
      <c r="A15" s="4" t="s">
        <v>21</v>
      </c>
      <c r="B15" s="4" t="s">
        <v>22</v>
      </c>
      <c r="C15" s="4" t="s">
        <v>23</v>
      </c>
      <c r="D15" s="4" t="s">
        <v>24</v>
      </c>
      <c r="E15" s="4" t="s">
        <v>29</v>
      </c>
      <c r="F15" s="4" t="s">
        <v>25</v>
      </c>
      <c r="G15" s="4" t="s">
        <v>25</v>
      </c>
      <c r="H15" s="4" t="s">
        <v>25</v>
      </c>
      <c r="I15" s="5">
        <v>44317</v>
      </c>
      <c r="J15" s="6">
        <v>0</v>
      </c>
      <c r="K15" s="6">
        <v>0</v>
      </c>
      <c r="L15" s="6">
        <v>94.608000000000004</v>
      </c>
      <c r="M15" s="6">
        <v>94.608000000000004</v>
      </c>
      <c r="N15" s="6">
        <v>94.608000000000004</v>
      </c>
      <c r="O15" s="6">
        <v>94.608000000000004</v>
      </c>
      <c r="P15" s="6">
        <v>1169</v>
      </c>
      <c r="Q15" s="4" t="s">
        <v>26</v>
      </c>
      <c r="R15" s="4">
        <v>0</v>
      </c>
      <c r="S15" s="4">
        <v>0</v>
      </c>
      <c r="T15" s="4">
        <v>18</v>
      </c>
      <c r="U15" s="4">
        <v>55</v>
      </c>
      <c r="V15" s="6">
        <f>IF(ISERROR(VLOOKUP($S$15,'TAR FIN'!$A$1:$O$85,15,0)),0,VLOOKUP($S$15,'TAR FIN'!$A$1:$O$85,15,0))</f>
        <v>0</v>
      </c>
      <c r="W15" s="6">
        <f>IF(ISERROR(VLOOKUP($T$15,'TAR FIN'!$A$1:$O$85,15,0)),0,VLOOKUP($T$15,'TAR FIN'!$A$1:$O$85,15,0))</f>
        <v>284.74</v>
      </c>
      <c r="X15" s="6">
        <f>IF(ISERROR(VLOOKUP($U$15,'TAR FIN'!$A$1:$O$85,15,0)),0,VLOOKUP($U$15,'TAR FIN'!$A$1:$O$85,15,0))</f>
        <v>151.11000000000001</v>
      </c>
      <c r="Y15" s="6"/>
      <c r="Z15" s="6">
        <f ca="1">('TUSD BE'!$AM$22+'TUSD BF'!$AM$22+'TUSD CVA'!$AM$22-('TUSD BE'!$P$22+'TUSD BF'!$P$22+'TUSD CVA'!$P$22)-('TUSD BE'!$Q$22+'TUSD BF'!$Q$22+'TUSD CVA'!$Q$22)-('TUSD BE'!$R$22+'TUSD BF'!$R$22+'TUSD CVA'!$R$22))*(1-CUSTOS!$M$35)</f>
        <v>361.34552300409882</v>
      </c>
      <c r="AA15" s="6">
        <f>('TE BE'!$AA$13+'TE BF'!$AA$13+'TE CVA'!$AA$13)*(1-CUSTOS!$M$35)</f>
        <v>154.01529890901392</v>
      </c>
      <c r="AB15" s="6">
        <f t="shared" si="0"/>
        <v>0</v>
      </c>
      <c r="AC15" s="6">
        <f>(L15-M15)*(W15+X15)+($W$39+$X$39-$W$15-$X$15)*(L15)</f>
        <v>27490.246559999996</v>
      </c>
      <c r="AD15" s="6">
        <f t="shared" si="1"/>
        <v>0</v>
      </c>
      <c r="AE15" s="6">
        <f ca="1">(L15-M15)*(Z15+AA15)+($Z$39+$AA$39-$Z$15-$AA$15)*(L15)</f>
        <v>32504.837759703852</v>
      </c>
      <c r="AF15" s="4" t="s">
        <v>704</v>
      </c>
    </row>
    <row r="16" spans="1:36" ht="11.25" customHeight="1" x14ac:dyDescent="0.25">
      <c r="A16" s="4" t="s">
        <v>21</v>
      </c>
      <c r="B16" s="4" t="s">
        <v>22</v>
      </c>
      <c r="C16" s="4" t="s">
        <v>23</v>
      </c>
      <c r="D16" s="4" t="s">
        <v>24</v>
      </c>
      <c r="E16" s="4" t="s">
        <v>29</v>
      </c>
      <c r="F16" s="4" t="s">
        <v>25</v>
      </c>
      <c r="G16" s="4" t="s">
        <v>25</v>
      </c>
      <c r="H16" s="4" t="s">
        <v>25</v>
      </c>
      <c r="I16" s="5">
        <v>44348</v>
      </c>
      <c r="J16" s="6">
        <v>0</v>
      </c>
      <c r="K16" s="6">
        <v>0</v>
      </c>
      <c r="L16" s="6">
        <v>89.388000000000005</v>
      </c>
      <c r="M16" s="6">
        <v>89.388000000000005</v>
      </c>
      <c r="N16" s="6">
        <v>89.388000000000005</v>
      </c>
      <c r="O16" s="6">
        <v>89.388000000000005</v>
      </c>
      <c r="P16" s="6">
        <v>1243</v>
      </c>
      <c r="Q16" s="4" t="s">
        <v>26</v>
      </c>
      <c r="R16" s="4">
        <v>0</v>
      </c>
      <c r="S16" s="4">
        <v>0</v>
      </c>
      <c r="T16" s="4">
        <v>18</v>
      </c>
      <c r="U16" s="4">
        <v>55</v>
      </c>
      <c r="V16" s="6">
        <f>IF(ISERROR(VLOOKUP($S$16,'TAR FIN'!$A$1:$O$85,15,0)),0,VLOOKUP($S$16,'TAR FIN'!$A$1:$O$85,15,0))</f>
        <v>0</v>
      </c>
      <c r="W16" s="6">
        <f>IF(ISERROR(VLOOKUP($T$16,'TAR FIN'!$A$1:$O$85,15,0)),0,VLOOKUP($T$16,'TAR FIN'!$A$1:$O$85,15,0))</f>
        <v>284.74</v>
      </c>
      <c r="X16" s="6">
        <f>IF(ISERROR(VLOOKUP($U$16,'TAR FIN'!$A$1:$O$85,15,0)),0,VLOOKUP($U$16,'TAR FIN'!$A$1:$O$85,15,0))</f>
        <v>151.11000000000001</v>
      </c>
      <c r="Y16" s="6"/>
      <c r="Z16" s="6">
        <f ca="1">('TUSD BE'!$AM$22+'TUSD BF'!$AM$22+'TUSD CVA'!$AM$22-('TUSD BE'!$P$22+'TUSD BF'!$P$22+'TUSD CVA'!$P$22)-('TUSD BE'!$Q$22+'TUSD BF'!$Q$22+'TUSD CVA'!$Q$22)-('TUSD BE'!$R$22+'TUSD BF'!$R$22+'TUSD CVA'!$R$22))*(1-CUSTOS!$M$35)</f>
        <v>361.34552300409882</v>
      </c>
      <c r="AA16" s="6">
        <f>('TE BE'!$AA$13+'TE BF'!$AA$13+'TE CVA'!$AA$13)*(1-CUSTOS!$M$35)</f>
        <v>154.01529890901392</v>
      </c>
      <c r="AB16" s="6">
        <f t="shared" si="0"/>
        <v>0</v>
      </c>
      <c r="AC16" s="6">
        <f>(L16-M16)*(W16+X16)+($W$39+$X$39-$W$16-$X$16)*(L16)</f>
        <v>25973.471159999997</v>
      </c>
      <c r="AD16" s="6">
        <f t="shared" si="1"/>
        <v>0</v>
      </c>
      <c r="AE16" s="6">
        <f ca="1">(L16-M16)*(Z16+AA16)+($Z$39+$AA$39-$Z$16-$AA$16)*(L16)</f>
        <v>30711.382099446222</v>
      </c>
      <c r="AF16" s="4" t="s">
        <v>704</v>
      </c>
    </row>
    <row r="17" spans="1:32" ht="11.25" customHeight="1" x14ac:dyDescent="0.25">
      <c r="A17" s="4" t="s">
        <v>21</v>
      </c>
      <c r="B17" s="4" t="s">
        <v>22</v>
      </c>
      <c r="C17" s="4" t="s">
        <v>23</v>
      </c>
      <c r="D17" s="4" t="s">
        <v>24</v>
      </c>
      <c r="E17" s="4" t="s">
        <v>29</v>
      </c>
      <c r="F17" s="4" t="s">
        <v>25</v>
      </c>
      <c r="G17" s="4" t="s">
        <v>25</v>
      </c>
      <c r="H17" s="4" t="s">
        <v>25</v>
      </c>
      <c r="I17" s="5">
        <v>44378</v>
      </c>
      <c r="J17" s="6">
        <v>0</v>
      </c>
      <c r="K17" s="6">
        <v>0</v>
      </c>
      <c r="L17" s="6">
        <v>87.186000000000007</v>
      </c>
      <c r="M17" s="6">
        <v>87.186000000000007</v>
      </c>
      <c r="N17" s="6">
        <v>87.186000000000007</v>
      </c>
      <c r="O17" s="6">
        <v>87.186000000000007</v>
      </c>
      <c r="P17" s="6">
        <v>1310</v>
      </c>
      <c r="Q17" s="4" t="s">
        <v>26</v>
      </c>
      <c r="R17" s="4">
        <v>0</v>
      </c>
      <c r="S17" s="4">
        <v>0</v>
      </c>
      <c r="T17" s="4">
        <v>18</v>
      </c>
      <c r="U17" s="4">
        <v>55</v>
      </c>
      <c r="V17" s="6">
        <f>IF(ISERROR(VLOOKUP($S$17,'TAR FIN'!$A$1:$O$85,15,0)),0,VLOOKUP($S$17,'TAR FIN'!$A$1:$O$85,15,0))</f>
        <v>0</v>
      </c>
      <c r="W17" s="6">
        <f>IF(ISERROR(VLOOKUP($T$17,'TAR FIN'!$A$1:$O$85,15,0)),0,VLOOKUP($T$17,'TAR FIN'!$A$1:$O$85,15,0))</f>
        <v>284.74</v>
      </c>
      <c r="X17" s="6">
        <f>IF(ISERROR(VLOOKUP($U$17,'TAR FIN'!$A$1:$O$85,15,0)),0,VLOOKUP($U$17,'TAR FIN'!$A$1:$O$85,15,0))</f>
        <v>151.11000000000001</v>
      </c>
      <c r="Y17" s="6"/>
      <c r="Z17" s="6">
        <f ca="1">('TUSD BE'!$AM$22+'TUSD BF'!$AM$22+'TUSD CVA'!$AM$22-('TUSD BE'!$P$22+'TUSD BF'!$P$22+'TUSD CVA'!$P$22)-('TUSD BE'!$Q$22+'TUSD BF'!$Q$22+'TUSD CVA'!$Q$22)-('TUSD BE'!$R$22+'TUSD BF'!$R$22+'TUSD CVA'!$R$22))*(1-CUSTOS!$M$35)</f>
        <v>361.34552300409882</v>
      </c>
      <c r="AA17" s="6">
        <f>('TE BE'!$AA$13+'TE BF'!$AA$13+'TE CVA'!$AA$13)*(1-CUSTOS!$M$35)</f>
        <v>154.01529890901392</v>
      </c>
      <c r="AB17" s="6">
        <f t="shared" si="0"/>
        <v>0</v>
      </c>
      <c r="AC17" s="6">
        <f>(L17-M17)*(W17+X17)+($W$39+$X$39-$W$17-$X$17)*(L17)</f>
        <v>25333.636019999998</v>
      </c>
      <c r="AD17" s="6">
        <f t="shared" si="1"/>
        <v>0</v>
      </c>
      <c r="AE17" s="6">
        <f ca="1">(L17-M17)*(Z17+AA17)+($Z$39+$AA$39-$Z$17-$AA$17)*(L17)</f>
        <v>29954.832412877771</v>
      </c>
      <c r="AF17" s="4" t="s">
        <v>704</v>
      </c>
    </row>
    <row r="18" spans="1:32" ht="11.25" customHeight="1" x14ac:dyDescent="0.25">
      <c r="A18" s="4" t="s">
        <v>21</v>
      </c>
      <c r="B18" s="4" t="s">
        <v>22</v>
      </c>
      <c r="C18" s="4" t="s">
        <v>23</v>
      </c>
      <c r="D18" s="4" t="s">
        <v>24</v>
      </c>
      <c r="E18" s="4" t="s">
        <v>29</v>
      </c>
      <c r="F18" s="4" t="s">
        <v>25</v>
      </c>
      <c r="G18" s="4" t="s">
        <v>25</v>
      </c>
      <c r="H18" s="4" t="s">
        <v>25</v>
      </c>
      <c r="I18" s="5">
        <v>44409</v>
      </c>
      <c r="J18" s="6">
        <v>0</v>
      </c>
      <c r="K18" s="6">
        <v>0</v>
      </c>
      <c r="L18" s="6">
        <v>88.462999999999994</v>
      </c>
      <c r="M18" s="6">
        <v>88.462999999999994</v>
      </c>
      <c r="N18" s="6">
        <v>88.462999999999994</v>
      </c>
      <c r="O18" s="6">
        <v>88.462999999999994</v>
      </c>
      <c r="P18" s="6">
        <v>1317</v>
      </c>
      <c r="Q18" s="4" t="s">
        <v>26</v>
      </c>
      <c r="R18" s="4">
        <v>0</v>
      </c>
      <c r="S18" s="4">
        <v>0</v>
      </c>
      <c r="T18" s="4">
        <v>18</v>
      </c>
      <c r="U18" s="4">
        <v>55</v>
      </c>
      <c r="V18" s="6">
        <f>IF(ISERROR(VLOOKUP($S$18,'TAR FIN'!$A$1:$O$85,15,0)),0,VLOOKUP($S$18,'TAR FIN'!$A$1:$O$85,15,0))</f>
        <v>0</v>
      </c>
      <c r="W18" s="6">
        <f>IF(ISERROR(VLOOKUP($T$18,'TAR FIN'!$A$1:$O$85,15,0)),0,VLOOKUP($T$18,'TAR FIN'!$A$1:$O$85,15,0))</f>
        <v>284.74</v>
      </c>
      <c r="X18" s="6">
        <f>IF(ISERROR(VLOOKUP($U$18,'TAR FIN'!$A$1:$O$85,15,0)),0,VLOOKUP($U$18,'TAR FIN'!$A$1:$O$85,15,0))</f>
        <v>151.11000000000001</v>
      </c>
      <c r="Y18" s="6"/>
      <c r="Z18" s="6">
        <f ca="1">('TUSD BE'!$AM$22+'TUSD BF'!$AM$22+'TUSD CVA'!$AM$22-('TUSD BE'!$P$22+'TUSD BF'!$P$22+'TUSD CVA'!$P$22)-('TUSD BE'!$Q$22+'TUSD BF'!$Q$22+'TUSD CVA'!$Q$22)-('TUSD BE'!$R$22+'TUSD BF'!$R$22+'TUSD CVA'!$R$22))*(1-CUSTOS!$M$35)</f>
        <v>361.34552300409882</v>
      </c>
      <c r="AA18" s="6">
        <f>('TE BE'!$AA$13+'TE BF'!$AA$13+'TE CVA'!$AA$13)*(1-CUSTOS!$M$35)</f>
        <v>154.01529890901392</v>
      </c>
      <c r="AB18" s="6">
        <f t="shared" si="0"/>
        <v>0</v>
      </c>
      <c r="AC18" s="6">
        <f>(L18-M18)*(W18+X18)+($W$39+$X$39-$W$18-$X$18)*(L18)</f>
        <v>25704.693909999991</v>
      </c>
      <c r="AD18" s="6">
        <f t="shared" si="1"/>
        <v>0</v>
      </c>
      <c r="AE18" s="6">
        <f ca="1">(L18-M18)*(Z18+AA18)+($Z$39+$AA$39-$Z$18-$AA$18)*(L18)</f>
        <v>30393.576259266465</v>
      </c>
      <c r="AF18" s="4" t="s">
        <v>704</v>
      </c>
    </row>
    <row r="19" spans="1:32" ht="11.25" customHeight="1" x14ac:dyDescent="0.25">
      <c r="A19" s="4" t="s">
        <v>21</v>
      </c>
      <c r="B19" s="4" t="s">
        <v>22</v>
      </c>
      <c r="C19" s="4" t="s">
        <v>23</v>
      </c>
      <c r="D19" s="4" t="s">
        <v>24</v>
      </c>
      <c r="E19" s="4" t="s">
        <v>29</v>
      </c>
      <c r="F19" s="4" t="s">
        <v>25</v>
      </c>
      <c r="G19" s="4" t="s">
        <v>25</v>
      </c>
      <c r="H19" s="4" t="s">
        <v>25</v>
      </c>
      <c r="I19" s="5">
        <v>44440</v>
      </c>
      <c r="J19" s="6">
        <v>0</v>
      </c>
      <c r="K19" s="6">
        <v>0</v>
      </c>
      <c r="L19" s="6">
        <v>91.117999999999995</v>
      </c>
      <c r="M19" s="6">
        <v>91.117999999999995</v>
      </c>
      <c r="N19" s="6">
        <v>91.117999999999995</v>
      </c>
      <c r="O19" s="6">
        <v>91.117999999999995</v>
      </c>
      <c r="P19" s="6">
        <v>1289</v>
      </c>
      <c r="Q19" s="4" t="s">
        <v>26</v>
      </c>
      <c r="R19" s="4">
        <v>0</v>
      </c>
      <c r="S19" s="4">
        <v>0</v>
      </c>
      <c r="T19" s="4">
        <v>18</v>
      </c>
      <c r="U19" s="4">
        <v>55</v>
      </c>
      <c r="V19" s="6">
        <f>IF(ISERROR(VLOOKUP($S$19,'TAR FIN'!$A$1:$O$85,15,0)),0,VLOOKUP($S$19,'TAR FIN'!$A$1:$O$85,15,0))</f>
        <v>0</v>
      </c>
      <c r="W19" s="6">
        <f>IF(ISERROR(VLOOKUP($T$19,'TAR FIN'!$A$1:$O$85,15,0)),0,VLOOKUP($T$19,'TAR FIN'!$A$1:$O$85,15,0))</f>
        <v>284.74</v>
      </c>
      <c r="X19" s="6">
        <f>IF(ISERROR(VLOOKUP($U$19,'TAR FIN'!$A$1:$O$85,15,0)),0,VLOOKUP($U$19,'TAR FIN'!$A$1:$O$85,15,0))</f>
        <v>151.11000000000001</v>
      </c>
      <c r="Y19" s="6"/>
      <c r="Z19" s="6">
        <f ca="1">('TUSD BE'!$AM$22+'TUSD BF'!$AM$22+'TUSD CVA'!$AM$22-('TUSD BE'!$P$22+'TUSD BF'!$P$22+'TUSD CVA'!$P$22)-('TUSD BE'!$Q$22+'TUSD BF'!$Q$22+'TUSD CVA'!$Q$22)-('TUSD BE'!$R$22+'TUSD BF'!$R$22+'TUSD CVA'!$R$22))*(1-CUSTOS!$M$35)</f>
        <v>361.34552300409882</v>
      </c>
      <c r="AA19" s="6">
        <f>('TE BE'!$AA$13+'TE BF'!$AA$13+'TE CVA'!$AA$13)*(1-CUSTOS!$M$35)</f>
        <v>154.01529890901392</v>
      </c>
      <c r="AB19" s="6">
        <f t="shared" si="0"/>
        <v>0</v>
      </c>
      <c r="AC19" s="6">
        <f>(L19-M19)*(W19+X19)+($W$39+$X$39-$W$19-$X$19)*(L19)</f>
        <v>26476.157259999993</v>
      </c>
      <c r="AD19" s="6">
        <f t="shared" si="1"/>
        <v>0</v>
      </c>
      <c r="AE19" s="6">
        <f ca="1">(L19-M19)*(Z19+AA19)+($Z$39+$AA$39-$Z$19-$AA$19)*(L19)</f>
        <v>31305.764914052674</v>
      </c>
      <c r="AF19" s="4" t="s">
        <v>704</v>
      </c>
    </row>
    <row r="20" spans="1:32" ht="11.25" customHeight="1" x14ac:dyDescent="0.25">
      <c r="A20" s="4" t="s">
        <v>21</v>
      </c>
      <c r="B20" s="4" t="s">
        <v>22</v>
      </c>
      <c r="C20" s="4" t="s">
        <v>23</v>
      </c>
      <c r="D20" s="4" t="s">
        <v>24</v>
      </c>
      <c r="E20" s="4" t="s">
        <v>29</v>
      </c>
      <c r="F20" s="4" t="s">
        <v>25</v>
      </c>
      <c r="G20" s="4" t="s">
        <v>25</v>
      </c>
      <c r="H20" s="4" t="s">
        <v>25</v>
      </c>
      <c r="I20" s="5">
        <v>44470</v>
      </c>
      <c r="J20" s="6">
        <v>0</v>
      </c>
      <c r="K20" s="6">
        <v>0</v>
      </c>
      <c r="L20" s="6">
        <v>92.147999999999996</v>
      </c>
      <c r="M20" s="6">
        <v>92.147999999999996</v>
      </c>
      <c r="N20" s="6">
        <v>92.147999999999996</v>
      </c>
      <c r="O20" s="6">
        <v>92.147999999999996</v>
      </c>
      <c r="P20" s="6">
        <v>1289</v>
      </c>
      <c r="Q20" s="4" t="s">
        <v>26</v>
      </c>
      <c r="R20" s="4">
        <v>0</v>
      </c>
      <c r="S20" s="4">
        <v>0</v>
      </c>
      <c r="T20" s="4">
        <v>18</v>
      </c>
      <c r="U20" s="4">
        <v>55</v>
      </c>
      <c r="V20" s="6">
        <f>IF(ISERROR(VLOOKUP($S$20,'TAR FIN'!$A$1:$O$85,15,0)),0,VLOOKUP($S$20,'TAR FIN'!$A$1:$O$85,15,0))</f>
        <v>0</v>
      </c>
      <c r="W20" s="6">
        <f>IF(ISERROR(VLOOKUP($T$20,'TAR FIN'!$A$1:$O$85,15,0)),0,VLOOKUP($T$20,'TAR FIN'!$A$1:$O$85,15,0))</f>
        <v>284.74</v>
      </c>
      <c r="X20" s="6">
        <f>IF(ISERROR(VLOOKUP($U$20,'TAR FIN'!$A$1:$O$85,15,0)),0,VLOOKUP($U$20,'TAR FIN'!$A$1:$O$85,15,0))</f>
        <v>151.11000000000001</v>
      </c>
      <c r="Y20" s="6"/>
      <c r="Z20" s="6">
        <f ca="1">('TUSD BE'!$AM$22+'TUSD BF'!$AM$22+'TUSD CVA'!$AM$22-('TUSD BE'!$P$22+'TUSD BF'!$P$22+'TUSD CVA'!$P$22)-('TUSD BE'!$Q$22+'TUSD BF'!$Q$22+'TUSD CVA'!$Q$22)-('TUSD BE'!$R$22+'TUSD BF'!$R$22+'TUSD CVA'!$R$22))*(1-CUSTOS!$M$35)</f>
        <v>361.34552300409882</v>
      </c>
      <c r="AA20" s="6">
        <f>('TE BE'!$AA$13+'TE BF'!$AA$13+'TE CVA'!$AA$13)*(1-CUSTOS!$M$35)</f>
        <v>154.01529890901392</v>
      </c>
      <c r="AB20" s="6">
        <f t="shared" si="0"/>
        <v>0</v>
      </c>
      <c r="AC20" s="6">
        <f>(L20-M20)*(W20+X20)+($W$39+$X$39-$W$20-$X$20)*(L20)</f>
        <v>26775.444359999994</v>
      </c>
      <c r="AD20" s="6">
        <f t="shared" si="1"/>
        <v>0</v>
      </c>
      <c r="AE20" s="6">
        <f ca="1">(L20-M20)*(Z20+AA20)+($Z$39+$AA$39-$Z$20-$AA$20)*(L20)</f>
        <v>31659.646011766345</v>
      </c>
      <c r="AF20" s="4" t="s">
        <v>704</v>
      </c>
    </row>
    <row r="21" spans="1:32" ht="11.25" customHeight="1" x14ac:dyDescent="0.25">
      <c r="A21" s="4" t="s">
        <v>21</v>
      </c>
      <c r="B21" s="4" t="s">
        <v>22</v>
      </c>
      <c r="C21" s="4" t="s">
        <v>23</v>
      </c>
      <c r="D21" s="4" t="s">
        <v>24</v>
      </c>
      <c r="E21" s="4" t="s">
        <v>29</v>
      </c>
      <c r="F21" s="4" t="s">
        <v>25</v>
      </c>
      <c r="G21" s="4" t="s">
        <v>25</v>
      </c>
      <c r="H21" s="4" t="s">
        <v>25</v>
      </c>
      <c r="I21" s="5">
        <v>44501</v>
      </c>
      <c r="J21" s="6">
        <v>0</v>
      </c>
      <c r="K21" s="6">
        <v>0</v>
      </c>
      <c r="L21" s="6">
        <v>108.404</v>
      </c>
      <c r="M21" s="6">
        <v>108.404</v>
      </c>
      <c r="N21" s="6">
        <v>108.404</v>
      </c>
      <c r="O21" s="6">
        <v>108.404</v>
      </c>
      <c r="P21" s="6">
        <v>1049</v>
      </c>
      <c r="Q21" s="4" t="s">
        <v>26</v>
      </c>
      <c r="R21" s="4">
        <v>0</v>
      </c>
      <c r="S21" s="4">
        <v>0</v>
      </c>
      <c r="T21" s="4">
        <v>18</v>
      </c>
      <c r="U21" s="4">
        <v>55</v>
      </c>
      <c r="V21" s="6">
        <f>IF(ISERROR(VLOOKUP($S$21,'TAR FIN'!$A$1:$O$85,15,0)),0,VLOOKUP($S$21,'TAR FIN'!$A$1:$O$85,15,0))</f>
        <v>0</v>
      </c>
      <c r="W21" s="6">
        <f>IF(ISERROR(VLOOKUP($T$21,'TAR FIN'!$A$1:$O$85,15,0)),0,VLOOKUP($T$21,'TAR FIN'!$A$1:$O$85,15,0))</f>
        <v>284.74</v>
      </c>
      <c r="X21" s="6">
        <f>IF(ISERROR(VLOOKUP($U$21,'TAR FIN'!$A$1:$O$85,15,0)),0,VLOOKUP($U$21,'TAR FIN'!$A$1:$O$85,15,0))</f>
        <v>151.11000000000001</v>
      </c>
      <c r="Y21" s="6"/>
      <c r="Z21" s="6">
        <f ca="1">('TUSD BE'!$AM$22+'TUSD BF'!$AM$22+'TUSD CVA'!$AM$22-('TUSD BE'!$P$22+'TUSD BF'!$P$22+'TUSD CVA'!$P$22)-('TUSD BE'!$Q$22+'TUSD BF'!$Q$22+'TUSD CVA'!$Q$22)-('TUSD BE'!$R$22+'TUSD BF'!$R$22+'TUSD CVA'!$R$22))*(1-CUSTOS!$M$35)</f>
        <v>361.34552300409882</v>
      </c>
      <c r="AA21" s="6">
        <f>('TE BE'!$AA$13+'TE BF'!$AA$13+'TE CVA'!$AA$13)*(1-CUSTOS!$M$35)</f>
        <v>154.01529890901392</v>
      </c>
      <c r="AB21" s="6">
        <f t="shared" si="0"/>
        <v>0</v>
      </c>
      <c r="AC21" s="6">
        <f>(L21-M21)*(W21+X21)+($W$39+$X$39-$W$21-$X$21)*(L21)</f>
        <v>31498.950279999994</v>
      </c>
      <c r="AD21" s="6">
        <f t="shared" si="1"/>
        <v>0</v>
      </c>
      <c r="AE21" s="6">
        <f ca="1">(L21-M21)*(Z21+AA21)+($Z$39+$AA$39-$Z$21-$AA$21)*(L21)</f>
        <v>37244.78302577939</v>
      </c>
      <c r="AF21" s="4" t="s">
        <v>704</v>
      </c>
    </row>
    <row r="22" spans="1:32" ht="11.25" customHeight="1" x14ac:dyDescent="0.25">
      <c r="A22" s="4" t="s">
        <v>21</v>
      </c>
      <c r="B22" s="4" t="s">
        <v>22</v>
      </c>
      <c r="C22" s="4" t="s">
        <v>23</v>
      </c>
      <c r="D22" s="4" t="s">
        <v>24</v>
      </c>
      <c r="E22" s="4" t="s">
        <v>29</v>
      </c>
      <c r="F22" s="4" t="s">
        <v>25</v>
      </c>
      <c r="G22" s="4" t="s">
        <v>25</v>
      </c>
      <c r="H22" s="4" t="s">
        <v>25</v>
      </c>
      <c r="I22" s="5">
        <v>44531</v>
      </c>
      <c r="J22" s="6">
        <v>0</v>
      </c>
      <c r="K22" s="6">
        <v>0</v>
      </c>
      <c r="L22" s="6">
        <v>105.19199999999999</v>
      </c>
      <c r="M22" s="6">
        <v>105.19199999999999</v>
      </c>
      <c r="N22" s="6">
        <v>105.19199999999999</v>
      </c>
      <c r="O22" s="6">
        <v>105.19199999999999</v>
      </c>
      <c r="P22" s="6">
        <v>1198</v>
      </c>
      <c r="Q22" s="4" t="s">
        <v>26</v>
      </c>
      <c r="R22" s="4">
        <v>0</v>
      </c>
      <c r="S22" s="4">
        <v>0</v>
      </c>
      <c r="T22" s="4">
        <v>18</v>
      </c>
      <c r="U22" s="4">
        <v>55</v>
      </c>
      <c r="V22" s="6">
        <f>IF(ISERROR(VLOOKUP($S$22,'TAR FIN'!$A$1:$O$85,15,0)),0,VLOOKUP($S$22,'TAR FIN'!$A$1:$O$85,15,0))</f>
        <v>0</v>
      </c>
      <c r="W22" s="6">
        <f>IF(ISERROR(VLOOKUP($T$22,'TAR FIN'!$A$1:$O$85,15,0)),0,VLOOKUP($T$22,'TAR FIN'!$A$1:$O$85,15,0))</f>
        <v>284.74</v>
      </c>
      <c r="X22" s="6">
        <f>IF(ISERROR(VLOOKUP($U$22,'TAR FIN'!$A$1:$O$85,15,0)),0,VLOOKUP($U$22,'TAR FIN'!$A$1:$O$85,15,0))</f>
        <v>151.11000000000001</v>
      </c>
      <c r="Y22" s="6"/>
      <c r="Z22" s="6">
        <f ca="1">('TUSD BE'!$AM$22+'TUSD BF'!$AM$22+'TUSD CVA'!$AM$22-('TUSD BE'!$P$22+'TUSD BF'!$P$22+'TUSD CVA'!$P$22)-('TUSD BE'!$Q$22+'TUSD BF'!$Q$22+'TUSD CVA'!$Q$22)-('TUSD BE'!$R$22+'TUSD BF'!$R$22+'TUSD CVA'!$R$22))*(1-CUSTOS!$M$35)</f>
        <v>361.34552300409882</v>
      </c>
      <c r="AA22" s="6">
        <f>('TE BE'!$AA$13+'TE BF'!$AA$13+'TE CVA'!$AA$13)*(1-CUSTOS!$M$35)</f>
        <v>154.01529890901392</v>
      </c>
      <c r="AB22" s="6">
        <f t="shared" si="0"/>
        <v>0</v>
      </c>
      <c r="AC22" s="6">
        <f>(L22-M22)*(W22+X22)+($W$39+$X$39-$W$22-$X$22)*(L22)</f>
        <v>30565.639439999992</v>
      </c>
      <c r="AD22" s="6">
        <f t="shared" si="1"/>
        <v>0</v>
      </c>
      <c r="AE22" s="6">
        <f ca="1">(L22-M22)*(Z22+AA22)+($Z$39+$AA$39-$Z$22-$AA$22)*(L22)</f>
        <v>36141.223719122776</v>
      </c>
      <c r="AF22" s="4" t="s">
        <v>704</v>
      </c>
    </row>
    <row r="23" spans="1:32" ht="11.25" customHeight="1" x14ac:dyDescent="0.25">
      <c r="A23" s="4" t="s">
        <v>21</v>
      </c>
      <c r="B23" s="4" t="s">
        <v>22</v>
      </c>
      <c r="C23" s="4" t="s">
        <v>23</v>
      </c>
      <c r="D23" s="4" t="s">
        <v>24</v>
      </c>
      <c r="E23" s="4" t="s">
        <v>29</v>
      </c>
      <c r="F23" s="4" t="s">
        <v>25</v>
      </c>
      <c r="G23" s="4" t="s">
        <v>25</v>
      </c>
      <c r="H23" s="4" t="s">
        <v>25</v>
      </c>
      <c r="I23" s="5">
        <v>44562</v>
      </c>
      <c r="J23" s="6">
        <v>0</v>
      </c>
      <c r="K23" s="6">
        <v>0</v>
      </c>
      <c r="L23" s="6">
        <v>102.47799999999999</v>
      </c>
      <c r="M23" s="6">
        <v>102.47799999999999</v>
      </c>
      <c r="N23" s="6">
        <v>102.47799999999999</v>
      </c>
      <c r="O23" s="6">
        <v>102.47799999999999</v>
      </c>
      <c r="P23" s="6">
        <v>1244</v>
      </c>
      <c r="Q23" s="4" t="s">
        <v>26</v>
      </c>
      <c r="R23" s="4">
        <v>0</v>
      </c>
      <c r="S23" s="4">
        <v>0</v>
      </c>
      <c r="T23" s="4">
        <v>18</v>
      </c>
      <c r="U23" s="4">
        <v>55</v>
      </c>
      <c r="V23" s="6">
        <f>IF(ISERROR(VLOOKUP($S$23,'TAR FIN'!$A$1:$O$85,15,0)),0,VLOOKUP($S$23,'TAR FIN'!$A$1:$O$85,15,0))</f>
        <v>0</v>
      </c>
      <c r="W23" s="6">
        <f>IF(ISERROR(VLOOKUP($T$23,'TAR FIN'!$A$1:$O$85,15,0)),0,VLOOKUP($T$23,'TAR FIN'!$A$1:$O$85,15,0))</f>
        <v>284.74</v>
      </c>
      <c r="X23" s="6">
        <f>IF(ISERROR(VLOOKUP($U$23,'TAR FIN'!$A$1:$O$85,15,0)),0,VLOOKUP($U$23,'TAR FIN'!$A$1:$O$85,15,0))</f>
        <v>151.11000000000001</v>
      </c>
      <c r="Y23" s="6"/>
      <c r="Z23" s="6">
        <f ca="1">('TUSD BE'!$AM$22+'TUSD BF'!$AM$22+'TUSD CVA'!$AM$22-('TUSD BE'!$P$22+'TUSD BF'!$P$22+'TUSD CVA'!$P$22)-('TUSD BE'!$Q$22+'TUSD BF'!$Q$22+'TUSD CVA'!$Q$22)-('TUSD BE'!$R$22+'TUSD BF'!$R$22+'TUSD CVA'!$R$22))*(1-CUSTOS!$M$35)</f>
        <v>361.34552300409882</v>
      </c>
      <c r="AA23" s="6">
        <f>('TE BE'!$AA$13+'TE BF'!$AA$13+'TE CVA'!$AA$13)*(1-CUSTOS!$M$35)</f>
        <v>154.01529890901392</v>
      </c>
      <c r="AB23" s="6">
        <f t="shared" si="0"/>
        <v>0</v>
      </c>
      <c r="AC23" s="6">
        <f>(L23-M23)*(W23+X23)+($W$39+$X$39-$W$23-$X$23)*(L23)</f>
        <v>29777.032459999991</v>
      </c>
      <c r="AD23" s="6">
        <f t="shared" si="1"/>
        <v>0</v>
      </c>
      <c r="AE23" s="6">
        <f ca="1">(L23-M23)*(Z23+AA23)+($Z$39+$AA$39-$Z$23-$AA$23)*(L23)</f>
        <v>35208.764205341315</v>
      </c>
      <c r="AF23" s="4" t="s">
        <v>704</v>
      </c>
    </row>
    <row r="24" spans="1:32" ht="11.25" customHeight="1" x14ac:dyDescent="0.25">
      <c r="A24" s="4" t="s">
        <v>21</v>
      </c>
      <c r="B24" s="4" t="s">
        <v>22</v>
      </c>
      <c r="C24" s="4" t="s">
        <v>23</v>
      </c>
      <c r="D24" s="4" t="s">
        <v>24</v>
      </c>
      <c r="E24" s="4" t="s">
        <v>29</v>
      </c>
      <c r="F24" s="4" t="s">
        <v>25</v>
      </c>
      <c r="G24" s="4" t="s">
        <v>25</v>
      </c>
      <c r="H24" s="4" t="s">
        <v>25</v>
      </c>
      <c r="I24" s="5">
        <v>44593</v>
      </c>
      <c r="J24" s="6">
        <v>0</v>
      </c>
      <c r="K24" s="6">
        <v>0</v>
      </c>
      <c r="L24" s="6">
        <v>109.57299999999999</v>
      </c>
      <c r="M24" s="6">
        <v>109.57299999999999</v>
      </c>
      <c r="N24" s="6">
        <v>109.57299999999999</v>
      </c>
      <c r="O24" s="6">
        <v>109.57299999999999</v>
      </c>
      <c r="P24" s="6">
        <v>1496</v>
      </c>
      <c r="Q24" s="4" t="s">
        <v>26</v>
      </c>
      <c r="R24" s="4">
        <v>0</v>
      </c>
      <c r="S24" s="4">
        <v>0</v>
      </c>
      <c r="T24" s="4">
        <v>18</v>
      </c>
      <c r="U24" s="4">
        <v>55</v>
      </c>
      <c r="V24" s="6">
        <f>IF(ISERROR(VLOOKUP($S$24,'TAR FIN'!$A$1:$O$85,15,0)),0,VLOOKUP($S$24,'TAR FIN'!$A$1:$O$85,15,0))</f>
        <v>0</v>
      </c>
      <c r="W24" s="6">
        <f>IF(ISERROR(VLOOKUP($T$24,'TAR FIN'!$A$1:$O$85,15,0)),0,VLOOKUP($T$24,'TAR FIN'!$A$1:$O$85,15,0))</f>
        <v>284.74</v>
      </c>
      <c r="X24" s="6">
        <f>IF(ISERROR(VLOOKUP($U$24,'TAR FIN'!$A$1:$O$85,15,0)),0,VLOOKUP($U$24,'TAR FIN'!$A$1:$O$85,15,0))</f>
        <v>151.11000000000001</v>
      </c>
      <c r="Y24" s="6"/>
      <c r="Z24" s="6">
        <f ca="1">('TUSD BE'!$AM$22+'TUSD BF'!$AM$22+'TUSD CVA'!$AM$22-('TUSD BE'!$P$22+'TUSD BF'!$P$22+'TUSD CVA'!$P$22)-('TUSD BE'!$Q$22+'TUSD BF'!$Q$22+'TUSD CVA'!$Q$22)-('TUSD BE'!$R$22+'TUSD BF'!$R$22+'TUSD CVA'!$R$22))*(1-CUSTOS!$M$35)</f>
        <v>361.34552300409882</v>
      </c>
      <c r="AA24" s="6">
        <f>('TE BE'!$AA$13+'TE BF'!$AA$13+'TE CVA'!$AA$13)*(1-CUSTOS!$M$35)</f>
        <v>154.01529890901392</v>
      </c>
      <c r="AB24" s="6">
        <f t="shared" si="0"/>
        <v>0</v>
      </c>
      <c r="AC24" s="6">
        <f>(L24-M24)*(W24+X24)+($W$39+$X$39-$W$24-$X$24)*(L24)</f>
        <v>31838.626609999992</v>
      </c>
      <c r="AD24" s="6">
        <f t="shared" si="1"/>
        <v>0</v>
      </c>
      <c r="AE24" s="6">
        <f ca="1">(L24-M24)*(Z24+AA24)+($Z$39+$AA$39-$Z$24-$AA$24)*(L24)</f>
        <v>37646.42089299034</v>
      </c>
      <c r="AF24" s="4" t="s">
        <v>704</v>
      </c>
    </row>
    <row r="25" spans="1:32" ht="11.25" customHeight="1" x14ac:dyDescent="0.25">
      <c r="A25" s="4" t="s">
        <v>21</v>
      </c>
      <c r="B25" s="4" t="s">
        <v>22</v>
      </c>
      <c r="C25" s="4" t="s">
        <v>23</v>
      </c>
      <c r="D25" s="4" t="s">
        <v>24</v>
      </c>
      <c r="E25" s="4" t="s">
        <v>29</v>
      </c>
      <c r="F25" s="4" t="s">
        <v>25</v>
      </c>
      <c r="G25" s="4" t="s">
        <v>25</v>
      </c>
      <c r="H25" s="4" t="s">
        <v>25</v>
      </c>
      <c r="I25" s="5">
        <v>44621</v>
      </c>
      <c r="J25" s="6">
        <v>0</v>
      </c>
      <c r="K25" s="6">
        <v>0</v>
      </c>
      <c r="L25" s="6">
        <v>122.306</v>
      </c>
      <c r="M25" s="6">
        <v>122.306</v>
      </c>
      <c r="N25" s="6">
        <v>122.306</v>
      </c>
      <c r="O25" s="6">
        <v>122.306</v>
      </c>
      <c r="P25" s="6">
        <v>1382</v>
      </c>
      <c r="Q25" s="4" t="s">
        <v>26</v>
      </c>
      <c r="R25" s="4">
        <v>0</v>
      </c>
      <c r="S25" s="4">
        <v>0</v>
      </c>
      <c r="T25" s="4">
        <v>18</v>
      </c>
      <c r="U25" s="4">
        <v>55</v>
      </c>
      <c r="V25" s="6">
        <f>IF(ISERROR(VLOOKUP($S$25,'TAR FIN'!$A$1:$O$85,15,0)),0,VLOOKUP($S$25,'TAR FIN'!$A$1:$O$85,15,0))</f>
        <v>0</v>
      </c>
      <c r="W25" s="6">
        <f>IF(ISERROR(VLOOKUP($T$25,'TAR FIN'!$A$1:$O$85,15,0)),0,VLOOKUP($T$25,'TAR FIN'!$A$1:$O$85,15,0))</f>
        <v>284.74</v>
      </c>
      <c r="X25" s="6">
        <f>IF(ISERROR(VLOOKUP($U$25,'TAR FIN'!$A$1:$O$85,15,0)),0,VLOOKUP($U$25,'TAR FIN'!$A$1:$O$85,15,0))</f>
        <v>151.11000000000001</v>
      </c>
      <c r="Y25" s="6"/>
      <c r="Z25" s="6">
        <f ca="1">('TUSD BE'!$AM$22+'TUSD BF'!$AM$22+'TUSD CVA'!$AM$22-('TUSD BE'!$P$22+'TUSD BF'!$P$22+'TUSD CVA'!$P$22)-('TUSD BE'!$Q$22+'TUSD BF'!$Q$22+'TUSD CVA'!$Q$22)-('TUSD BE'!$R$22+'TUSD BF'!$R$22+'TUSD CVA'!$R$22))*(1-CUSTOS!$M$35)</f>
        <v>361.34552300409882</v>
      </c>
      <c r="AA25" s="6">
        <f>('TE BE'!$AA$13+'TE BF'!$AA$13+'TE CVA'!$AA$13)*(1-CUSTOS!$M$35)</f>
        <v>154.01529890901392</v>
      </c>
      <c r="AB25" s="6">
        <f t="shared" si="0"/>
        <v>0</v>
      </c>
      <c r="AC25" s="6">
        <f>(L25-M25)*(W25+X25)+($W$39+$X$39-$W$25-$X$25)*(L25)</f>
        <v>35538.454419999995</v>
      </c>
      <c r="AD25" s="6">
        <f t="shared" si="1"/>
        <v>0</v>
      </c>
      <c r="AE25" s="6">
        <f ca="1">(L25-M25)*(Z25+AA25)+($Z$39+$AA$39-$Z$25-$AA$25)*(L25)</f>
        <v>42021.147123270115</v>
      </c>
      <c r="AF25" s="4" t="s">
        <v>704</v>
      </c>
    </row>
    <row r="26" spans="1:32" ht="11.25" customHeight="1" x14ac:dyDescent="0.25">
      <c r="A26" s="4" t="s">
        <v>21</v>
      </c>
      <c r="B26" s="4" t="s">
        <v>22</v>
      </c>
      <c r="C26" s="4" t="s">
        <v>23</v>
      </c>
      <c r="D26" s="4" t="s">
        <v>24</v>
      </c>
      <c r="E26" s="4" t="s">
        <v>29</v>
      </c>
      <c r="F26" s="4" t="s">
        <v>25</v>
      </c>
      <c r="G26" s="4" t="s">
        <v>25</v>
      </c>
      <c r="H26" s="4" t="s">
        <v>25</v>
      </c>
      <c r="I26" s="5">
        <v>44652</v>
      </c>
      <c r="J26" s="6">
        <v>0</v>
      </c>
      <c r="K26" s="6">
        <v>0</v>
      </c>
      <c r="L26" s="6">
        <v>123.492</v>
      </c>
      <c r="M26" s="6">
        <v>123.492</v>
      </c>
      <c r="N26" s="6">
        <v>123.492</v>
      </c>
      <c r="O26" s="6">
        <v>123.492</v>
      </c>
      <c r="P26" s="6">
        <v>1474</v>
      </c>
      <c r="Q26" s="4" t="s">
        <v>26</v>
      </c>
      <c r="R26" s="4">
        <v>0</v>
      </c>
      <c r="S26" s="4">
        <v>0</v>
      </c>
      <c r="T26" s="4">
        <v>18</v>
      </c>
      <c r="U26" s="4">
        <v>55</v>
      </c>
      <c r="V26" s="6">
        <f>IF(ISERROR(VLOOKUP($S$26,'TAR FIN'!$A$1:$O$85,15,0)),0,VLOOKUP($S$26,'TAR FIN'!$A$1:$O$85,15,0))</f>
        <v>0</v>
      </c>
      <c r="W26" s="6">
        <f>IF(ISERROR(VLOOKUP($T$26,'TAR FIN'!$A$1:$O$85,15,0)),0,VLOOKUP($T$26,'TAR FIN'!$A$1:$O$85,15,0))</f>
        <v>284.74</v>
      </c>
      <c r="X26" s="6">
        <f>IF(ISERROR(VLOOKUP($U$26,'TAR FIN'!$A$1:$O$85,15,0)),0,VLOOKUP($U$26,'TAR FIN'!$A$1:$O$85,15,0))</f>
        <v>151.11000000000001</v>
      </c>
      <c r="Y26" s="6"/>
      <c r="Z26" s="6">
        <f ca="1">('TUSD BE'!$AM$22+'TUSD BF'!$AM$22+'TUSD CVA'!$AM$22-('TUSD BE'!$P$22+'TUSD BF'!$P$22+'TUSD CVA'!$P$22)-('TUSD BE'!$Q$22+'TUSD BF'!$Q$22+'TUSD CVA'!$Q$22)-('TUSD BE'!$R$22+'TUSD BF'!$R$22+'TUSD CVA'!$R$22))*(1-CUSTOS!$M$35)</f>
        <v>361.34552300409882</v>
      </c>
      <c r="AA26" s="6">
        <f>('TE BE'!$AA$13+'TE BF'!$AA$13+'TE CVA'!$AA$13)*(1-CUSTOS!$M$35)</f>
        <v>154.01529890901392</v>
      </c>
      <c r="AB26" s="6">
        <f t="shared" si="0"/>
        <v>0</v>
      </c>
      <c r="AC26" s="6">
        <f>(L26-M26)*(W26+X26)+($W$39+$X$39-$W$26-$X$26)*(L26)</f>
        <v>35883.070439999996</v>
      </c>
      <c r="AD26" s="6">
        <f t="shared" si="1"/>
        <v>0</v>
      </c>
      <c r="AE26" s="6">
        <f ca="1">(L26-M26)*(Z26+AA26)+($Z$39+$AA$39-$Z$26-$AA$26)*(L26)</f>
        <v>42428.625746462756</v>
      </c>
      <c r="AF26" s="4" t="s">
        <v>704</v>
      </c>
    </row>
    <row r="27" spans="1:32" ht="11.25" customHeight="1" x14ac:dyDescent="0.25">
      <c r="A27" s="4" t="s">
        <v>21</v>
      </c>
      <c r="B27" s="4" t="s">
        <v>22</v>
      </c>
      <c r="C27" s="4" t="s">
        <v>23</v>
      </c>
      <c r="D27" s="4" t="s">
        <v>24</v>
      </c>
      <c r="E27" s="4" t="s">
        <v>30</v>
      </c>
      <c r="F27" s="4" t="s">
        <v>25</v>
      </c>
      <c r="G27" s="4" t="s">
        <v>25</v>
      </c>
      <c r="H27" s="4" t="s">
        <v>25</v>
      </c>
      <c r="I27" s="5">
        <v>44317</v>
      </c>
      <c r="J27" s="6">
        <v>0</v>
      </c>
      <c r="K27" s="6">
        <v>0</v>
      </c>
      <c r="L27" s="6">
        <v>31.216000000000001</v>
      </c>
      <c r="M27" s="6">
        <v>31.216000000000001</v>
      </c>
      <c r="N27" s="6">
        <v>31.216000000000001</v>
      </c>
      <c r="O27" s="6">
        <v>31.216000000000001</v>
      </c>
      <c r="P27" s="6">
        <v>630</v>
      </c>
      <c r="Q27" s="4" t="s">
        <v>26</v>
      </c>
      <c r="R27" s="4">
        <v>0</v>
      </c>
      <c r="S27" s="4">
        <v>0</v>
      </c>
      <c r="T27" s="4">
        <v>19</v>
      </c>
      <c r="U27" s="4">
        <v>56</v>
      </c>
      <c r="V27" s="6">
        <f>IF(ISERROR(VLOOKUP($S$27,'TAR FIN'!$A$1:$O$85,15,0)),0,VLOOKUP($S$27,'TAR FIN'!$A$1:$O$85,15,0))</f>
        <v>0</v>
      </c>
      <c r="W27" s="6">
        <f>IF(ISERROR(VLOOKUP($T$27,'TAR FIN'!$A$1:$O$85,15,0)),0,VLOOKUP($T$27,'TAR FIN'!$A$1:$O$85,15,0))</f>
        <v>427.11</v>
      </c>
      <c r="X27" s="6">
        <f>IF(ISERROR(VLOOKUP($U$27,'TAR FIN'!$A$1:$O$85,15,0)),0,VLOOKUP($U$27,'TAR FIN'!$A$1:$O$85,15,0))</f>
        <v>226.67</v>
      </c>
      <c r="Y27" s="6"/>
      <c r="Z27" s="6">
        <f ca="1">('TUSD BE'!$AM$23+'TUSD BF'!$AM$23+'TUSD CVA'!$AM$23-('TUSD BE'!$P$23+'TUSD BF'!$P$23+'TUSD CVA'!$P$23)-('TUSD BE'!$Q$23+'TUSD BF'!$Q$23+'TUSD CVA'!$Q$23)-('TUSD BE'!$R$23+'TUSD BF'!$R$23+'TUSD CVA'!$R$23))*(1-CUSTOS!$M$36)</f>
        <v>542.01828450614823</v>
      </c>
      <c r="AA27" s="6">
        <f>('TE BE'!$AA$14+'TE BF'!$AA$14+'TE CVA'!$AA$14)*(1-CUSTOS!$M$36)</f>
        <v>231.02294836352087</v>
      </c>
      <c r="AB27" s="6">
        <f t="shared" si="0"/>
        <v>0</v>
      </c>
      <c r="AC27" s="6">
        <f>(L27-M27)*(W27+X27)+($W$39+$X$39-$W$27-$X$27)*(L27)</f>
        <v>2267.5302399999987</v>
      </c>
      <c r="AD27" s="6">
        <f t="shared" si="1"/>
        <v>0</v>
      </c>
      <c r="AE27" s="6">
        <f ca="1">(L27-M27)*(Z27+AA27)+($Z$39+$AA$39-$Z$27-$AA$27)*(L27)</f>
        <v>2681.2505694732913</v>
      </c>
      <c r="AF27" s="4" t="s">
        <v>704</v>
      </c>
    </row>
    <row r="28" spans="1:32" ht="11.25" customHeight="1" x14ac:dyDescent="0.25">
      <c r="A28" s="4" t="s">
        <v>21</v>
      </c>
      <c r="B28" s="4" t="s">
        <v>22</v>
      </c>
      <c r="C28" s="4" t="s">
        <v>23</v>
      </c>
      <c r="D28" s="4" t="s">
        <v>24</v>
      </c>
      <c r="E28" s="4" t="s">
        <v>30</v>
      </c>
      <c r="F28" s="4" t="s">
        <v>25</v>
      </c>
      <c r="G28" s="4" t="s">
        <v>25</v>
      </c>
      <c r="H28" s="4" t="s">
        <v>25</v>
      </c>
      <c r="I28" s="5">
        <v>44348</v>
      </c>
      <c r="J28" s="6">
        <v>0</v>
      </c>
      <c r="K28" s="6">
        <v>0</v>
      </c>
      <c r="L28" s="6">
        <v>25.992000000000001</v>
      </c>
      <c r="M28" s="6">
        <v>25.992000000000001</v>
      </c>
      <c r="N28" s="6">
        <v>25.992000000000001</v>
      </c>
      <c r="O28" s="6">
        <v>25.992000000000001</v>
      </c>
      <c r="P28" s="6">
        <v>560</v>
      </c>
      <c r="Q28" s="4" t="s">
        <v>26</v>
      </c>
      <c r="R28" s="4">
        <v>0</v>
      </c>
      <c r="S28" s="4">
        <v>0</v>
      </c>
      <c r="T28" s="4">
        <v>19</v>
      </c>
      <c r="U28" s="4">
        <v>56</v>
      </c>
      <c r="V28" s="6">
        <f>IF(ISERROR(VLOOKUP($S$28,'TAR FIN'!$A$1:$O$85,15,0)),0,VLOOKUP($S$28,'TAR FIN'!$A$1:$O$85,15,0))</f>
        <v>0</v>
      </c>
      <c r="W28" s="6">
        <f>IF(ISERROR(VLOOKUP($T$28,'TAR FIN'!$A$1:$O$85,15,0)),0,VLOOKUP($T$28,'TAR FIN'!$A$1:$O$85,15,0))</f>
        <v>427.11</v>
      </c>
      <c r="X28" s="6">
        <f>IF(ISERROR(VLOOKUP($U$28,'TAR FIN'!$A$1:$O$85,15,0)),0,VLOOKUP($U$28,'TAR FIN'!$A$1:$O$85,15,0))</f>
        <v>226.67</v>
      </c>
      <c r="Y28" s="6"/>
      <c r="Z28" s="6">
        <f ca="1">('TUSD BE'!$AM$23+'TUSD BF'!$AM$23+'TUSD CVA'!$AM$23-('TUSD BE'!$P$23+'TUSD BF'!$P$23+'TUSD CVA'!$P$23)-('TUSD BE'!$Q$23+'TUSD BF'!$Q$23+'TUSD CVA'!$Q$23)-('TUSD BE'!$R$23+'TUSD BF'!$R$23+'TUSD CVA'!$R$23))*(1-CUSTOS!$M$36)</f>
        <v>542.01828450614823</v>
      </c>
      <c r="AA28" s="6">
        <f>('TE BE'!$AA$14+'TE BF'!$AA$14+'TE CVA'!$AA$14)*(1-CUSTOS!$M$36)</f>
        <v>231.02294836352087</v>
      </c>
      <c r="AB28" s="6">
        <f t="shared" si="0"/>
        <v>0</v>
      </c>
      <c r="AC28" s="6">
        <f>(L28-M28)*(W28+X28)+($W$39+$X$39-$W$28-$X$28)*(L28)</f>
        <v>1888.0588799999989</v>
      </c>
      <c r="AD28" s="6">
        <f t="shared" si="1"/>
        <v>0</v>
      </c>
      <c r="AE28" s="6">
        <f ca="1">(L28-M28)*(Z28+AA28)+($Z$39+$AA$39-$Z$28-$AA$28)*(L28)</f>
        <v>2232.5430805276069</v>
      </c>
      <c r="AF28" s="4" t="s">
        <v>704</v>
      </c>
    </row>
    <row r="29" spans="1:32" ht="11.25" customHeight="1" x14ac:dyDescent="0.25">
      <c r="A29" s="4" t="s">
        <v>21</v>
      </c>
      <c r="B29" s="4" t="s">
        <v>22</v>
      </c>
      <c r="C29" s="4" t="s">
        <v>23</v>
      </c>
      <c r="D29" s="4" t="s">
        <v>24</v>
      </c>
      <c r="E29" s="4" t="s">
        <v>30</v>
      </c>
      <c r="F29" s="4" t="s">
        <v>25</v>
      </c>
      <c r="G29" s="4" t="s">
        <v>25</v>
      </c>
      <c r="H29" s="4" t="s">
        <v>25</v>
      </c>
      <c r="I29" s="5">
        <v>44378</v>
      </c>
      <c r="J29" s="6">
        <v>0</v>
      </c>
      <c r="K29" s="6">
        <v>0</v>
      </c>
      <c r="L29" s="6">
        <v>23.824999999999999</v>
      </c>
      <c r="M29" s="6">
        <v>23.824999999999999</v>
      </c>
      <c r="N29" s="6">
        <v>23.824999999999999</v>
      </c>
      <c r="O29" s="6">
        <v>23.824999999999999</v>
      </c>
      <c r="P29" s="6">
        <v>500</v>
      </c>
      <c r="Q29" s="4" t="s">
        <v>26</v>
      </c>
      <c r="R29" s="4">
        <v>0</v>
      </c>
      <c r="S29" s="4">
        <v>0</v>
      </c>
      <c r="T29" s="4">
        <v>19</v>
      </c>
      <c r="U29" s="4">
        <v>56</v>
      </c>
      <c r="V29" s="6">
        <f>IF(ISERROR(VLOOKUP($S$29,'TAR FIN'!$A$1:$O$85,15,0)),0,VLOOKUP($S$29,'TAR FIN'!$A$1:$O$85,15,0))</f>
        <v>0</v>
      </c>
      <c r="W29" s="6">
        <f>IF(ISERROR(VLOOKUP($T$29,'TAR FIN'!$A$1:$O$85,15,0)),0,VLOOKUP($T$29,'TAR FIN'!$A$1:$O$85,15,0))</f>
        <v>427.11</v>
      </c>
      <c r="X29" s="6">
        <f>IF(ISERROR(VLOOKUP($U$29,'TAR FIN'!$A$1:$O$85,15,0)),0,VLOOKUP($U$29,'TAR FIN'!$A$1:$O$85,15,0))</f>
        <v>226.67</v>
      </c>
      <c r="Y29" s="6"/>
      <c r="Z29" s="6">
        <f ca="1">('TUSD BE'!$AM$23+'TUSD BF'!$AM$23+'TUSD CVA'!$AM$23-('TUSD BE'!$P$23+'TUSD BF'!$P$23+'TUSD CVA'!$P$23)-('TUSD BE'!$Q$23+'TUSD BF'!$Q$23+'TUSD CVA'!$Q$23)-('TUSD BE'!$R$23+'TUSD BF'!$R$23+'TUSD CVA'!$R$23))*(1-CUSTOS!$M$36)</f>
        <v>542.01828450614823</v>
      </c>
      <c r="AA29" s="6">
        <f>('TE BE'!$AA$14+'TE BF'!$AA$14+'TE CVA'!$AA$14)*(1-CUSTOS!$M$36)</f>
        <v>231.02294836352087</v>
      </c>
      <c r="AB29" s="6">
        <f t="shared" si="0"/>
        <v>0</v>
      </c>
      <c r="AC29" s="6">
        <f>(L29-M29)*(W29+X29)+($W$39+$X$39-$W$29-$X$29)*(L29)</f>
        <v>1730.647999999999</v>
      </c>
      <c r="AD29" s="6">
        <f t="shared" si="1"/>
        <v>0</v>
      </c>
      <c r="AE29" s="6">
        <f ca="1">(L29-M29)*(Z29+AA29)+($Z$39+$AA$39-$Z$29-$AA$29)*(L29)</f>
        <v>2046.4119303466541</v>
      </c>
      <c r="AF29" s="4" t="s">
        <v>704</v>
      </c>
    </row>
    <row r="30" spans="1:32" ht="11.25" customHeight="1" x14ac:dyDescent="0.25">
      <c r="A30" s="4" t="s">
        <v>21</v>
      </c>
      <c r="B30" s="4" t="s">
        <v>22</v>
      </c>
      <c r="C30" s="4" t="s">
        <v>23</v>
      </c>
      <c r="D30" s="4" t="s">
        <v>24</v>
      </c>
      <c r="E30" s="4" t="s">
        <v>30</v>
      </c>
      <c r="F30" s="4" t="s">
        <v>25</v>
      </c>
      <c r="G30" s="4" t="s">
        <v>25</v>
      </c>
      <c r="H30" s="4" t="s">
        <v>25</v>
      </c>
      <c r="I30" s="5">
        <v>44409</v>
      </c>
      <c r="J30" s="6">
        <v>0</v>
      </c>
      <c r="K30" s="6">
        <v>0</v>
      </c>
      <c r="L30" s="6">
        <v>23.878</v>
      </c>
      <c r="M30" s="6">
        <v>23.878</v>
      </c>
      <c r="N30" s="6">
        <v>23.878</v>
      </c>
      <c r="O30" s="6">
        <v>23.878</v>
      </c>
      <c r="P30" s="6">
        <v>511</v>
      </c>
      <c r="Q30" s="4" t="s">
        <v>26</v>
      </c>
      <c r="R30" s="4">
        <v>0</v>
      </c>
      <c r="S30" s="4">
        <v>0</v>
      </c>
      <c r="T30" s="4">
        <v>19</v>
      </c>
      <c r="U30" s="4">
        <v>56</v>
      </c>
      <c r="V30" s="6">
        <f>IF(ISERROR(VLOOKUP($S$30,'TAR FIN'!$A$1:$O$85,15,0)),0,VLOOKUP($S$30,'TAR FIN'!$A$1:$O$85,15,0))</f>
        <v>0</v>
      </c>
      <c r="W30" s="6">
        <f>IF(ISERROR(VLOOKUP($T$30,'TAR FIN'!$A$1:$O$85,15,0)),0,VLOOKUP($T$30,'TAR FIN'!$A$1:$O$85,15,0))</f>
        <v>427.11</v>
      </c>
      <c r="X30" s="6">
        <f>IF(ISERROR(VLOOKUP($U$30,'TAR FIN'!$A$1:$O$85,15,0)),0,VLOOKUP($U$30,'TAR FIN'!$A$1:$O$85,15,0))</f>
        <v>226.67</v>
      </c>
      <c r="Y30" s="6"/>
      <c r="Z30" s="6">
        <f ca="1">('TUSD BE'!$AM$23+'TUSD BF'!$AM$23+'TUSD CVA'!$AM$23-('TUSD BE'!$P$23+'TUSD BF'!$P$23+'TUSD CVA'!$P$23)-('TUSD BE'!$Q$23+'TUSD BF'!$Q$23+'TUSD CVA'!$Q$23)-('TUSD BE'!$R$23+'TUSD BF'!$R$23+'TUSD CVA'!$R$23))*(1-CUSTOS!$M$36)</f>
        <v>542.01828450614823</v>
      </c>
      <c r="AA30" s="6">
        <f>('TE BE'!$AA$14+'TE BF'!$AA$14+'TE CVA'!$AA$14)*(1-CUSTOS!$M$36)</f>
        <v>231.02294836352087</v>
      </c>
      <c r="AB30" s="6">
        <f t="shared" si="0"/>
        <v>0</v>
      </c>
      <c r="AC30" s="6">
        <f>(L30-M30)*(W30+X30)+($W$39+$X$39-$W$30-$X$30)*(L30)</f>
        <v>1734.4979199999991</v>
      </c>
      <c r="AD30" s="6">
        <f t="shared" si="1"/>
        <v>0</v>
      </c>
      <c r="AE30" s="6">
        <f ca="1">(L30-M30)*(Z30+AA30)+($Z$39+$AA$39-$Z$30-$AA$30)*(L30)</f>
        <v>2050.9642842735534</v>
      </c>
      <c r="AF30" s="4" t="s">
        <v>704</v>
      </c>
    </row>
    <row r="31" spans="1:32" ht="11.25" customHeight="1" x14ac:dyDescent="0.25">
      <c r="A31" s="4" t="s">
        <v>21</v>
      </c>
      <c r="B31" s="4" t="s">
        <v>22</v>
      </c>
      <c r="C31" s="4" t="s">
        <v>23</v>
      </c>
      <c r="D31" s="4" t="s">
        <v>24</v>
      </c>
      <c r="E31" s="4" t="s">
        <v>30</v>
      </c>
      <c r="F31" s="4" t="s">
        <v>25</v>
      </c>
      <c r="G31" s="4" t="s">
        <v>25</v>
      </c>
      <c r="H31" s="4" t="s">
        <v>25</v>
      </c>
      <c r="I31" s="5">
        <v>44440</v>
      </c>
      <c r="J31" s="6">
        <v>0</v>
      </c>
      <c r="K31" s="6">
        <v>0</v>
      </c>
      <c r="L31" s="6">
        <v>25.832999999999998</v>
      </c>
      <c r="M31" s="6">
        <v>25.832999999999998</v>
      </c>
      <c r="N31" s="6">
        <v>25.832999999999998</v>
      </c>
      <c r="O31" s="6">
        <v>25.832999999999998</v>
      </c>
      <c r="P31" s="6">
        <v>562</v>
      </c>
      <c r="Q31" s="4" t="s">
        <v>26</v>
      </c>
      <c r="R31" s="4">
        <v>0</v>
      </c>
      <c r="S31" s="4">
        <v>0</v>
      </c>
      <c r="T31" s="4">
        <v>19</v>
      </c>
      <c r="U31" s="4">
        <v>56</v>
      </c>
      <c r="V31" s="6">
        <f>IF(ISERROR(VLOOKUP($S$31,'TAR FIN'!$A$1:$O$85,15,0)),0,VLOOKUP($S$31,'TAR FIN'!$A$1:$O$85,15,0))</f>
        <v>0</v>
      </c>
      <c r="W31" s="6">
        <f>IF(ISERROR(VLOOKUP($T$31,'TAR FIN'!$A$1:$O$85,15,0)),0,VLOOKUP($T$31,'TAR FIN'!$A$1:$O$85,15,0))</f>
        <v>427.11</v>
      </c>
      <c r="X31" s="6">
        <f>IF(ISERROR(VLOOKUP($U$31,'TAR FIN'!$A$1:$O$85,15,0)),0,VLOOKUP($U$31,'TAR FIN'!$A$1:$O$85,15,0))</f>
        <v>226.67</v>
      </c>
      <c r="Y31" s="6"/>
      <c r="Z31" s="6">
        <f ca="1">('TUSD BE'!$AM$23+'TUSD BF'!$AM$23+'TUSD CVA'!$AM$23-('TUSD BE'!$P$23+'TUSD BF'!$P$23+'TUSD CVA'!$P$23)-('TUSD BE'!$Q$23+'TUSD BF'!$Q$23+'TUSD CVA'!$Q$23)-('TUSD BE'!$R$23+'TUSD BF'!$R$23+'TUSD CVA'!$R$23))*(1-CUSTOS!$M$36)</f>
        <v>542.01828450614823</v>
      </c>
      <c r="AA31" s="6">
        <f>('TE BE'!$AA$14+'TE BF'!$AA$14+'TE CVA'!$AA$14)*(1-CUSTOS!$M$36)</f>
        <v>231.02294836352087</v>
      </c>
      <c r="AB31" s="6">
        <f t="shared" si="0"/>
        <v>0</v>
      </c>
      <c r="AC31" s="6">
        <f>(L31-M31)*(W31+X31)+($W$39+$X$39-$W$31-$X$31)*(L31)</f>
        <v>1876.5091199999988</v>
      </c>
      <c r="AD31" s="6">
        <f t="shared" si="1"/>
        <v>0</v>
      </c>
      <c r="AE31" s="6">
        <f ca="1">(L31-M31)*(Z31+AA31)+($Z$39+$AA$39-$Z$31-$AA$31)*(L31)</f>
        <v>2218.8860187469095</v>
      </c>
      <c r="AF31" s="4" t="s">
        <v>704</v>
      </c>
    </row>
    <row r="32" spans="1:32" ht="11.25" customHeight="1" x14ac:dyDescent="0.25">
      <c r="A32" s="4" t="s">
        <v>21</v>
      </c>
      <c r="B32" s="4" t="s">
        <v>22</v>
      </c>
      <c r="C32" s="4" t="s">
        <v>23</v>
      </c>
      <c r="D32" s="4" t="s">
        <v>24</v>
      </c>
      <c r="E32" s="4" t="s">
        <v>30</v>
      </c>
      <c r="F32" s="4" t="s">
        <v>25</v>
      </c>
      <c r="G32" s="4" t="s">
        <v>25</v>
      </c>
      <c r="H32" s="4" t="s">
        <v>25</v>
      </c>
      <c r="I32" s="5">
        <v>44470</v>
      </c>
      <c r="J32" s="6">
        <v>0</v>
      </c>
      <c r="K32" s="6">
        <v>0</v>
      </c>
      <c r="L32" s="6">
        <v>26.504999999999999</v>
      </c>
      <c r="M32" s="6">
        <v>26.504999999999999</v>
      </c>
      <c r="N32" s="6">
        <v>26.504999999999999</v>
      </c>
      <c r="O32" s="6">
        <v>26.504999999999999</v>
      </c>
      <c r="P32" s="6">
        <v>569</v>
      </c>
      <c r="Q32" s="4" t="s">
        <v>26</v>
      </c>
      <c r="R32" s="4">
        <v>0</v>
      </c>
      <c r="S32" s="4">
        <v>0</v>
      </c>
      <c r="T32" s="4">
        <v>19</v>
      </c>
      <c r="U32" s="4">
        <v>56</v>
      </c>
      <c r="V32" s="6">
        <f>IF(ISERROR(VLOOKUP($S$32,'TAR FIN'!$A$1:$O$85,15,0)),0,VLOOKUP($S$32,'TAR FIN'!$A$1:$O$85,15,0))</f>
        <v>0</v>
      </c>
      <c r="W32" s="6">
        <f>IF(ISERROR(VLOOKUP($T$32,'TAR FIN'!$A$1:$O$85,15,0)),0,VLOOKUP($T$32,'TAR FIN'!$A$1:$O$85,15,0))</f>
        <v>427.11</v>
      </c>
      <c r="X32" s="6">
        <f>IF(ISERROR(VLOOKUP($U$32,'TAR FIN'!$A$1:$O$85,15,0)),0,VLOOKUP($U$32,'TAR FIN'!$A$1:$O$85,15,0))</f>
        <v>226.67</v>
      </c>
      <c r="Y32" s="6"/>
      <c r="Z32" s="6">
        <f ca="1">('TUSD BE'!$AM$23+'TUSD BF'!$AM$23+'TUSD CVA'!$AM$23-('TUSD BE'!$P$23+'TUSD BF'!$P$23+'TUSD CVA'!$P$23)-('TUSD BE'!$Q$23+'TUSD BF'!$Q$23+'TUSD CVA'!$Q$23)-('TUSD BE'!$R$23+'TUSD BF'!$R$23+'TUSD CVA'!$R$23))*(1-CUSTOS!$M$36)</f>
        <v>542.01828450614823</v>
      </c>
      <c r="AA32" s="6">
        <f>('TE BE'!$AA$14+'TE BF'!$AA$14+'TE CVA'!$AA$14)*(1-CUSTOS!$M$36)</f>
        <v>231.02294836352087</v>
      </c>
      <c r="AB32" s="6">
        <f t="shared" si="0"/>
        <v>0</v>
      </c>
      <c r="AC32" s="6">
        <f>(L32-M32)*(W32+X32)+($W$39+$X$39-$W$32-$X$32)*(L32)</f>
        <v>1925.3231999999989</v>
      </c>
      <c r="AD32" s="6">
        <f t="shared" si="1"/>
        <v>0</v>
      </c>
      <c r="AE32" s="6">
        <f ca="1">(L32-M32)*(Z32+AA32)+($Z$39+$AA$39-$Z$32-$AA$32)*(L32)</f>
        <v>2276.6064308011782</v>
      </c>
      <c r="AF32" s="4" t="s">
        <v>704</v>
      </c>
    </row>
    <row r="33" spans="1:32" ht="11.25" customHeight="1" x14ac:dyDescent="0.25">
      <c r="A33" s="4" t="s">
        <v>21</v>
      </c>
      <c r="B33" s="4" t="s">
        <v>22</v>
      </c>
      <c r="C33" s="4" t="s">
        <v>23</v>
      </c>
      <c r="D33" s="4" t="s">
        <v>24</v>
      </c>
      <c r="E33" s="4" t="s">
        <v>30</v>
      </c>
      <c r="F33" s="4" t="s">
        <v>25</v>
      </c>
      <c r="G33" s="4" t="s">
        <v>25</v>
      </c>
      <c r="H33" s="4" t="s">
        <v>25</v>
      </c>
      <c r="I33" s="5">
        <v>44501</v>
      </c>
      <c r="J33" s="6">
        <v>0</v>
      </c>
      <c r="K33" s="6">
        <v>0</v>
      </c>
      <c r="L33" s="6">
        <v>45.292999999999999</v>
      </c>
      <c r="M33" s="6">
        <v>45.292999999999999</v>
      </c>
      <c r="N33" s="6">
        <v>45.292999999999999</v>
      </c>
      <c r="O33" s="6">
        <v>45.292999999999999</v>
      </c>
      <c r="P33" s="6">
        <v>805</v>
      </c>
      <c r="Q33" s="4" t="s">
        <v>26</v>
      </c>
      <c r="R33" s="4">
        <v>0</v>
      </c>
      <c r="S33" s="4">
        <v>0</v>
      </c>
      <c r="T33" s="4">
        <v>19</v>
      </c>
      <c r="U33" s="4">
        <v>56</v>
      </c>
      <c r="V33" s="6">
        <f>IF(ISERROR(VLOOKUP($S$33,'TAR FIN'!$A$1:$O$85,15,0)),0,VLOOKUP($S$33,'TAR FIN'!$A$1:$O$85,15,0))</f>
        <v>0</v>
      </c>
      <c r="W33" s="6">
        <f>IF(ISERROR(VLOOKUP($T$33,'TAR FIN'!$A$1:$O$85,15,0)),0,VLOOKUP($T$33,'TAR FIN'!$A$1:$O$85,15,0))</f>
        <v>427.11</v>
      </c>
      <c r="X33" s="6">
        <f>IF(ISERROR(VLOOKUP($U$33,'TAR FIN'!$A$1:$O$85,15,0)),0,VLOOKUP($U$33,'TAR FIN'!$A$1:$O$85,15,0))</f>
        <v>226.67</v>
      </c>
      <c r="Y33" s="6"/>
      <c r="Z33" s="6">
        <f ca="1">('TUSD BE'!$AM$23+'TUSD BF'!$AM$23+'TUSD CVA'!$AM$23-('TUSD BE'!$P$23+'TUSD BF'!$P$23+'TUSD CVA'!$P$23)-('TUSD BE'!$Q$23+'TUSD BF'!$Q$23+'TUSD CVA'!$Q$23)-('TUSD BE'!$R$23+'TUSD BF'!$R$23+'TUSD CVA'!$R$23))*(1-CUSTOS!$M$36)</f>
        <v>542.01828450614823</v>
      </c>
      <c r="AA33" s="6">
        <f>('TE BE'!$AA$14+'TE BF'!$AA$14+'TE CVA'!$AA$14)*(1-CUSTOS!$M$36)</f>
        <v>231.02294836352087</v>
      </c>
      <c r="AB33" s="6">
        <f t="shared" si="0"/>
        <v>0</v>
      </c>
      <c r="AC33" s="6">
        <f>(L33-M33)*(W33+X33)+($W$39+$X$39-$W$33-$X$33)*(L33)</f>
        <v>3290.0835199999979</v>
      </c>
      <c r="AD33" s="6">
        <f t="shared" si="1"/>
        <v>0</v>
      </c>
      <c r="AE33" s="6">
        <f ca="1">(L33-M33)*(Z33+AA33)+($Z$39+$AA$39-$Z$33-$AA$33)*(L33)</f>
        <v>3890.3729511517736</v>
      </c>
      <c r="AF33" s="4" t="s">
        <v>704</v>
      </c>
    </row>
    <row r="34" spans="1:32" ht="11.25" customHeight="1" x14ac:dyDescent="0.25">
      <c r="A34" s="4" t="s">
        <v>21</v>
      </c>
      <c r="B34" s="4" t="s">
        <v>22</v>
      </c>
      <c r="C34" s="4" t="s">
        <v>23</v>
      </c>
      <c r="D34" s="4" t="s">
        <v>24</v>
      </c>
      <c r="E34" s="4" t="s">
        <v>30</v>
      </c>
      <c r="F34" s="4" t="s">
        <v>25</v>
      </c>
      <c r="G34" s="4" t="s">
        <v>25</v>
      </c>
      <c r="H34" s="4" t="s">
        <v>25</v>
      </c>
      <c r="I34" s="5">
        <v>44531</v>
      </c>
      <c r="J34" s="6">
        <v>0</v>
      </c>
      <c r="K34" s="6">
        <v>0</v>
      </c>
      <c r="L34" s="6">
        <v>38.020000000000003</v>
      </c>
      <c r="M34" s="6">
        <v>38.020000000000003</v>
      </c>
      <c r="N34" s="6">
        <v>38.020000000000003</v>
      </c>
      <c r="O34" s="6">
        <v>38.020000000000003</v>
      </c>
      <c r="P34" s="6">
        <v>726</v>
      </c>
      <c r="Q34" s="4" t="s">
        <v>26</v>
      </c>
      <c r="R34" s="4">
        <v>0</v>
      </c>
      <c r="S34" s="4">
        <v>0</v>
      </c>
      <c r="T34" s="4">
        <v>19</v>
      </c>
      <c r="U34" s="4">
        <v>56</v>
      </c>
      <c r="V34" s="6">
        <f>IF(ISERROR(VLOOKUP($S$34,'TAR FIN'!$A$1:$O$85,15,0)),0,VLOOKUP($S$34,'TAR FIN'!$A$1:$O$85,15,0))</f>
        <v>0</v>
      </c>
      <c r="W34" s="6">
        <f>IF(ISERROR(VLOOKUP($T$34,'TAR FIN'!$A$1:$O$85,15,0)),0,VLOOKUP($T$34,'TAR FIN'!$A$1:$O$85,15,0))</f>
        <v>427.11</v>
      </c>
      <c r="X34" s="6">
        <f>IF(ISERROR(VLOOKUP($U$34,'TAR FIN'!$A$1:$O$85,15,0)),0,VLOOKUP($U$34,'TAR FIN'!$A$1:$O$85,15,0))</f>
        <v>226.67</v>
      </c>
      <c r="Y34" s="6"/>
      <c r="Z34" s="6">
        <f ca="1">('TUSD BE'!$AM$23+'TUSD BF'!$AM$23+'TUSD CVA'!$AM$23-('TUSD BE'!$P$23+'TUSD BF'!$P$23+'TUSD CVA'!$P$23)-('TUSD BE'!$Q$23+'TUSD BF'!$Q$23+'TUSD CVA'!$Q$23)-('TUSD BE'!$R$23+'TUSD BF'!$R$23+'TUSD CVA'!$R$23))*(1-CUSTOS!$M$36)</f>
        <v>542.01828450614823</v>
      </c>
      <c r="AA34" s="6">
        <f>('TE BE'!$AA$14+'TE BF'!$AA$14+'TE CVA'!$AA$14)*(1-CUSTOS!$M$36)</f>
        <v>231.02294836352087</v>
      </c>
      <c r="AB34" s="6">
        <f t="shared" ref="AB34:AB65" si="4">(J34-K34)*V34</f>
        <v>0</v>
      </c>
      <c r="AC34" s="6">
        <f>(L34-M34)*(W34+X34)+($W$39+$X$39-$W$34-$X$34)*(L34)</f>
        <v>2761.7727999999988</v>
      </c>
      <c r="AD34" s="6">
        <f t="shared" ref="AD34:AD65" si="5">(J34-K34)*Y34</f>
        <v>0</v>
      </c>
      <c r="AE34" s="6">
        <f ca="1">(L34-M34)*(Z34+AA34)+($Z$39+$AA$39-$Z$34-$AA$34)*(L34)</f>
        <v>3265.6697415227618</v>
      </c>
      <c r="AF34" s="4" t="s">
        <v>704</v>
      </c>
    </row>
    <row r="35" spans="1:32" ht="11.25" customHeight="1" x14ac:dyDescent="0.25">
      <c r="A35" s="4" t="s">
        <v>21</v>
      </c>
      <c r="B35" s="4" t="s">
        <v>22</v>
      </c>
      <c r="C35" s="4" t="s">
        <v>23</v>
      </c>
      <c r="D35" s="4" t="s">
        <v>24</v>
      </c>
      <c r="E35" s="4" t="s">
        <v>30</v>
      </c>
      <c r="F35" s="4" t="s">
        <v>25</v>
      </c>
      <c r="G35" s="4" t="s">
        <v>25</v>
      </c>
      <c r="H35" s="4" t="s">
        <v>25</v>
      </c>
      <c r="I35" s="5">
        <v>44562</v>
      </c>
      <c r="J35" s="6">
        <v>0</v>
      </c>
      <c r="K35" s="6">
        <v>0</v>
      </c>
      <c r="L35" s="6">
        <v>35.238999999999997</v>
      </c>
      <c r="M35" s="6">
        <v>35.238999999999997</v>
      </c>
      <c r="N35" s="6">
        <v>35.238999999999997</v>
      </c>
      <c r="O35" s="6">
        <v>35.238999999999997</v>
      </c>
      <c r="P35" s="6">
        <v>698</v>
      </c>
      <c r="Q35" s="4" t="s">
        <v>26</v>
      </c>
      <c r="R35" s="4">
        <v>0</v>
      </c>
      <c r="S35" s="4">
        <v>0</v>
      </c>
      <c r="T35" s="4">
        <v>19</v>
      </c>
      <c r="U35" s="4">
        <v>56</v>
      </c>
      <c r="V35" s="6">
        <f>IF(ISERROR(VLOOKUP($S$35,'TAR FIN'!$A$1:$O$85,15,0)),0,VLOOKUP($S$35,'TAR FIN'!$A$1:$O$85,15,0))</f>
        <v>0</v>
      </c>
      <c r="W35" s="6">
        <f>IF(ISERROR(VLOOKUP($T$35,'TAR FIN'!$A$1:$O$85,15,0)),0,VLOOKUP($T$35,'TAR FIN'!$A$1:$O$85,15,0))</f>
        <v>427.11</v>
      </c>
      <c r="X35" s="6">
        <f>IF(ISERROR(VLOOKUP($U$35,'TAR FIN'!$A$1:$O$85,15,0)),0,VLOOKUP($U$35,'TAR FIN'!$A$1:$O$85,15,0))</f>
        <v>226.67</v>
      </c>
      <c r="Y35" s="6"/>
      <c r="Z35" s="6">
        <f ca="1">('TUSD BE'!$AM$23+'TUSD BF'!$AM$23+'TUSD CVA'!$AM$23-('TUSD BE'!$P$23+'TUSD BF'!$P$23+'TUSD CVA'!$P$23)-('TUSD BE'!$Q$23+'TUSD BF'!$Q$23+'TUSD CVA'!$Q$23)-('TUSD BE'!$R$23+'TUSD BF'!$R$23+'TUSD CVA'!$R$23))*(1-CUSTOS!$M$36)</f>
        <v>542.01828450614823</v>
      </c>
      <c r="AA35" s="6">
        <f>('TE BE'!$AA$14+'TE BF'!$AA$14+'TE CVA'!$AA$14)*(1-CUSTOS!$M$36)</f>
        <v>231.02294836352087</v>
      </c>
      <c r="AB35" s="6">
        <f t="shared" si="4"/>
        <v>0</v>
      </c>
      <c r="AC35" s="6">
        <f>(L35-M35)*(W35+X35)+($W$39+$X$39-$W$35-$X$35)*(L35)</f>
        <v>2559.7609599999982</v>
      </c>
      <c r="AD35" s="6">
        <f t="shared" si="5"/>
        <v>0</v>
      </c>
      <c r="AE35" s="6">
        <f ca="1">(L35-M35)*(Z35+AA35)+($Z$39+$AA$39-$Z$35-$AA$35)*(L35)</f>
        <v>3026.8000005660333</v>
      </c>
      <c r="AF35" s="4" t="s">
        <v>704</v>
      </c>
    </row>
    <row r="36" spans="1:32" ht="11.25" customHeight="1" x14ac:dyDescent="0.25">
      <c r="A36" s="4" t="s">
        <v>21</v>
      </c>
      <c r="B36" s="4" t="s">
        <v>22</v>
      </c>
      <c r="C36" s="4" t="s">
        <v>23</v>
      </c>
      <c r="D36" s="4" t="s">
        <v>24</v>
      </c>
      <c r="E36" s="4" t="s">
        <v>30</v>
      </c>
      <c r="F36" s="4" t="s">
        <v>25</v>
      </c>
      <c r="G36" s="4" t="s">
        <v>25</v>
      </c>
      <c r="H36" s="4" t="s">
        <v>25</v>
      </c>
      <c r="I36" s="5">
        <v>44593</v>
      </c>
      <c r="J36" s="6">
        <v>0</v>
      </c>
      <c r="K36" s="6">
        <v>0</v>
      </c>
      <c r="L36" s="6">
        <v>35.987000000000002</v>
      </c>
      <c r="M36" s="6">
        <v>35.987000000000002</v>
      </c>
      <c r="N36" s="6">
        <v>35.987000000000002</v>
      </c>
      <c r="O36" s="6">
        <v>35.987000000000002</v>
      </c>
      <c r="P36" s="6">
        <v>690</v>
      </c>
      <c r="Q36" s="4" t="s">
        <v>26</v>
      </c>
      <c r="R36" s="4">
        <v>0</v>
      </c>
      <c r="S36" s="4">
        <v>0</v>
      </c>
      <c r="T36" s="4">
        <v>19</v>
      </c>
      <c r="U36" s="4">
        <v>56</v>
      </c>
      <c r="V36" s="6">
        <f>IF(ISERROR(VLOOKUP($S$36,'TAR FIN'!$A$1:$O$85,15,0)),0,VLOOKUP($S$36,'TAR FIN'!$A$1:$O$85,15,0))</f>
        <v>0</v>
      </c>
      <c r="W36" s="6">
        <f>IF(ISERROR(VLOOKUP($T$36,'TAR FIN'!$A$1:$O$85,15,0)),0,VLOOKUP($T$36,'TAR FIN'!$A$1:$O$85,15,0))</f>
        <v>427.11</v>
      </c>
      <c r="X36" s="6">
        <f>IF(ISERROR(VLOOKUP($U$36,'TAR FIN'!$A$1:$O$85,15,0)),0,VLOOKUP($U$36,'TAR FIN'!$A$1:$O$85,15,0))</f>
        <v>226.67</v>
      </c>
      <c r="Y36" s="6"/>
      <c r="Z36" s="6">
        <f ca="1">('TUSD BE'!$AM$23+'TUSD BF'!$AM$23+'TUSD CVA'!$AM$23-('TUSD BE'!$P$23+'TUSD BF'!$P$23+'TUSD CVA'!$P$23)-('TUSD BE'!$Q$23+'TUSD BF'!$Q$23+'TUSD CVA'!$Q$23)-('TUSD BE'!$R$23+'TUSD BF'!$R$23+'TUSD CVA'!$R$23))*(1-CUSTOS!$M$36)</f>
        <v>542.01828450614823</v>
      </c>
      <c r="AA36" s="6">
        <f>('TE BE'!$AA$14+'TE BF'!$AA$14+'TE CVA'!$AA$14)*(1-CUSTOS!$M$36)</f>
        <v>231.02294836352087</v>
      </c>
      <c r="AB36" s="6">
        <f t="shared" si="4"/>
        <v>0</v>
      </c>
      <c r="AC36" s="6">
        <f>(L36-M36)*(W36+X36)+($W$39+$X$39-$W$36-$X$36)*(L36)</f>
        <v>2614.0956799999985</v>
      </c>
      <c r="AD36" s="6">
        <f t="shared" si="5"/>
        <v>0</v>
      </c>
      <c r="AE36" s="6">
        <f ca="1">(L36-M36)*(Z36+AA36)+($Z$39+$AA$39-$Z$36-$AA$36)*(L36)</f>
        <v>3091.0483163645349</v>
      </c>
      <c r="AF36" s="4" t="s">
        <v>704</v>
      </c>
    </row>
    <row r="37" spans="1:32" ht="11.25" customHeight="1" x14ac:dyDescent="0.25">
      <c r="A37" s="4" t="s">
        <v>21</v>
      </c>
      <c r="B37" s="4" t="s">
        <v>22</v>
      </c>
      <c r="C37" s="4" t="s">
        <v>23</v>
      </c>
      <c r="D37" s="4" t="s">
        <v>24</v>
      </c>
      <c r="E37" s="4" t="s">
        <v>30</v>
      </c>
      <c r="F37" s="4" t="s">
        <v>25</v>
      </c>
      <c r="G37" s="4" t="s">
        <v>25</v>
      </c>
      <c r="H37" s="4" t="s">
        <v>25</v>
      </c>
      <c r="I37" s="5">
        <v>44621</v>
      </c>
      <c r="J37" s="6">
        <v>0</v>
      </c>
      <c r="K37" s="6">
        <v>0</v>
      </c>
      <c r="L37" s="6">
        <v>46.878</v>
      </c>
      <c r="M37" s="6">
        <v>46.878</v>
      </c>
      <c r="N37" s="6">
        <v>46.878</v>
      </c>
      <c r="O37" s="6">
        <v>46.878</v>
      </c>
      <c r="P37" s="6">
        <v>835</v>
      </c>
      <c r="Q37" s="4" t="s">
        <v>26</v>
      </c>
      <c r="R37" s="4">
        <v>0</v>
      </c>
      <c r="S37" s="4">
        <v>0</v>
      </c>
      <c r="T37" s="4">
        <v>19</v>
      </c>
      <c r="U37" s="4">
        <v>56</v>
      </c>
      <c r="V37" s="6">
        <f>IF(ISERROR(VLOOKUP($S$37,'TAR FIN'!$A$1:$O$85,15,0)),0,VLOOKUP($S$37,'TAR FIN'!$A$1:$O$85,15,0))</f>
        <v>0</v>
      </c>
      <c r="W37" s="6">
        <f>IF(ISERROR(VLOOKUP($T$37,'TAR FIN'!$A$1:$O$85,15,0)),0,VLOOKUP($T$37,'TAR FIN'!$A$1:$O$85,15,0))</f>
        <v>427.11</v>
      </c>
      <c r="X37" s="6">
        <f>IF(ISERROR(VLOOKUP($U$37,'TAR FIN'!$A$1:$O$85,15,0)),0,VLOOKUP($U$37,'TAR FIN'!$A$1:$O$85,15,0))</f>
        <v>226.67</v>
      </c>
      <c r="Y37" s="6"/>
      <c r="Z37" s="6">
        <f ca="1">('TUSD BE'!$AM$23+'TUSD BF'!$AM$23+'TUSD CVA'!$AM$23-('TUSD BE'!$P$23+'TUSD BF'!$P$23+'TUSD CVA'!$P$23)-('TUSD BE'!$Q$23+'TUSD BF'!$Q$23+'TUSD CVA'!$Q$23)-('TUSD BE'!$R$23+'TUSD BF'!$R$23+'TUSD CVA'!$R$23))*(1-CUSTOS!$M$36)</f>
        <v>542.01828450614823</v>
      </c>
      <c r="AA37" s="6">
        <f>('TE BE'!$AA$14+'TE BF'!$AA$14+'TE CVA'!$AA$14)*(1-CUSTOS!$M$36)</f>
        <v>231.02294836352087</v>
      </c>
      <c r="AB37" s="6">
        <f t="shared" si="4"/>
        <v>0</v>
      </c>
      <c r="AC37" s="6">
        <f>(L37-M37)*(W37+X37)+($W$39+$X$39-$W$37-$X$37)*(L37)</f>
        <v>3405.2179199999982</v>
      </c>
      <c r="AD37" s="6">
        <f t="shared" si="5"/>
        <v>0</v>
      </c>
      <c r="AE37" s="6">
        <f ca="1">(L37-M37)*(Z37+AA37)+($Z$39+$AA$39-$Z$37-$AA$37)*(L37)</f>
        <v>4026.5141016071543</v>
      </c>
      <c r="AF37" s="4" t="s">
        <v>704</v>
      </c>
    </row>
    <row r="38" spans="1:32" ht="11.25" customHeight="1" x14ac:dyDescent="0.25">
      <c r="A38" s="4" t="s">
        <v>21</v>
      </c>
      <c r="B38" s="4" t="s">
        <v>22</v>
      </c>
      <c r="C38" s="4" t="s">
        <v>23</v>
      </c>
      <c r="D38" s="4" t="s">
        <v>24</v>
      </c>
      <c r="E38" s="4" t="s">
        <v>30</v>
      </c>
      <c r="F38" s="4" t="s">
        <v>25</v>
      </c>
      <c r="G38" s="4" t="s">
        <v>25</v>
      </c>
      <c r="H38" s="4" t="s">
        <v>25</v>
      </c>
      <c r="I38" s="5">
        <v>44652</v>
      </c>
      <c r="J38" s="6">
        <v>0</v>
      </c>
      <c r="K38" s="6">
        <v>0</v>
      </c>
      <c r="L38" s="6">
        <v>45.223999999999997</v>
      </c>
      <c r="M38" s="6">
        <v>45.223999999999997</v>
      </c>
      <c r="N38" s="6">
        <v>45.223999999999997</v>
      </c>
      <c r="O38" s="6">
        <v>45.223999999999997</v>
      </c>
      <c r="P38" s="6">
        <v>818</v>
      </c>
      <c r="Q38" s="4" t="s">
        <v>26</v>
      </c>
      <c r="R38" s="4">
        <v>0</v>
      </c>
      <c r="S38" s="4">
        <v>0</v>
      </c>
      <c r="T38" s="4">
        <v>19</v>
      </c>
      <c r="U38" s="4">
        <v>56</v>
      </c>
      <c r="V38" s="6">
        <f>IF(ISERROR(VLOOKUP($S$38,'TAR FIN'!$A$1:$O$85,15,0)),0,VLOOKUP($S$38,'TAR FIN'!$A$1:$O$85,15,0))</f>
        <v>0</v>
      </c>
      <c r="W38" s="6">
        <f>IF(ISERROR(VLOOKUP($T$38,'TAR FIN'!$A$1:$O$85,15,0)),0,VLOOKUP($T$38,'TAR FIN'!$A$1:$O$85,15,0))</f>
        <v>427.11</v>
      </c>
      <c r="X38" s="6">
        <f>IF(ISERROR(VLOOKUP($U$38,'TAR FIN'!$A$1:$O$85,15,0)),0,VLOOKUP($U$38,'TAR FIN'!$A$1:$O$85,15,0))</f>
        <v>226.67</v>
      </c>
      <c r="Y38" s="6"/>
      <c r="Z38" s="6">
        <f ca="1">('TUSD BE'!$AM$23+'TUSD BF'!$AM$23+'TUSD CVA'!$AM$23-('TUSD BE'!$P$23+'TUSD BF'!$P$23+'TUSD CVA'!$P$23)-('TUSD BE'!$Q$23+'TUSD BF'!$Q$23+'TUSD CVA'!$Q$23)-('TUSD BE'!$R$23+'TUSD BF'!$R$23+'TUSD CVA'!$R$23))*(1-CUSTOS!$M$36)</f>
        <v>542.01828450614823</v>
      </c>
      <c r="AA38" s="6">
        <f>('TE BE'!$AA$14+'TE BF'!$AA$14+'TE CVA'!$AA$14)*(1-CUSTOS!$M$36)</f>
        <v>231.02294836352087</v>
      </c>
      <c r="AB38" s="6">
        <f t="shared" si="4"/>
        <v>0</v>
      </c>
      <c r="AC38" s="6">
        <f>(L38-M38)*(W38+X38)+($W$39+$X$39-$W$38-$X$38)*(L38)</f>
        <v>3285.0713599999976</v>
      </c>
      <c r="AD38" s="6">
        <f t="shared" si="5"/>
        <v>0</v>
      </c>
      <c r="AE38" s="6">
        <f ca="1">(L38-M38)*(Z38+AA38)+($Z$39+$AA$39-$Z$38-$AA$38)*(L38)</f>
        <v>3884.4463016997724</v>
      </c>
      <c r="AF38" s="4" t="s">
        <v>704</v>
      </c>
    </row>
    <row r="39" spans="1:32" ht="11.25" customHeight="1" x14ac:dyDescent="0.25">
      <c r="A39" s="4" t="s">
        <v>21</v>
      </c>
      <c r="B39" s="4" t="s">
        <v>22</v>
      </c>
      <c r="C39" s="4" t="s">
        <v>23</v>
      </c>
      <c r="D39" s="4" t="s">
        <v>24</v>
      </c>
      <c r="E39" s="4" t="s">
        <v>31</v>
      </c>
      <c r="F39" s="4" t="s">
        <v>25</v>
      </c>
      <c r="G39" s="4" t="s">
        <v>25</v>
      </c>
      <c r="H39" s="4" t="s">
        <v>25</v>
      </c>
      <c r="I39" s="5">
        <v>44317</v>
      </c>
      <c r="J39" s="6">
        <v>0</v>
      </c>
      <c r="K39" s="6">
        <v>0</v>
      </c>
      <c r="L39" s="6">
        <v>6.4710000000000001</v>
      </c>
      <c r="M39" s="6">
        <v>6.4710000000000001</v>
      </c>
      <c r="N39" s="6">
        <v>6.4710000000000001</v>
      </c>
      <c r="O39" s="6">
        <v>6.4710000000000001</v>
      </c>
      <c r="P39" s="6">
        <v>55</v>
      </c>
      <c r="Q39" s="4" t="s">
        <v>26</v>
      </c>
      <c r="R39" s="4">
        <v>0</v>
      </c>
      <c r="S39" s="4">
        <v>0</v>
      </c>
      <c r="T39" s="4">
        <v>20</v>
      </c>
      <c r="U39" s="4">
        <v>57</v>
      </c>
      <c r="V39" s="6">
        <f>IF(ISERROR(VLOOKUP($S$39,'TAR FIN'!$A$1:$O$85,15,0)),0,VLOOKUP($S$39,'TAR FIN'!$A$1:$O$85,15,0))</f>
        <v>0</v>
      </c>
      <c r="W39" s="6">
        <f>IF(ISERROR(VLOOKUP($T$39,'TAR FIN'!$A$1:$O$85,15,0)),0,VLOOKUP($T$39,'TAR FIN'!$A$1:$O$85,15,0))</f>
        <v>474.57</v>
      </c>
      <c r="X39" s="6">
        <f>IF(ISERROR(VLOOKUP($U$39,'TAR FIN'!$A$1:$O$85,15,0)),0,VLOOKUP($U$39,'TAR FIN'!$A$1:$O$85,15,0))</f>
        <v>251.85</v>
      </c>
      <c r="Y39" s="6"/>
      <c r="Z39" s="6">
        <f ca="1">('TUSD BE'!$AM$24+'TUSD BF'!$AM$24+'TUSD CVA'!$AM$24-('TUSD BE'!$P$24+'TUSD BF'!$P$24+'TUSD CVA'!$P$24)-('TUSD BE'!$Q$24+'TUSD BF'!$Q$24+'TUSD CVA'!$Q$24)-('TUSD BE'!$R$24+'TUSD BF'!$R$24+'TUSD CVA'!$R$24))*(1-CUSTOS!$M$37)</f>
        <v>602.24253834016474</v>
      </c>
      <c r="AA39" s="6">
        <f>('TE BE'!$AA$15+'TE BF'!$AA$15+'TE CVA'!$AA$15)*(1-CUSTOS!$M$37)</f>
        <v>256.69216484835653</v>
      </c>
      <c r="AB39" s="6">
        <f t="shared" si="4"/>
        <v>0</v>
      </c>
      <c r="AC39" s="6">
        <f>(L39-M39)*(W39+X39)+($W$39+$X$39-$W$39-$X$39)*(L39)</f>
        <v>-1.8391688172414433E-13</v>
      </c>
      <c r="AD39" s="6">
        <f t="shared" si="5"/>
        <v>0</v>
      </c>
      <c r="AE39" s="6">
        <f ca="1">(L39-M39)*(Z39+AA39)+($Z$39+$AA$39-$Z$39-$AA$39)*(L39)</f>
        <v>3.6783376344828867E-13</v>
      </c>
      <c r="AF39" s="4" t="s">
        <v>704</v>
      </c>
    </row>
    <row r="40" spans="1:32" ht="11.25" customHeight="1" x14ac:dyDescent="0.25">
      <c r="A40" s="4" t="s">
        <v>21</v>
      </c>
      <c r="B40" s="4" t="s">
        <v>22</v>
      </c>
      <c r="C40" s="4" t="s">
        <v>23</v>
      </c>
      <c r="D40" s="4" t="s">
        <v>24</v>
      </c>
      <c r="E40" s="4" t="s">
        <v>31</v>
      </c>
      <c r="F40" s="4" t="s">
        <v>25</v>
      </c>
      <c r="G40" s="4" t="s">
        <v>25</v>
      </c>
      <c r="H40" s="4" t="s">
        <v>25</v>
      </c>
      <c r="I40" s="5">
        <v>44348</v>
      </c>
      <c r="J40" s="6">
        <v>0</v>
      </c>
      <c r="K40" s="6">
        <v>0</v>
      </c>
      <c r="L40" s="6">
        <v>5.9880000000000004</v>
      </c>
      <c r="M40" s="6">
        <v>5.9880000000000004</v>
      </c>
      <c r="N40" s="6">
        <v>5.9880000000000004</v>
      </c>
      <c r="O40" s="6">
        <v>5.9880000000000004</v>
      </c>
      <c r="P40" s="6">
        <v>51</v>
      </c>
      <c r="Q40" s="4" t="s">
        <v>26</v>
      </c>
      <c r="R40" s="4">
        <v>0</v>
      </c>
      <c r="S40" s="4">
        <v>0</v>
      </c>
      <c r="T40" s="4">
        <v>20</v>
      </c>
      <c r="U40" s="4">
        <v>57</v>
      </c>
      <c r="V40" s="6">
        <f>IF(ISERROR(VLOOKUP($S$40,'TAR FIN'!$A$1:$O$85,15,0)),0,VLOOKUP($S$40,'TAR FIN'!$A$1:$O$85,15,0))</f>
        <v>0</v>
      </c>
      <c r="W40" s="6">
        <f>IF(ISERROR(VLOOKUP($T$40,'TAR FIN'!$A$1:$O$85,15,0)),0,VLOOKUP($T$40,'TAR FIN'!$A$1:$O$85,15,0))</f>
        <v>474.57</v>
      </c>
      <c r="X40" s="6">
        <f>IF(ISERROR(VLOOKUP($U$40,'TAR FIN'!$A$1:$O$85,15,0)),0,VLOOKUP($U$40,'TAR FIN'!$A$1:$O$85,15,0))</f>
        <v>251.85</v>
      </c>
      <c r="Y40" s="6"/>
      <c r="Z40" s="6">
        <f ca="1">('TUSD BE'!$AM$24+'TUSD BF'!$AM$24+'TUSD CVA'!$AM$24-('TUSD BE'!$P$24+'TUSD BF'!$P$24+'TUSD CVA'!$P$24)-('TUSD BE'!$Q$24+'TUSD BF'!$Q$24+'TUSD CVA'!$Q$24)-('TUSD BE'!$R$24+'TUSD BF'!$R$24+'TUSD CVA'!$R$24))*(1-CUSTOS!$M$37)</f>
        <v>602.24253834016474</v>
      </c>
      <c r="AA40" s="6">
        <f>('TE BE'!$AA$15+'TE BF'!$AA$15+'TE CVA'!$AA$15)*(1-CUSTOS!$M$37)</f>
        <v>256.69216484835653</v>
      </c>
      <c r="AB40" s="6">
        <f t="shared" si="4"/>
        <v>0</v>
      </c>
      <c r="AC40" s="6">
        <f>(L40-M40)*(W40+X40)+($W$39+$X$39-$W$40-$X$40)*(L40)</f>
        <v>-1.7018919606925921E-13</v>
      </c>
      <c r="AD40" s="6">
        <f t="shared" si="5"/>
        <v>0</v>
      </c>
      <c r="AE40" s="6">
        <f ca="1">(L40-M40)*(Z40+AA40)+($Z$39+$AA$39-$Z$40-$AA$40)*(L40)</f>
        <v>3.4037839213851842E-13</v>
      </c>
      <c r="AF40" s="4" t="s">
        <v>704</v>
      </c>
    </row>
    <row r="41" spans="1:32" ht="11.25" customHeight="1" x14ac:dyDescent="0.25">
      <c r="A41" s="4" t="s">
        <v>21</v>
      </c>
      <c r="B41" s="4" t="s">
        <v>22</v>
      </c>
      <c r="C41" s="4" t="s">
        <v>23</v>
      </c>
      <c r="D41" s="4" t="s">
        <v>24</v>
      </c>
      <c r="E41" s="4" t="s">
        <v>31</v>
      </c>
      <c r="F41" s="4" t="s">
        <v>25</v>
      </c>
      <c r="G41" s="4" t="s">
        <v>25</v>
      </c>
      <c r="H41" s="4" t="s">
        <v>25</v>
      </c>
      <c r="I41" s="5">
        <v>44378</v>
      </c>
      <c r="J41" s="6">
        <v>0</v>
      </c>
      <c r="K41" s="6">
        <v>0</v>
      </c>
      <c r="L41" s="6">
        <v>5.5570000000000004</v>
      </c>
      <c r="M41" s="6">
        <v>5.5570000000000004</v>
      </c>
      <c r="N41" s="6">
        <v>5.5570000000000004</v>
      </c>
      <c r="O41" s="6">
        <v>5.5570000000000004</v>
      </c>
      <c r="P41" s="6">
        <v>52</v>
      </c>
      <c r="Q41" s="4" t="s">
        <v>26</v>
      </c>
      <c r="R41" s="4">
        <v>0</v>
      </c>
      <c r="S41" s="4">
        <v>0</v>
      </c>
      <c r="T41" s="4">
        <v>20</v>
      </c>
      <c r="U41" s="4">
        <v>57</v>
      </c>
      <c r="V41" s="6">
        <f>IF(ISERROR(VLOOKUP($S$41,'TAR FIN'!$A$1:$O$85,15,0)),0,VLOOKUP($S$41,'TAR FIN'!$A$1:$O$85,15,0))</f>
        <v>0</v>
      </c>
      <c r="W41" s="6">
        <f>IF(ISERROR(VLOOKUP($T$41,'TAR FIN'!$A$1:$O$85,15,0)),0,VLOOKUP($T$41,'TAR FIN'!$A$1:$O$85,15,0))</f>
        <v>474.57</v>
      </c>
      <c r="X41" s="6">
        <f>IF(ISERROR(VLOOKUP($U$41,'TAR FIN'!$A$1:$O$85,15,0)),0,VLOOKUP($U$41,'TAR FIN'!$A$1:$O$85,15,0))</f>
        <v>251.85</v>
      </c>
      <c r="Y41" s="6"/>
      <c r="Z41" s="6">
        <f ca="1">('TUSD BE'!$AM$24+'TUSD BF'!$AM$24+'TUSD CVA'!$AM$24-('TUSD BE'!$P$24+'TUSD BF'!$P$24+'TUSD CVA'!$P$24)-('TUSD BE'!$Q$24+'TUSD BF'!$Q$24+'TUSD CVA'!$Q$24)-('TUSD BE'!$R$24+'TUSD BF'!$R$24+'TUSD CVA'!$R$24))*(1-CUSTOS!$M$37)</f>
        <v>602.24253834016474</v>
      </c>
      <c r="AA41" s="6">
        <f>('TE BE'!$AA$15+'TE BF'!$AA$15+'TE CVA'!$AA$15)*(1-CUSTOS!$M$37)</f>
        <v>256.69216484835653</v>
      </c>
      <c r="AB41" s="6">
        <f t="shared" si="4"/>
        <v>0</v>
      </c>
      <c r="AC41" s="6">
        <f>(L41-M41)*(W41+X41)+($W$39+$X$39-$W$41-$X$41)*(L41)</f>
        <v>-1.5793943930475508E-13</v>
      </c>
      <c r="AD41" s="6">
        <f t="shared" si="5"/>
        <v>0</v>
      </c>
      <c r="AE41" s="6">
        <f ca="1">(L41-M41)*(Z41+AA41)+($Z$39+$AA$39-$Z$41-$AA$41)*(L41)</f>
        <v>3.1587887860951016E-13</v>
      </c>
      <c r="AF41" s="4" t="s">
        <v>704</v>
      </c>
    </row>
    <row r="42" spans="1:32" ht="11.25" customHeight="1" x14ac:dyDescent="0.25">
      <c r="A42" s="4" t="s">
        <v>21</v>
      </c>
      <c r="B42" s="4" t="s">
        <v>22</v>
      </c>
      <c r="C42" s="4" t="s">
        <v>23</v>
      </c>
      <c r="D42" s="4" t="s">
        <v>24</v>
      </c>
      <c r="E42" s="4" t="s">
        <v>31</v>
      </c>
      <c r="F42" s="4" t="s">
        <v>25</v>
      </c>
      <c r="G42" s="4" t="s">
        <v>25</v>
      </c>
      <c r="H42" s="4" t="s">
        <v>25</v>
      </c>
      <c r="I42" s="5">
        <v>44409</v>
      </c>
      <c r="J42" s="6">
        <v>0</v>
      </c>
      <c r="K42" s="6">
        <v>0</v>
      </c>
      <c r="L42" s="6">
        <v>5.3540000000000001</v>
      </c>
      <c r="M42" s="6">
        <v>5.3540000000000001</v>
      </c>
      <c r="N42" s="6">
        <v>5.3540000000000001</v>
      </c>
      <c r="O42" s="6">
        <v>5.3540000000000001</v>
      </c>
      <c r="P42" s="6">
        <v>52</v>
      </c>
      <c r="Q42" s="4" t="s">
        <v>26</v>
      </c>
      <c r="R42" s="4">
        <v>0</v>
      </c>
      <c r="S42" s="4">
        <v>0</v>
      </c>
      <c r="T42" s="4">
        <v>20</v>
      </c>
      <c r="U42" s="4">
        <v>57</v>
      </c>
      <c r="V42" s="6">
        <f>IF(ISERROR(VLOOKUP($S$42,'TAR FIN'!$A$1:$O$85,15,0)),0,VLOOKUP($S$42,'TAR FIN'!$A$1:$O$85,15,0))</f>
        <v>0</v>
      </c>
      <c r="W42" s="6">
        <f>IF(ISERROR(VLOOKUP($T$42,'TAR FIN'!$A$1:$O$85,15,0)),0,VLOOKUP($T$42,'TAR FIN'!$A$1:$O$85,15,0))</f>
        <v>474.57</v>
      </c>
      <c r="X42" s="6">
        <f>IF(ISERROR(VLOOKUP($U$42,'TAR FIN'!$A$1:$O$85,15,0)),0,VLOOKUP($U$42,'TAR FIN'!$A$1:$O$85,15,0))</f>
        <v>251.85</v>
      </c>
      <c r="Y42" s="6"/>
      <c r="Z42" s="6">
        <f ca="1">('TUSD BE'!$AM$24+'TUSD BF'!$AM$24+'TUSD CVA'!$AM$24-('TUSD BE'!$P$24+'TUSD BF'!$P$24+'TUSD CVA'!$P$24)-('TUSD BE'!$Q$24+'TUSD BF'!$Q$24+'TUSD CVA'!$Q$24)-('TUSD BE'!$R$24+'TUSD BF'!$R$24+'TUSD CVA'!$R$24))*(1-CUSTOS!$M$37)</f>
        <v>602.24253834016474</v>
      </c>
      <c r="AA42" s="6">
        <f>('TE BE'!$AA$15+'TE BF'!$AA$15+'TE CVA'!$AA$15)*(1-CUSTOS!$M$37)</f>
        <v>256.69216484835653</v>
      </c>
      <c r="AB42" s="6">
        <f t="shared" si="4"/>
        <v>0</v>
      </c>
      <c r="AC42" s="6">
        <f>(L42-M42)*(W42+X42)+($W$39+$X$39-$W$42-$X$42)*(L42)</f>
        <v>-1.5216983229038306E-13</v>
      </c>
      <c r="AD42" s="6">
        <f t="shared" si="5"/>
        <v>0</v>
      </c>
      <c r="AE42" s="6">
        <f ca="1">(L42-M42)*(Z42+AA42)+($Z$39+$AA$39-$Z$42-$AA$42)*(L42)</f>
        <v>3.0433966458076612E-13</v>
      </c>
      <c r="AF42" s="4" t="s">
        <v>704</v>
      </c>
    </row>
    <row r="43" spans="1:32" ht="11.25" customHeight="1" x14ac:dyDescent="0.25">
      <c r="A43" s="4" t="s">
        <v>21</v>
      </c>
      <c r="B43" s="4" t="s">
        <v>22</v>
      </c>
      <c r="C43" s="4" t="s">
        <v>23</v>
      </c>
      <c r="D43" s="4" t="s">
        <v>24</v>
      </c>
      <c r="E43" s="4" t="s">
        <v>31</v>
      </c>
      <c r="F43" s="4" t="s">
        <v>25</v>
      </c>
      <c r="G43" s="4" t="s">
        <v>25</v>
      </c>
      <c r="H43" s="4" t="s">
        <v>25</v>
      </c>
      <c r="I43" s="5">
        <v>44440</v>
      </c>
      <c r="J43" s="6">
        <v>0</v>
      </c>
      <c r="K43" s="6">
        <v>0</v>
      </c>
      <c r="L43" s="6">
        <v>5.7149999999999999</v>
      </c>
      <c r="M43" s="6">
        <v>5.7149999999999999</v>
      </c>
      <c r="N43" s="6">
        <v>5.7149999999999999</v>
      </c>
      <c r="O43" s="6">
        <v>5.7149999999999999</v>
      </c>
      <c r="P43" s="6">
        <v>52</v>
      </c>
      <c r="Q43" s="4" t="s">
        <v>26</v>
      </c>
      <c r="R43" s="4">
        <v>0</v>
      </c>
      <c r="S43" s="4">
        <v>0</v>
      </c>
      <c r="T43" s="4">
        <v>20</v>
      </c>
      <c r="U43" s="4">
        <v>57</v>
      </c>
      <c r="V43" s="6">
        <f>IF(ISERROR(VLOOKUP($S$43,'TAR FIN'!$A$1:$O$85,15,0)),0,VLOOKUP($S$43,'TAR FIN'!$A$1:$O$85,15,0))</f>
        <v>0</v>
      </c>
      <c r="W43" s="6">
        <f>IF(ISERROR(VLOOKUP($T$43,'TAR FIN'!$A$1:$O$85,15,0)),0,VLOOKUP($T$43,'TAR FIN'!$A$1:$O$85,15,0))</f>
        <v>474.57</v>
      </c>
      <c r="X43" s="6">
        <f>IF(ISERROR(VLOOKUP($U$43,'TAR FIN'!$A$1:$O$85,15,0)),0,VLOOKUP($U$43,'TAR FIN'!$A$1:$O$85,15,0))</f>
        <v>251.85</v>
      </c>
      <c r="Y43" s="6"/>
      <c r="Z43" s="6">
        <f ca="1">('TUSD BE'!$AM$24+'TUSD BF'!$AM$24+'TUSD CVA'!$AM$24-('TUSD BE'!$P$24+'TUSD BF'!$P$24+'TUSD CVA'!$P$24)-('TUSD BE'!$Q$24+'TUSD BF'!$Q$24+'TUSD CVA'!$Q$24)-('TUSD BE'!$R$24+'TUSD BF'!$R$24+'TUSD CVA'!$R$24))*(1-CUSTOS!$M$37)</f>
        <v>602.24253834016474</v>
      </c>
      <c r="AA43" s="6">
        <f>('TE BE'!$AA$15+'TE BF'!$AA$15+'TE CVA'!$AA$15)*(1-CUSTOS!$M$37)</f>
        <v>256.69216484835653</v>
      </c>
      <c r="AB43" s="6">
        <f t="shared" si="4"/>
        <v>0</v>
      </c>
      <c r="AC43" s="6">
        <f>(L43-M43)*(W43+X43)+($W$39+$X$39-$W$43-$X$43)*(L43)</f>
        <v>-1.624300693947589E-13</v>
      </c>
      <c r="AD43" s="6">
        <f t="shared" si="5"/>
        <v>0</v>
      </c>
      <c r="AE43" s="6">
        <f ca="1">(L43-M43)*(Z43+AA43)+($Z$39+$AA$39-$Z$43-$AA$43)*(L43)</f>
        <v>3.248601387895178E-13</v>
      </c>
      <c r="AF43" s="4" t="s">
        <v>704</v>
      </c>
    </row>
    <row r="44" spans="1:32" ht="11.25" customHeight="1" x14ac:dyDescent="0.25">
      <c r="A44" s="4" t="s">
        <v>21</v>
      </c>
      <c r="B44" s="4" t="s">
        <v>22</v>
      </c>
      <c r="C44" s="4" t="s">
        <v>23</v>
      </c>
      <c r="D44" s="4" t="s">
        <v>24</v>
      </c>
      <c r="E44" s="4" t="s">
        <v>31</v>
      </c>
      <c r="F44" s="4" t="s">
        <v>25</v>
      </c>
      <c r="G44" s="4" t="s">
        <v>25</v>
      </c>
      <c r="H44" s="4" t="s">
        <v>25</v>
      </c>
      <c r="I44" s="5">
        <v>44470</v>
      </c>
      <c r="J44" s="6">
        <v>0</v>
      </c>
      <c r="K44" s="6">
        <v>0</v>
      </c>
      <c r="L44" s="6">
        <v>6.5549999999999997</v>
      </c>
      <c r="M44" s="6">
        <v>6.5549999999999997</v>
      </c>
      <c r="N44" s="6">
        <v>6.5549999999999997</v>
      </c>
      <c r="O44" s="6">
        <v>6.5549999999999997</v>
      </c>
      <c r="P44" s="6">
        <v>58</v>
      </c>
      <c r="Q44" s="4" t="s">
        <v>26</v>
      </c>
      <c r="R44" s="4">
        <v>0</v>
      </c>
      <c r="S44" s="4">
        <v>0</v>
      </c>
      <c r="T44" s="4">
        <v>20</v>
      </c>
      <c r="U44" s="4">
        <v>57</v>
      </c>
      <c r="V44" s="6">
        <f>IF(ISERROR(VLOOKUP($S$44,'TAR FIN'!$A$1:$O$85,15,0)),0,VLOOKUP($S$44,'TAR FIN'!$A$1:$O$85,15,0))</f>
        <v>0</v>
      </c>
      <c r="W44" s="6">
        <f>IF(ISERROR(VLOOKUP($T$44,'TAR FIN'!$A$1:$O$85,15,0)),0,VLOOKUP($T$44,'TAR FIN'!$A$1:$O$85,15,0))</f>
        <v>474.57</v>
      </c>
      <c r="X44" s="6">
        <f>IF(ISERROR(VLOOKUP($U$44,'TAR FIN'!$A$1:$O$85,15,0)),0,VLOOKUP($U$44,'TAR FIN'!$A$1:$O$85,15,0))</f>
        <v>251.85</v>
      </c>
      <c r="Y44" s="6"/>
      <c r="Z44" s="6">
        <f ca="1">('TUSD BE'!$AM$24+'TUSD BF'!$AM$24+'TUSD CVA'!$AM$24-('TUSD BE'!$P$24+'TUSD BF'!$P$24+'TUSD CVA'!$P$24)-('TUSD BE'!$Q$24+'TUSD BF'!$Q$24+'TUSD CVA'!$Q$24)-('TUSD BE'!$R$24+'TUSD BF'!$R$24+'TUSD CVA'!$R$24))*(1-CUSTOS!$M$37)</f>
        <v>602.24253834016474</v>
      </c>
      <c r="AA44" s="6">
        <f>('TE BE'!$AA$15+'TE BF'!$AA$15+'TE CVA'!$AA$15)*(1-CUSTOS!$M$37)</f>
        <v>256.69216484835653</v>
      </c>
      <c r="AB44" s="6">
        <f t="shared" si="4"/>
        <v>0</v>
      </c>
      <c r="AC44" s="6">
        <f>(L44-M44)*(W44+X44)+($W$39+$X$39-$W$44-$X$44)*(L44)</f>
        <v>-1.8630430531629826E-13</v>
      </c>
      <c r="AD44" s="6">
        <f t="shared" si="5"/>
        <v>0</v>
      </c>
      <c r="AE44" s="6">
        <f ca="1">(L44-M44)*(Z44+AA44)+($Z$39+$AA$39-$Z$44-$AA$44)*(L44)</f>
        <v>3.7260861063259652E-13</v>
      </c>
      <c r="AF44" s="4" t="s">
        <v>704</v>
      </c>
    </row>
    <row r="45" spans="1:32" ht="11.25" customHeight="1" x14ac:dyDescent="0.25">
      <c r="A45" s="4" t="s">
        <v>21</v>
      </c>
      <c r="B45" s="4" t="s">
        <v>22</v>
      </c>
      <c r="C45" s="4" t="s">
        <v>23</v>
      </c>
      <c r="D45" s="4" t="s">
        <v>24</v>
      </c>
      <c r="E45" s="4" t="s">
        <v>31</v>
      </c>
      <c r="F45" s="4" t="s">
        <v>25</v>
      </c>
      <c r="G45" s="4" t="s">
        <v>25</v>
      </c>
      <c r="H45" s="4" t="s">
        <v>25</v>
      </c>
      <c r="I45" s="5">
        <v>44501</v>
      </c>
      <c r="J45" s="6">
        <v>0</v>
      </c>
      <c r="K45" s="6">
        <v>0</v>
      </c>
      <c r="L45" s="6">
        <v>10.648999999999999</v>
      </c>
      <c r="M45" s="6">
        <v>10.648999999999999</v>
      </c>
      <c r="N45" s="6">
        <v>10.648999999999999</v>
      </c>
      <c r="O45" s="6">
        <v>10.648999999999999</v>
      </c>
      <c r="P45" s="6">
        <v>110</v>
      </c>
      <c r="Q45" s="4" t="s">
        <v>26</v>
      </c>
      <c r="R45" s="4">
        <v>0</v>
      </c>
      <c r="S45" s="4">
        <v>0</v>
      </c>
      <c r="T45" s="4">
        <v>20</v>
      </c>
      <c r="U45" s="4">
        <v>57</v>
      </c>
      <c r="V45" s="6">
        <f>IF(ISERROR(VLOOKUP($S$45,'TAR FIN'!$A$1:$O$85,15,0)),0,VLOOKUP($S$45,'TAR FIN'!$A$1:$O$85,15,0))</f>
        <v>0</v>
      </c>
      <c r="W45" s="6">
        <f>IF(ISERROR(VLOOKUP($T$45,'TAR FIN'!$A$1:$O$85,15,0)),0,VLOOKUP($T$45,'TAR FIN'!$A$1:$O$85,15,0))</f>
        <v>474.57</v>
      </c>
      <c r="X45" s="6">
        <f>IF(ISERROR(VLOOKUP($U$45,'TAR FIN'!$A$1:$O$85,15,0)),0,VLOOKUP($U$45,'TAR FIN'!$A$1:$O$85,15,0))</f>
        <v>251.85</v>
      </c>
      <c r="Y45" s="6"/>
      <c r="Z45" s="6">
        <f ca="1">('TUSD BE'!$AM$24+'TUSD BF'!$AM$24+'TUSD CVA'!$AM$24-('TUSD BE'!$P$24+'TUSD BF'!$P$24+'TUSD CVA'!$P$24)-('TUSD BE'!$Q$24+'TUSD BF'!$Q$24+'TUSD CVA'!$Q$24)-('TUSD BE'!$R$24+'TUSD BF'!$R$24+'TUSD CVA'!$R$24))*(1-CUSTOS!$M$37)</f>
        <v>602.24253834016474</v>
      </c>
      <c r="AA45" s="6">
        <f>('TE BE'!$AA$15+'TE BF'!$AA$15+'TE CVA'!$AA$15)*(1-CUSTOS!$M$37)</f>
        <v>256.69216484835653</v>
      </c>
      <c r="AB45" s="6">
        <f t="shared" si="4"/>
        <v>0</v>
      </c>
      <c r="AC45" s="6">
        <f>(L45-M45)*(W45+X45)+($W$39+$X$39-$W$45-$X$45)*(L45)</f>
        <v>-3.0266278372437225E-13</v>
      </c>
      <c r="AD45" s="6">
        <f t="shared" si="5"/>
        <v>0</v>
      </c>
      <c r="AE45" s="6">
        <f ca="1">(L45-M45)*(Z45+AA45)+($Z$39+$AA$39-$Z$45-$AA$45)*(L45)</f>
        <v>6.053255674487445E-13</v>
      </c>
      <c r="AF45" s="4" t="s">
        <v>704</v>
      </c>
    </row>
    <row r="46" spans="1:32" ht="11.25" customHeight="1" x14ac:dyDescent="0.25">
      <c r="A46" s="4" t="s">
        <v>21</v>
      </c>
      <c r="B46" s="4" t="s">
        <v>22</v>
      </c>
      <c r="C46" s="4" t="s">
        <v>23</v>
      </c>
      <c r="D46" s="4" t="s">
        <v>24</v>
      </c>
      <c r="E46" s="4" t="s">
        <v>31</v>
      </c>
      <c r="F46" s="4" t="s">
        <v>25</v>
      </c>
      <c r="G46" s="4" t="s">
        <v>25</v>
      </c>
      <c r="H46" s="4" t="s">
        <v>25</v>
      </c>
      <c r="I46" s="5">
        <v>44531</v>
      </c>
      <c r="J46" s="6">
        <v>0</v>
      </c>
      <c r="K46" s="6">
        <v>0</v>
      </c>
      <c r="L46" s="6">
        <v>8.0709999999999997</v>
      </c>
      <c r="M46" s="6">
        <v>8.0709999999999997</v>
      </c>
      <c r="N46" s="6">
        <v>8.0709999999999997</v>
      </c>
      <c r="O46" s="6">
        <v>8.0709999999999997</v>
      </c>
      <c r="P46" s="6">
        <v>84</v>
      </c>
      <c r="Q46" s="4" t="s">
        <v>26</v>
      </c>
      <c r="R46" s="4">
        <v>0</v>
      </c>
      <c r="S46" s="4">
        <v>0</v>
      </c>
      <c r="T46" s="4">
        <v>20</v>
      </c>
      <c r="U46" s="4">
        <v>57</v>
      </c>
      <c r="V46" s="6">
        <f>IF(ISERROR(VLOOKUP($S$46,'TAR FIN'!$A$1:$O$85,15,0)),0,VLOOKUP($S$46,'TAR FIN'!$A$1:$O$85,15,0))</f>
        <v>0</v>
      </c>
      <c r="W46" s="6">
        <f>IF(ISERROR(VLOOKUP($T$46,'TAR FIN'!$A$1:$O$85,15,0)),0,VLOOKUP($T$46,'TAR FIN'!$A$1:$O$85,15,0))</f>
        <v>474.57</v>
      </c>
      <c r="X46" s="6">
        <f>IF(ISERROR(VLOOKUP($U$46,'TAR FIN'!$A$1:$O$85,15,0)),0,VLOOKUP($U$46,'TAR FIN'!$A$1:$O$85,15,0))</f>
        <v>251.85</v>
      </c>
      <c r="Y46" s="6"/>
      <c r="Z46" s="6">
        <f ca="1">('TUSD BE'!$AM$24+'TUSD BF'!$AM$24+'TUSD CVA'!$AM$24-('TUSD BE'!$P$24+'TUSD BF'!$P$24+'TUSD CVA'!$P$24)-('TUSD BE'!$Q$24+'TUSD BF'!$Q$24+'TUSD CVA'!$Q$24)-('TUSD BE'!$R$24+'TUSD BF'!$R$24+'TUSD CVA'!$R$24))*(1-CUSTOS!$M$37)</f>
        <v>602.24253834016474</v>
      </c>
      <c r="AA46" s="6">
        <f>('TE BE'!$AA$15+'TE BF'!$AA$15+'TE CVA'!$AA$15)*(1-CUSTOS!$M$37)</f>
        <v>256.69216484835653</v>
      </c>
      <c r="AB46" s="6">
        <f t="shared" si="4"/>
        <v>0</v>
      </c>
      <c r="AC46" s="6">
        <f>(L46-M46)*(W46+X46)+($W$39+$X$39-$W$46-$X$46)*(L46)</f>
        <v>-2.2939161681279074E-13</v>
      </c>
      <c r="AD46" s="6">
        <f t="shared" si="5"/>
        <v>0</v>
      </c>
      <c r="AE46" s="6">
        <f ca="1">(L46-M46)*(Z46+AA46)+($Z$39+$AA$39-$Z$46-$AA$46)*(L46)</f>
        <v>4.5878323362558147E-13</v>
      </c>
      <c r="AF46" s="4" t="s">
        <v>704</v>
      </c>
    </row>
    <row r="47" spans="1:32" ht="11.25" customHeight="1" x14ac:dyDescent="0.25">
      <c r="A47" s="4" t="s">
        <v>21</v>
      </c>
      <c r="B47" s="4" t="s">
        <v>22</v>
      </c>
      <c r="C47" s="4" t="s">
        <v>23</v>
      </c>
      <c r="D47" s="4" t="s">
        <v>24</v>
      </c>
      <c r="E47" s="4" t="s">
        <v>31</v>
      </c>
      <c r="F47" s="4" t="s">
        <v>25</v>
      </c>
      <c r="G47" s="4" t="s">
        <v>25</v>
      </c>
      <c r="H47" s="4" t="s">
        <v>25</v>
      </c>
      <c r="I47" s="5">
        <v>44562</v>
      </c>
      <c r="J47" s="6">
        <v>0</v>
      </c>
      <c r="K47" s="6">
        <v>0</v>
      </c>
      <c r="L47" s="6">
        <v>8.3030000000000008</v>
      </c>
      <c r="M47" s="6">
        <v>8.3030000000000008</v>
      </c>
      <c r="N47" s="6">
        <v>8.3030000000000008</v>
      </c>
      <c r="O47" s="6">
        <v>8.3030000000000008</v>
      </c>
      <c r="P47" s="6">
        <v>80</v>
      </c>
      <c r="Q47" s="4" t="s">
        <v>26</v>
      </c>
      <c r="R47" s="4">
        <v>0</v>
      </c>
      <c r="S47" s="4">
        <v>0</v>
      </c>
      <c r="T47" s="4">
        <v>20</v>
      </c>
      <c r="U47" s="4">
        <v>57</v>
      </c>
      <c r="V47" s="6">
        <f>IF(ISERROR(VLOOKUP($S$47,'TAR FIN'!$A$1:$O$85,15,0)),0,VLOOKUP($S$47,'TAR FIN'!$A$1:$O$85,15,0))</f>
        <v>0</v>
      </c>
      <c r="W47" s="6">
        <f>IF(ISERROR(VLOOKUP($T$47,'TAR FIN'!$A$1:$O$85,15,0)),0,VLOOKUP($T$47,'TAR FIN'!$A$1:$O$85,15,0))</f>
        <v>474.57</v>
      </c>
      <c r="X47" s="6">
        <f>IF(ISERROR(VLOOKUP($U$47,'TAR FIN'!$A$1:$O$85,15,0)),0,VLOOKUP($U$47,'TAR FIN'!$A$1:$O$85,15,0))</f>
        <v>251.85</v>
      </c>
      <c r="Y47" s="6"/>
      <c r="Z47" s="6">
        <f ca="1">('TUSD BE'!$AM$24+'TUSD BF'!$AM$24+'TUSD CVA'!$AM$24-('TUSD BE'!$P$24+'TUSD BF'!$P$24+'TUSD CVA'!$P$24)-('TUSD BE'!$Q$24+'TUSD BF'!$Q$24+'TUSD CVA'!$Q$24)-('TUSD BE'!$R$24+'TUSD BF'!$R$24+'TUSD CVA'!$R$24))*(1-CUSTOS!$M$37)</f>
        <v>602.24253834016474</v>
      </c>
      <c r="AA47" s="6">
        <f>('TE BE'!$AA$15+'TE BF'!$AA$15+'TE CVA'!$AA$15)*(1-CUSTOS!$M$37)</f>
        <v>256.69216484835653</v>
      </c>
      <c r="AB47" s="6">
        <f t="shared" si="4"/>
        <v>0</v>
      </c>
      <c r="AC47" s="6">
        <f>(L47-M47)*(W47+X47)+($W$39+$X$39-$W$47-$X$47)*(L47)</f>
        <v>-2.359854534006445E-13</v>
      </c>
      <c r="AD47" s="6">
        <f t="shared" si="5"/>
        <v>0</v>
      </c>
      <c r="AE47" s="6">
        <f ca="1">(L47-M47)*(Z47+AA47)+($Z$39+$AA$39-$Z$47-$AA$47)*(L47)</f>
        <v>4.7197090680128899E-13</v>
      </c>
      <c r="AF47" s="4" t="s">
        <v>704</v>
      </c>
    </row>
    <row r="48" spans="1:32" ht="11.25" customHeight="1" x14ac:dyDescent="0.25">
      <c r="A48" s="4" t="s">
        <v>21</v>
      </c>
      <c r="B48" s="4" t="s">
        <v>22</v>
      </c>
      <c r="C48" s="4" t="s">
        <v>23</v>
      </c>
      <c r="D48" s="4" t="s">
        <v>24</v>
      </c>
      <c r="E48" s="4" t="s">
        <v>31</v>
      </c>
      <c r="F48" s="4" t="s">
        <v>25</v>
      </c>
      <c r="G48" s="4" t="s">
        <v>25</v>
      </c>
      <c r="H48" s="4" t="s">
        <v>25</v>
      </c>
      <c r="I48" s="5">
        <v>44593</v>
      </c>
      <c r="J48" s="6">
        <v>0</v>
      </c>
      <c r="K48" s="6">
        <v>0</v>
      </c>
      <c r="L48" s="6">
        <v>10.814</v>
      </c>
      <c r="M48" s="6">
        <v>10.814</v>
      </c>
      <c r="N48" s="6">
        <v>10.814</v>
      </c>
      <c r="O48" s="6">
        <v>10.814</v>
      </c>
      <c r="P48" s="6">
        <v>72</v>
      </c>
      <c r="Q48" s="4" t="s">
        <v>26</v>
      </c>
      <c r="R48" s="4">
        <v>0</v>
      </c>
      <c r="S48" s="4">
        <v>0</v>
      </c>
      <c r="T48" s="4">
        <v>20</v>
      </c>
      <c r="U48" s="4">
        <v>57</v>
      </c>
      <c r="V48" s="6">
        <f>IF(ISERROR(VLOOKUP($S$48,'TAR FIN'!$A$1:$O$85,15,0)),0,VLOOKUP($S$48,'TAR FIN'!$A$1:$O$85,15,0))</f>
        <v>0</v>
      </c>
      <c r="W48" s="6">
        <f>IF(ISERROR(VLOOKUP($T$48,'TAR FIN'!$A$1:$O$85,15,0)),0,VLOOKUP($T$48,'TAR FIN'!$A$1:$O$85,15,0))</f>
        <v>474.57</v>
      </c>
      <c r="X48" s="6">
        <f>IF(ISERROR(VLOOKUP($U$48,'TAR FIN'!$A$1:$O$85,15,0)),0,VLOOKUP($U$48,'TAR FIN'!$A$1:$O$85,15,0))</f>
        <v>251.85</v>
      </c>
      <c r="Y48" s="6"/>
      <c r="Z48" s="6">
        <f ca="1">('TUSD BE'!$AM$24+'TUSD BF'!$AM$24+'TUSD CVA'!$AM$24-('TUSD BE'!$P$24+'TUSD BF'!$P$24+'TUSD CVA'!$P$24)-('TUSD BE'!$Q$24+'TUSD BF'!$Q$24+'TUSD CVA'!$Q$24)-('TUSD BE'!$R$24+'TUSD BF'!$R$24+'TUSD CVA'!$R$24))*(1-CUSTOS!$M$37)</f>
        <v>602.24253834016474</v>
      </c>
      <c r="AA48" s="6">
        <f>('TE BE'!$AA$15+'TE BF'!$AA$15+'TE CVA'!$AA$15)*(1-CUSTOS!$M$37)</f>
        <v>256.69216484835653</v>
      </c>
      <c r="AB48" s="6">
        <f t="shared" si="4"/>
        <v>0</v>
      </c>
      <c r="AC48" s="6">
        <f>(L48-M48)*(W48+X48)+($W$39+$X$39-$W$48-$X$48)*(L48)</f>
        <v>-3.0735236578038894E-13</v>
      </c>
      <c r="AD48" s="6">
        <f t="shared" si="5"/>
        <v>0</v>
      </c>
      <c r="AE48" s="6">
        <f ca="1">(L48-M48)*(Z48+AA48)+($Z$39+$AA$39-$Z$48-$AA$48)*(L48)</f>
        <v>6.1470473156077788E-13</v>
      </c>
      <c r="AF48" s="4" t="s">
        <v>704</v>
      </c>
    </row>
    <row r="49" spans="1:32" ht="11.25" customHeight="1" x14ac:dyDescent="0.25">
      <c r="A49" s="4" t="s">
        <v>21</v>
      </c>
      <c r="B49" s="4" t="s">
        <v>22</v>
      </c>
      <c r="C49" s="4" t="s">
        <v>23</v>
      </c>
      <c r="D49" s="4" t="s">
        <v>24</v>
      </c>
      <c r="E49" s="4" t="s">
        <v>31</v>
      </c>
      <c r="F49" s="4" t="s">
        <v>25</v>
      </c>
      <c r="G49" s="4" t="s">
        <v>25</v>
      </c>
      <c r="H49" s="4" t="s">
        <v>25</v>
      </c>
      <c r="I49" s="5">
        <v>44621</v>
      </c>
      <c r="J49" s="6">
        <v>0</v>
      </c>
      <c r="K49" s="6">
        <v>0</v>
      </c>
      <c r="L49" s="6">
        <v>16.321000000000002</v>
      </c>
      <c r="M49" s="6">
        <v>16.321000000000002</v>
      </c>
      <c r="N49" s="6">
        <v>16.321000000000002</v>
      </c>
      <c r="O49" s="6">
        <v>16.321000000000002</v>
      </c>
      <c r="P49" s="6">
        <v>123</v>
      </c>
      <c r="Q49" s="4" t="s">
        <v>26</v>
      </c>
      <c r="R49" s="4">
        <v>0</v>
      </c>
      <c r="S49" s="4">
        <v>0</v>
      </c>
      <c r="T49" s="4">
        <v>20</v>
      </c>
      <c r="U49" s="4">
        <v>57</v>
      </c>
      <c r="V49" s="6">
        <f>IF(ISERROR(VLOOKUP($S$49,'TAR FIN'!$A$1:$O$85,15,0)),0,VLOOKUP($S$49,'TAR FIN'!$A$1:$O$85,15,0))</f>
        <v>0</v>
      </c>
      <c r="W49" s="6">
        <f>IF(ISERROR(VLOOKUP($T$49,'TAR FIN'!$A$1:$O$85,15,0)),0,VLOOKUP($T$49,'TAR FIN'!$A$1:$O$85,15,0))</f>
        <v>474.57</v>
      </c>
      <c r="X49" s="6">
        <f>IF(ISERROR(VLOOKUP($U$49,'TAR FIN'!$A$1:$O$85,15,0)),0,VLOOKUP($U$49,'TAR FIN'!$A$1:$O$85,15,0))</f>
        <v>251.85</v>
      </c>
      <c r="Y49" s="6"/>
      <c r="Z49" s="6">
        <f ca="1">('TUSD BE'!$AM$24+'TUSD BF'!$AM$24+'TUSD CVA'!$AM$24-('TUSD BE'!$P$24+'TUSD BF'!$P$24+'TUSD CVA'!$P$24)-('TUSD BE'!$Q$24+'TUSD BF'!$Q$24+'TUSD CVA'!$Q$24)-('TUSD BE'!$R$24+'TUSD BF'!$R$24+'TUSD CVA'!$R$24))*(1-CUSTOS!$M$37)</f>
        <v>602.24253834016474</v>
      </c>
      <c r="AA49" s="6">
        <f>('TE BE'!$AA$15+'TE BF'!$AA$15+'TE CVA'!$AA$15)*(1-CUSTOS!$M$37)</f>
        <v>256.69216484835653</v>
      </c>
      <c r="AB49" s="6">
        <f t="shared" si="4"/>
        <v>0</v>
      </c>
      <c r="AC49" s="6">
        <f>(L49-M49)*(W49+X49)+($W$39+$X$39-$W$49-$X$49)*(L49)</f>
        <v>-4.6387071961362385E-13</v>
      </c>
      <c r="AD49" s="6">
        <f t="shared" si="5"/>
        <v>0</v>
      </c>
      <c r="AE49" s="6">
        <f ca="1">(L49-M49)*(Z49+AA49)+($Z$39+$AA$39-$Z$49-$AA$49)*(L49)</f>
        <v>9.277414392272477E-13</v>
      </c>
      <c r="AF49" s="4" t="s">
        <v>704</v>
      </c>
    </row>
    <row r="50" spans="1:32" ht="11.25" customHeight="1" x14ac:dyDescent="0.25">
      <c r="A50" s="4" t="s">
        <v>21</v>
      </c>
      <c r="B50" s="4" t="s">
        <v>22</v>
      </c>
      <c r="C50" s="4" t="s">
        <v>23</v>
      </c>
      <c r="D50" s="4" t="s">
        <v>24</v>
      </c>
      <c r="E50" s="4" t="s">
        <v>31</v>
      </c>
      <c r="F50" s="4" t="s">
        <v>25</v>
      </c>
      <c r="G50" s="4" t="s">
        <v>25</v>
      </c>
      <c r="H50" s="4" t="s">
        <v>25</v>
      </c>
      <c r="I50" s="5">
        <v>44652</v>
      </c>
      <c r="J50" s="6">
        <v>0</v>
      </c>
      <c r="K50" s="6">
        <v>0</v>
      </c>
      <c r="L50" s="6">
        <v>14.085000000000001</v>
      </c>
      <c r="M50" s="6">
        <v>14.085000000000001</v>
      </c>
      <c r="N50" s="6">
        <v>14.085000000000001</v>
      </c>
      <c r="O50" s="6">
        <v>14.085000000000001</v>
      </c>
      <c r="P50" s="6">
        <v>106</v>
      </c>
      <c r="Q50" s="4" t="s">
        <v>26</v>
      </c>
      <c r="R50" s="4">
        <v>0</v>
      </c>
      <c r="S50" s="4">
        <v>0</v>
      </c>
      <c r="T50" s="4">
        <v>20</v>
      </c>
      <c r="U50" s="4">
        <v>57</v>
      </c>
      <c r="V50" s="6">
        <f>IF(ISERROR(VLOOKUP($S$50,'TAR FIN'!$A$1:$O$85,15,0)),0,VLOOKUP($S$50,'TAR FIN'!$A$1:$O$85,15,0))</f>
        <v>0</v>
      </c>
      <c r="W50" s="6">
        <f>IF(ISERROR(VLOOKUP($T$50,'TAR FIN'!$A$1:$O$85,15,0)),0,VLOOKUP($T$50,'TAR FIN'!$A$1:$O$85,15,0))</f>
        <v>474.57</v>
      </c>
      <c r="X50" s="6">
        <f>IF(ISERROR(VLOOKUP($U$50,'TAR FIN'!$A$1:$O$85,15,0)),0,VLOOKUP($U$50,'TAR FIN'!$A$1:$O$85,15,0))</f>
        <v>251.85</v>
      </c>
      <c r="Y50" s="6"/>
      <c r="Z50" s="6">
        <f ca="1">('TUSD BE'!$AM$24+'TUSD BF'!$AM$24+'TUSD CVA'!$AM$24-('TUSD BE'!$P$24+'TUSD BF'!$P$24+'TUSD CVA'!$P$24)-('TUSD BE'!$Q$24+'TUSD BF'!$Q$24+'TUSD CVA'!$Q$24)-('TUSD BE'!$R$24+'TUSD BF'!$R$24+'TUSD CVA'!$R$24))*(1-CUSTOS!$M$37)</f>
        <v>602.24253834016474</v>
      </c>
      <c r="AA50" s="6">
        <f>('TE BE'!$AA$15+'TE BF'!$AA$15+'TE CVA'!$AA$15)*(1-CUSTOS!$M$37)</f>
        <v>256.69216484835653</v>
      </c>
      <c r="AB50" s="6">
        <f t="shared" si="4"/>
        <v>0</v>
      </c>
      <c r="AC50" s="6">
        <f>(L50-M50)*(W50+X50)+($W$39+$X$39-$W$50-$X$50)*(L50)</f>
        <v>-4.0031977732724047E-13</v>
      </c>
      <c r="AD50" s="6">
        <f t="shared" si="5"/>
        <v>0</v>
      </c>
      <c r="AE50" s="6">
        <f ca="1">(L50-M50)*(Z50+AA50)+($Z$39+$AA$39-$Z$50-$AA$50)*(L50)</f>
        <v>8.0063955465448094E-13</v>
      </c>
      <c r="AF50" s="4" t="s">
        <v>704</v>
      </c>
    </row>
    <row r="51" spans="1:32" ht="11.25" customHeight="1" x14ac:dyDescent="0.25">
      <c r="A51" s="4" t="s">
        <v>21</v>
      </c>
      <c r="B51" s="4" t="s">
        <v>41</v>
      </c>
      <c r="C51" s="4" t="s">
        <v>39</v>
      </c>
      <c r="D51" s="4" t="s">
        <v>42</v>
      </c>
      <c r="E51" s="4" t="s">
        <v>25</v>
      </c>
      <c r="F51" s="4" t="s">
        <v>25</v>
      </c>
      <c r="G51" s="4" t="s">
        <v>25</v>
      </c>
      <c r="H51" s="4" t="s">
        <v>37</v>
      </c>
      <c r="I51" s="5">
        <v>44317</v>
      </c>
      <c r="J51" s="6">
        <v>0</v>
      </c>
      <c r="K51" s="6">
        <v>0</v>
      </c>
      <c r="L51" s="6">
        <v>0.35799999999999998</v>
      </c>
      <c r="M51" s="6">
        <v>0.35799999999999998</v>
      </c>
      <c r="N51" s="6">
        <v>0.35799999999999998</v>
      </c>
      <c r="O51" s="6">
        <v>0.35799999999999998</v>
      </c>
      <c r="P51" s="6">
        <v>0</v>
      </c>
      <c r="Q51" s="4" t="s">
        <v>26</v>
      </c>
      <c r="R51" s="4">
        <v>0</v>
      </c>
      <c r="S51" s="4">
        <v>0</v>
      </c>
      <c r="T51" s="4">
        <v>28</v>
      </c>
      <c r="U51" s="4">
        <v>65</v>
      </c>
      <c r="V51" s="6">
        <f>IF(ISERROR(VLOOKUP($S$51,'TAR FIN'!$A$1:$O$85,15,0)),0,VLOOKUP($S$51,'TAR FIN'!$A$1:$O$85,15,0))</f>
        <v>0</v>
      </c>
      <c r="W51" s="6">
        <f>IF(ISERROR(VLOOKUP($T$51,'TAR FIN'!$A$1:$O$85,15,0)),0,VLOOKUP($T$51,'TAR FIN'!$A$1:$O$85,15,0))</f>
        <v>268.26</v>
      </c>
      <c r="X51" s="6">
        <f>IF(ISERROR(VLOOKUP($U$51,'TAR FIN'!$A$1:$O$85,15,0)),0,VLOOKUP($U$51,'TAR FIN'!$A$1:$O$85,15,0))</f>
        <v>221.63</v>
      </c>
      <c r="Y51" s="6"/>
      <c r="Z51" s="6">
        <f ca="1">('TUSD BE'!$AM$32+'TUSD BF'!$AM$32+'TUSD CVA'!$AM$32)*(1-CUSTOS!$M$38)</f>
        <v>371.5935842549016</v>
      </c>
      <c r="AA51" s="6">
        <f>('TE BE'!$AA$23+'TE BF'!$AA$23+'TE CVA'!$AA$23)*(1-CUSTOS!$M$38)</f>
        <v>241.29063495745513</v>
      </c>
      <c r="AB51" s="6">
        <f t="shared" si="4"/>
        <v>0</v>
      </c>
      <c r="AC51" s="6">
        <f>(L51*W51+M51*X51)/(1-CUSTOS!$M$38)*CUSTOS!$M$38</f>
        <v>11.194507659574466</v>
      </c>
      <c r="AD51" s="6">
        <f t="shared" si="5"/>
        <v>0</v>
      </c>
      <c r="AE51" s="6">
        <f ca="1">(L51*Z51+N51*AA51)/(1-CUSTOS!$M$38)*CUSTOS!$M$38</f>
        <v>14.005056413490873</v>
      </c>
      <c r="AF51" s="4" t="s">
        <v>705</v>
      </c>
    </row>
    <row r="52" spans="1:32" ht="11.25" customHeight="1" x14ac:dyDescent="0.25">
      <c r="A52" s="4" t="s">
        <v>21</v>
      </c>
      <c r="B52" s="4" t="s">
        <v>41</v>
      </c>
      <c r="C52" s="4" t="s">
        <v>39</v>
      </c>
      <c r="D52" s="4" t="s">
        <v>42</v>
      </c>
      <c r="E52" s="4" t="s">
        <v>25</v>
      </c>
      <c r="F52" s="4" t="s">
        <v>25</v>
      </c>
      <c r="G52" s="4" t="s">
        <v>25</v>
      </c>
      <c r="H52" s="4" t="s">
        <v>37</v>
      </c>
      <c r="I52" s="5">
        <v>44348</v>
      </c>
      <c r="J52" s="6">
        <v>0</v>
      </c>
      <c r="K52" s="6">
        <v>0</v>
      </c>
      <c r="L52" s="6">
        <v>0.311</v>
      </c>
      <c r="M52" s="6">
        <v>0.311</v>
      </c>
      <c r="N52" s="6">
        <v>0.311</v>
      </c>
      <c r="O52" s="6">
        <v>0.311</v>
      </c>
      <c r="P52" s="6">
        <v>0</v>
      </c>
      <c r="Q52" s="4" t="s">
        <v>26</v>
      </c>
      <c r="R52" s="4">
        <v>0</v>
      </c>
      <c r="S52" s="4">
        <v>0</v>
      </c>
      <c r="T52" s="4">
        <v>28</v>
      </c>
      <c r="U52" s="4">
        <v>65</v>
      </c>
      <c r="V52" s="6">
        <f>IF(ISERROR(VLOOKUP($S$52,'TAR FIN'!$A$1:$O$85,15,0)),0,VLOOKUP($S$52,'TAR FIN'!$A$1:$O$85,15,0))</f>
        <v>0</v>
      </c>
      <c r="W52" s="6">
        <f>IF(ISERROR(VLOOKUP($T$52,'TAR FIN'!$A$1:$O$85,15,0)),0,VLOOKUP($T$52,'TAR FIN'!$A$1:$O$85,15,0))</f>
        <v>268.26</v>
      </c>
      <c r="X52" s="6">
        <f>IF(ISERROR(VLOOKUP($U$52,'TAR FIN'!$A$1:$O$85,15,0)),0,VLOOKUP($U$52,'TAR FIN'!$A$1:$O$85,15,0))</f>
        <v>221.63</v>
      </c>
      <c r="Y52" s="6"/>
      <c r="Z52" s="6">
        <f ca="1">('TUSD BE'!$AM$32+'TUSD BF'!$AM$32+'TUSD CVA'!$AM$32)*(1-CUSTOS!$M$38)</f>
        <v>371.5935842549016</v>
      </c>
      <c r="AA52" s="6">
        <f>('TE BE'!$AA$23+'TE BF'!$AA$23+'TE CVA'!$AA$23)*(1-CUSTOS!$M$38)</f>
        <v>241.29063495745513</v>
      </c>
      <c r="AB52" s="6">
        <f t="shared" si="4"/>
        <v>0</v>
      </c>
      <c r="AC52" s="6">
        <f>(L52*W52+M52*X52)/(1-CUSTOS!$M$38)*CUSTOS!$M$38</f>
        <v>9.7248376595744705</v>
      </c>
      <c r="AD52" s="6">
        <f t="shared" si="5"/>
        <v>0</v>
      </c>
      <c r="AE52" s="6">
        <f ca="1">(L52*Z52+N52*AA52)/(1-CUSTOS!$M$38)*CUSTOS!$M$38</f>
        <v>12.166403755853805</v>
      </c>
      <c r="AF52" s="4" t="s">
        <v>705</v>
      </c>
    </row>
    <row r="53" spans="1:32" ht="11.25" customHeight="1" x14ac:dyDescent="0.25">
      <c r="A53" s="4" t="s">
        <v>21</v>
      </c>
      <c r="B53" s="4" t="s">
        <v>41</v>
      </c>
      <c r="C53" s="4" t="s">
        <v>39</v>
      </c>
      <c r="D53" s="4" t="s">
        <v>42</v>
      </c>
      <c r="E53" s="4" t="s">
        <v>25</v>
      </c>
      <c r="F53" s="4" t="s">
        <v>25</v>
      </c>
      <c r="G53" s="4" t="s">
        <v>25</v>
      </c>
      <c r="H53" s="4" t="s">
        <v>37</v>
      </c>
      <c r="I53" s="5">
        <v>44378</v>
      </c>
      <c r="J53" s="6">
        <v>0</v>
      </c>
      <c r="K53" s="6">
        <v>0</v>
      </c>
      <c r="L53" s="6">
        <v>0.41899999999999998</v>
      </c>
      <c r="M53" s="6">
        <v>0.41899999999999998</v>
      </c>
      <c r="N53" s="6">
        <v>0.41899999999999998</v>
      </c>
      <c r="O53" s="6">
        <v>0.41899999999999998</v>
      </c>
      <c r="P53" s="6">
        <v>0</v>
      </c>
      <c r="Q53" s="4" t="s">
        <v>26</v>
      </c>
      <c r="R53" s="4">
        <v>0</v>
      </c>
      <c r="S53" s="4">
        <v>0</v>
      </c>
      <c r="T53" s="4">
        <v>28</v>
      </c>
      <c r="U53" s="4">
        <v>65</v>
      </c>
      <c r="V53" s="6">
        <f>IF(ISERROR(VLOOKUP($S$53,'TAR FIN'!$A$1:$O$85,15,0)),0,VLOOKUP($S$53,'TAR FIN'!$A$1:$O$85,15,0))</f>
        <v>0</v>
      </c>
      <c r="W53" s="6">
        <f>IF(ISERROR(VLOOKUP($T$53,'TAR FIN'!$A$1:$O$85,15,0)),0,VLOOKUP($T$53,'TAR FIN'!$A$1:$O$85,15,0))</f>
        <v>268.26</v>
      </c>
      <c r="X53" s="6">
        <f>IF(ISERROR(VLOOKUP($U$53,'TAR FIN'!$A$1:$O$85,15,0)),0,VLOOKUP($U$53,'TAR FIN'!$A$1:$O$85,15,0))</f>
        <v>221.63</v>
      </c>
      <c r="Y53" s="6"/>
      <c r="Z53" s="6">
        <f ca="1">('TUSD BE'!$AM$32+'TUSD BF'!$AM$32+'TUSD CVA'!$AM$32)*(1-CUSTOS!$M$38)</f>
        <v>371.5935842549016</v>
      </c>
      <c r="AA53" s="6">
        <f>('TE BE'!$AA$23+'TE BF'!$AA$23+'TE CVA'!$AA$23)*(1-CUSTOS!$M$38)</f>
        <v>241.29063495745513</v>
      </c>
      <c r="AB53" s="6">
        <f t="shared" si="4"/>
        <v>0</v>
      </c>
      <c r="AC53" s="6">
        <f>(L53*W53+M53*X53)/(1-CUSTOS!$M$38)*CUSTOS!$M$38</f>
        <v>13.101951702127659</v>
      </c>
      <c r="AD53" s="6">
        <f t="shared" si="5"/>
        <v>0</v>
      </c>
      <c r="AE53" s="6">
        <f ca="1">(L53*Z53+N53*AA53)/(1-CUSTOS!$M$38)*CUSTOS!$M$38</f>
        <v>16.391392841487921</v>
      </c>
      <c r="AF53" s="4" t="s">
        <v>705</v>
      </c>
    </row>
    <row r="54" spans="1:32" ht="11.25" customHeight="1" x14ac:dyDescent="0.25">
      <c r="A54" s="4" t="s">
        <v>21</v>
      </c>
      <c r="B54" s="4" t="s">
        <v>41</v>
      </c>
      <c r="C54" s="4" t="s">
        <v>39</v>
      </c>
      <c r="D54" s="4" t="s">
        <v>42</v>
      </c>
      <c r="E54" s="4" t="s">
        <v>25</v>
      </c>
      <c r="F54" s="4" t="s">
        <v>25</v>
      </c>
      <c r="G54" s="4" t="s">
        <v>25</v>
      </c>
      <c r="H54" s="4" t="s">
        <v>37</v>
      </c>
      <c r="I54" s="5">
        <v>44409</v>
      </c>
      <c r="J54" s="6">
        <v>0</v>
      </c>
      <c r="K54" s="6">
        <v>0</v>
      </c>
      <c r="L54" s="6">
        <v>0.36899999999999999</v>
      </c>
      <c r="M54" s="6">
        <v>0.36899999999999999</v>
      </c>
      <c r="N54" s="6">
        <v>0.36899999999999999</v>
      </c>
      <c r="O54" s="6">
        <v>0.36899999999999999</v>
      </c>
      <c r="P54" s="6">
        <v>0</v>
      </c>
      <c r="Q54" s="4" t="s">
        <v>26</v>
      </c>
      <c r="R54" s="4">
        <v>0</v>
      </c>
      <c r="S54" s="4">
        <v>0</v>
      </c>
      <c r="T54" s="4">
        <v>28</v>
      </c>
      <c r="U54" s="4">
        <v>65</v>
      </c>
      <c r="V54" s="6">
        <f>IF(ISERROR(VLOOKUP($S$54,'TAR FIN'!$A$1:$O$85,15,0)),0,VLOOKUP($S$54,'TAR FIN'!$A$1:$O$85,15,0))</f>
        <v>0</v>
      </c>
      <c r="W54" s="6">
        <f>IF(ISERROR(VLOOKUP($T$54,'TAR FIN'!$A$1:$O$85,15,0)),0,VLOOKUP($T$54,'TAR FIN'!$A$1:$O$85,15,0))</f>
        <v>268.26</v>
      </c>
      <c r="X54" s="6">
        <f>IF(ISERROR(VLOOKUP($U$54,'TAR FIN'!$A$1:$O$85,15,0)),0,VLOOKUP($U$54,'TAR FIN'!$A$1:$O$85,15,0))</f>
        <v>221.63</v>
      </c>
      <c r="Y54" s="6"/>
      <c r="Z54" s="6">
        <f ca="1">('TUSD BE'!$AM$32+'TUSD BF'!$AM$32+'TUSD CVA'!$AM$32)*(1-CUSTOS!$M$38)</f>
        <v>371.5935842549016</v>
      </c>
      <c r="AA54" s="6">
        <f>('TE BE'!$AA$23+'TE BF'!$AA$23+'TE CVA'!$AA$23)*(1-CUSTOS!$M$38)</f>
        <v>241.29063495745513</v>
      </c>
      <c r="AB54" s="6">
        <f t="shared" si="4"/>
        <v>0</v>
      </c>
      <c r="AC54" s="6">
        <f>(L54*W54+M54*X54)/(1-CUSTOS!$M$38)*CUSTOS!$M$38</f>
        <v>11.538472978723403</v>
      </c>
      <c r="AD54" s="6">
        <f t="shared" si="5"/>
        <v>0</v>
      </c>
      <c r="AE54" s="6">
        <f ca="1">(L54*Z54+N54*AA54)/(1-CUSTOS!$M$38)*CUSTOS!$M$38</f>
        <v>14.435379375916572</v>
      </c>
      <c r="AF54" s="4" t="s">
        <v>705</v>
      </c>
    </row>
    <row r="55" spans="1:32" ht="11.25" customHeight="1" x14ac:dyDescent="0.25">
      <c r="A55" s="4" t="s">
        <v>21</v>
      </c>
      <c r="B55" s="4" t="s">
        <v>41</v>
      </c>
      <c r="C55" s="4" t="s">
        <v>39</v>
      </c>
      <c r="D55" s="4" t="s">
        <v>42</v>
      </c>
      <c r="E55" s="4" t="s">
        <v>25</v>
      </c>
      <c r="F55" s="4" t="s">
        <v>25</v>
      </c>
      <c r="G55" s="4" t="s">
        <v>25</v>
      </c>
      <c r="H55" s="4" t="s">
        <v>37</v>
      </c>
      <c r="I55" s="5">
        <v>44440</v>
      </c>
      <c r="J55" s="6">
        <v>0</v>
      </c>
      <c r="K55" s="6">
        <v>0</v>
      </c>
      <c r="L55" s="6">
        <v>0.7</v>
      </c>
      <c r="M55" s="6">
        <v>0.7</v>
      </c>
      <c r="N55" s="6">
        <v>0.7</v>
      </c>
      <c r="O55" s="6">
        <v>0.7</v>
      </c>
      <c r="P55" s="6">
        <v>0</v>
      </c>
      <c r="Q55" s="4" t="s">
        <v>26</v>
      </c>
      <c r="R55" s="4">
        <v>0</v>
      </c>
      <c r="S55" s="4">
        <v>0</v>
      </c>
      <c r="T55" s="4">
        <v>28</v>
      </c>
      <c r="U55" s="4">
        <v>65</v>
      </c>
      <c r="V55" s="6">
        <f>IF(ISERROR(VLOOKUP($S$55,'TAR FIN'!$A$1:$O$85,15,0)),0,VLOOKUP($S$55,'TAR FIN'!$A$1:$O$85,15,0))</f>
        <v>0</v>
      </c>
      <c r="W55" s="6">
        <f>IF(ISERROR(VLOOKUP($T$55,'TAR FIN'!$A$1:$O$85,15,0)),0,VLOOKUP($T$55,'TAR FIN'!$A$1:$O$85,15,0))</f>
        <v>268.26</v>
      </c>
      <c r="X55" s="6">
        <f>IF(ISERROR(VLOOKUP($U$55,'TAR FIN'!$A$1:$O$85,15,0)),0,VLOOKUP($U$55,'TAR FIN'!$A$1:$O$85,15,0))</f>
        <v>221.63</v>
      </c>
      <c r="Y55" s="6"/>
      <c r="Z55" s="6">
        <f ca="1">('TUSD BE'!$AM$32+'TUSD BF'!$AM$32+'TUSD CVA'!$AM$32)*(1-CUSTOS!$M$38)</f>
        <v>371.5935842549016</v>
      </c>
      <c r="AA55" s="6">
        <f>('TE BE'!$AA$23+'TE BF'!$AA$23+'TE CVA'!$AA$23)*(1-CUSTOS!$M$38)</f>
        <v>241.29063495745513</v>
      </c>
      <c r="AB55" s="6">
        <f t="shared" si="4"/>
        <v>0</v>
      </c>
      <c r="AC55" s="6">
        <f>(L55*W55+M55*X55)/(1-CUSTOS!$M$38)*CUSTOS!$M$38</f>
        <v>21.888702127659574</v>
      </c>
      <c r="AD55" s="6">
        <f t="shared" si="5"/>
        <v>0</v>
      </c>
      <c r="AE55" s="6">
        <f ca="1">(L55*Z55+N55*AA55)/(1-CUSTOS!$M$38)*CUSTOS!$M$38</f>
        <v>27.384188517998915</v>
      </c>
      <c r="AF55" s="4" t="s">
        <v>705</v>
      </c>
    </row>
    <row r="56" spans="1:32" ht="11.25" customHeight="1" x14ac:dyDescent="0.25">
      <c r="A56" s="4" t="s">
        <v>21</v>
      </c>
      <c r="B56" s="4" t="s">
        <v>41</v>
      </c>
      <c r="C56" s="4" t="s">
        <v>39</v>
      </c>
      <c r="D56" s="4" t="s">
        <v>42</v>
      </c>
      <c r="E56" s="4" t="s">
        <v>25</v>
      </c>
      <c r="F56" s="4" t="s">
        <v>25</v>
      </c>
      <c r="G56" s="4" t="s">
        <v>25</v>
      </c>
      <c r="H56" s="4" t="s">
        <v>37</v>
      </c>
      <c r="I56" s="5">
        <v>44470</v>
      </c>
      <c r="J56" s="6">
        <v>0</v>
      </c>
      <c r="K56" s="6">
        <v>0</v>
      </c>
      <c r="L56" s="6">
        <v>2.4430000000000001</v>
      </c>
      <c r="M56" s="6">
        <v>2.4430000000000001</v>
      </c>
      <c r="N56" s="6">
        <v>2.4430000000000001</v>
      </c>
      <c r="O56" s="6">
        <v>2.4430000000000001</v>
      </c>
      <c r="P56" s="6">
        <v>0</v>
      </c>
      <c r="Q56" s="4" t="s">
        <v>26</v>
      </c>
      <c r="R56" s="4">
        <v>0</v>
      </c>
      <c r="S56" s="4">
        <v>0</v>
      </c>
      <c r="T56" s="4">
        <v>28</v>
      </c>
      <c r="U56" s="4">
        <v>65</v>
      </c>
      <c r="V56" s="6">
        <f>IF(ISERROR(VLOOKUP($S$56,'TAR FIN'!$A$1:$O$85,15,0)),0,VLOOKUP($S$56,'TAR FIN'!$A$1:$O$85,15,0))</f>
        <v>0</v>
      </c>
      <c r="W56" s="6">
        <f>IF(ISERROR(VLOOKUP($T$56,'TAR FIN'!$A$1:$O$85,15,0)),0,VLOOKUP($T$56,'TAR FIN'!$A$1:$O$85,15,0))</f>
        <v>268.26</v>
      </c>
      <c r="X56" s="6">
        <f>IF(ISERROR(VLOOKUP($U$56,'TAR FIN'!$A$1:$O$85,15,0)),0,VLOOKUP($U$56,'TAR FIN'!$A$1:$O$85,15,0))</f>
        <v>221.63</v>
      </c>
      <c r="Y56" s="6"/>
      <c r="Z56" s="6">
        <f ca="1">('TUSD BE'!$AM$32+'TUSD BF'!$AM$32+'TUSD CVA'!$AM$32)*(1-CUSTOS!$M$38)</f>
        <v>371.5935842549016</v>
      </c>
      <c r="AA56" s="6">
        <f>('TE BE'!$AA$23+'TE BF'!$AA$23+'TE CVA'!$AA$23)*(1-CUSTOS!$M$38)</f>
        <v>241.29063495745513</v>
      </c>
      <c r="AB56" s="6">
        <f t="shared" si="4"/>
        <v>0</v>
      </c>
      <c r="AC56" s="6">
        <f>(L56*W56+M56*X56)/(1-CUSTOS!$M$38)*CUSTOS!$M$38</f>
        <v>76.39157042553191</v>
      </c>
      <c r="AD56" s="6">
        <f t="shared" si="5"/>
        <v>0</v>
      </c>
      <c r="AE56" s="6">
        <f ca="1">(L56*Z56+N56*AA56)/(1-CUSTOS!$M$38)*CUSTOS!$M$38</f>
        <v>95.570817927816222</v>
      </c>
      <c r="AF56" s="4" t="s">
        <v>705</v>
      </c>
    </row>
    <row r="57" spans="1:32" ht="11.25" customHeight="1" x14ac:dyDescent="0.25">
      <c r="A57" s="4" t="s">
        <v>21</v>
      </c>
      <c r="B57" s="4" t="s">
        <v>41</v>
      </c>
      <c r="C57" s="4" t="s">
        <v>39</v>
      </c>
      <c r="D57" s="4" t="s">
        <v>42</v>
      </c>
      <c r="E57" s="4" t="s">
        <v>25</v>
      </c>
      <c r="F57" s="4" t="s">
        <v>25</v>
      </c>
      <c r="G57" s="4" t="s">
        <v>25</v>
      </c>
      <c r="H57" s="4" t="s">
        <v>37</v>
      </c>
      <c r="I57" s="5">
        <v>44501</v>
      </c>
      <c r="J57" s="6">
        <v>0</v>
      </c>
      <c r="K57" s="6">
        <v>0</v>
      </c>
      <c r="L57" s="6">
        <v>2.0289999999999999</v>
      </c>
      <c r="M57" s="6">
        <v>2.0289999999999999</v>
      </c>
      <c r="N57" s="6">
        <v>2.0289999999999999</v>
      </c>
      <c r="O57" s="6">
        <v>2.0289999999999999</v>
      </c>
      <c r="P57" s="6">
        <v>0</v>
      </c>
      <c r="Q57" s="4" t="s">
        <v>26</v>
      </c>
      <c r="R57" s="4">
        <v>0</v>
      </c>
      <c r="S57" s="4">
        <v>0</v>
      </c>
      <c r="T57" s="4">
        <v>28</v>
      </c>
      <c r="U57" s="4">
        <v>65</v>
      </c>
      <c r="V57" s="6">
        <f>IF(ISERROR(VLOOKUP($S$57,'TAR FIN'!$A$1:$O$85,15,0)),0,VLOOKUP($S$57,'TAR FIN'!$A$1:$O$85,15,0))</f>
        <v>0</v>
      </c>
      <c r="W57" s="6">
        <f>IF(ISERROR(VLOOKUP($T$57,'TAR FIN'!$A$1:$O$85,15,0)),0,VLOOKUP($T$57,'TAR FIN'!$A$1:$O$85,15,0))</f>
        <v>268.26</v>
      </c>
      <c r="X57" s="6">
        <f>IF(ISERROR(VLOOKUP($U$57,'TAR FIN'!$A$1:$O$85,15,0)),0,VLOOKUP($U$57,'TAR FIN'!$A$1:$O$85,15,0))</f>
        <v>221.63</v>
      </c>
      <c r="Y57" s="6"/>
      <c r="Z57" s="6">
        <f ca="1">('TUSD BE'!$AM$32+'TUSD BF'!$AM$32+'TUSD CVA'!$AM$32)*(1-CUSTOS!$M$38)</f>
        <v>371.5935842549016</v>
      </c>
      <c r="AA57" s="6">
        <f>('TE BE'!$AA$23+'TE BF'!$AA$23+'TE CVA'!$AA$23)*(1-CUSTOS!$M$38)</f>
        <v>241.29063495745513</v>
      </c>
      <c r="AB57" s="6">
        <f t="shared" si="4"/>
        <v>0</v>
      </c>
      <c r="AC57" s="6">
        <f>(L57*W57+M57*X57)/(1-CUSTOS!$M$38)*CUSTOS!$M$38</f>
        <v>63.445966595744672</v>
      </c>
      <c r="AD57" s="6">
        <f t="shared" si="5"/>
        <v>0</v>
      </c>
      <c r="AE57" s="6">
        <f ca="1">(L57*Z57+N57*AA57)/(1-CUSTOS!$M$38)*CUSTOS!$M$38</f>
        <v>79.375026432885434</v>
      </c>
      <c r="AF57" s="4" t="s">
        <v>705</v>
      </c>
    </row>
    <row r="58" spans="1:32" ht="11.25" customHeight="1" x14ac:dyDescent="0.25">
      <c r="A58" s="4" t="s">
        <v>21</v>
      </c>
      <c r="B58" s="4" t="s">
        <v>41</v>
      </c>
      <c r="C58" s="4" t="s">
        <v>39</v>
      </c>
      <c r="D58" s="4" t="s">
        <v>42</v>
      </c>
      <c r="E58" s="4" t="s">
        <v>25</v>
      </c>
      <c r="F58" s="4" t="s">
        <v>25</v>
      </c>
      <c r="G58" s="4" t="s">
        <v>25</v>
      </c>
      <c r="H58" s="4" t="s">
        <v>37</v>
      </c>
      <c r="I58" s="5">
        <v>44531</v>
      </c>
      <c r="J58" s="6">
        <v>0</v>
      </c>
      <c r="K58" s="6">
        <v>0</v>
      </c>
      <c r="L58" s="6">
        <v>2.347</v>
      </c>
      <c r="M58" s="6">
        <v>2.347</v>
      </c>
      <c r="N58" s="6">
        <v>2.347</v>
      </c>
      <c r="O58" s="6">
        <v>2.347</v>
      </c>
      <c r="P58" s="6">
        <v>0</v>
      </c>
      <c r="Q58" s="4" t="s">
        <v>26</v>
      </c>
      <c r="R58" s="4">
        <v>0</v>
      </c>
      <c r="S58" s="4">
        <v>0</v>
      </c>
      <c r="T58" s="4">
        <v>28</v>
      </c>
      <c r="U58" s="4">
        <v>65</v>
      </c>
      <c r="V58" s="6">
        <f>IF(ISERROR(VLOOKUP($S$58,'TAR FIN'!$A$1:$O$85,15,0)),0,VLOOKUP($S$58,'TAR FIN'!$A$1:$O$85,15,0))</f>
        <v>0</v>
      </c>
      <c r="W58" s="6">
        <f>IF(ISERROR(VLOOKUP($T$58,'TAR FIN'!$A$1:$O$85,15,0)),0,VLOOKUP($T$58,'TAR FIN'!$A$1:$O$85,15,0))</f>
        <v>268.26</v>
      </c>
      <c r="X58" s="6">
        <f>IF(ISERROR(VLOOKUP($U$58,'TAR FIN'!$A$1:$O$85,15,0)),0,VLOOKUP($U$58,'TAR FIN'!$A$1:$O$85,15,0))</f>
        <v>221.63</v>
      </c>
      <c r="Y58" s="6"/>
      <c r="Z58" s="6">
        <f ca="1">('TUSD BE'!$AM$32+'TUSD BF'!$AM$32+'TUSD CVA'!$AM$32)*(1-CUSTOS!$M$38)</f>
        <v>371.5935842549016</v>
      </c>
      <c r="AA58" s="6">
        <f>('TE BE'!$AA$23+'TE BF'!$AA$23+'TE CVA'!$AA$23)*(1-CUSTOS!$M$38)</f>
        <v>241.29063495745513</v>
      </c>
      <c r="AB58" s="6">
        <f t="shared" si="4"/>
        <v>0</v>
      </c>
      <c r="AC58" s="6">
        <f>(L58*W58+M58*X58)/(1-CUSTOS!$M$38)*CUSTOS!$M$38</f>
        <v>73.389691276595755</v>
      </c>
      <c r="AD58" s="6">
        <f t="shared" si="5"/>
        <v>0</v>
      </c>
      <c r="AE58" s="6">
        <f ca="1">(L58*Z58+N58*AA58)/(1-CUSTOS!$M$38)*CUSTOS!$M$38</f>
        <v>91.815272073919218</v>
      </c>
      <c r="AF58" s="4" t="s">
        <v>705</v>
      </c>
    </row>
    <row r="59" spans="1:32" ht="11.25" customHeight="1" x14ac:dyDescent="0.25">
      <c r="A59" s="4" t="s">
        <v>21</v>
      </c>
      <c r="B59" s="4" t="s">
        <v>41</v>
      </c>
      <c r="C59" s="4" t="s">
        <v>39</v>
      </c>
      <c r="D59" s="4" t="s">
        <v>42</v>
      </c>
      <c r="E59" s="4" t="s">
        <v>25</v>
      </c>
      <c r="F59" s="4" t="s">
        <v>25</v>
      </c>
      <c r="G59" s="4" t="s">
        <v>25</v>
      </c>
      <c r="H59" s="4" t="s">
        <v>37</v>
      </c>
      <c r="I59" s="5">
        <v>44562</v>
      </c>
      <c r="J59" s="6">
        <v>0</v>
      </c>
      <c r="K59" s="6">
        <v>0</v>
      </c>
      <c r="L59" s="6">
        <v>0.98799999999999999</v>
      </c>
      <c r="M59" s="6">
        <v>0.98799999999999999</v>
      </c>
      <c r="N59" s="6">
        <v>0.98799999999999999</v>
      </c>
      <c r="O59" s="6">
        <v>0.98799999999999999</v>
      </c>
      <c r="P59" s="6">
        <v>0</v>
      </c>
      <c r="Q59" s="4" t="s">
        <v>26</v>
      </c>
      <c r="R59" s="4">
        <v>0</v>
      </c>
      <c r="S59" s="4">
        <v>0</v>
      </c>
      <c r="T59" s="4">
        <v>28</v>
      </c>
      <c r="U59" s="4">
        <v>65</v>
      </c>
      <c r="V59" s="6">
        <f>IF(ISERROR(VLOOKUP($S$59,'TAR FIN'!$A$1:$O$85,15,0)),0,VLOOKUP($S$59,'TAR FIN'!$A$1:$O$85,15,0))</f>
        <v>0</v>
      </c>
      <c r="W59" s="6">
        <f>IF(ISERROR(VLOOKUP($T$59,'TAR FIN'!$A$1:$O$85,15,0)),0,VLOOKUP($T$59,'TAR FIN'!$A$1:$O$85,15,0))</f>
        <v>268.26</v>
      </c>
      <c r="X59" s="6">
        <f>IF(ISERROR(VLOOKUP($U$59,'TAR FIN'!$A$1:$O$85,15,0)),0,VLOOKUP($U$59,'TAR FIN'!$A$1:$O$85,15,0))</f>
        <v>221.63</v>
      </c>
      <c r="Y59" s="6"/>
      <c r="Z59" s="6">
        <f ca="1">('TUSD BE'!$AM$32+'TUSD BF'!$AM$32+'TUSD CVA'!$AM$32)*(1-CUSTOS!$M$38)</f>
        <v>371.5935842549016</v>
      </c>
      <c r="AA59" s="6">
        <f>('TE BE'!$AA$23+'TE BF'!$AA$23+'TE CVA'!$AA$23)*(1-CUSTOS!$M$38)</f>
        <v>241.29063495745513</v>
      </c>
      <c r="AB59" s="6">
        <f t="shared" si="4"/>
        <v>0</v>
      </c>
      <c r="AC59" s="6">
        <f>(L59*W59+M59*X59)/(1-CUSTOS!$M$38)*CUSTOS!$M$38</f>
        <v>30.894339574468088</v>
      </c>
      <c r="AD59" s="6">
        <f t="shared" si="5"/>
        <v>0</v>
      </c>
      <c r="AE59" s="6">
        <f ca="1">(L59*Z59+N59*AA59)/(1-CUSTOS!$M$38)*CUSTOS!$M$38</f>
        <v>38.650826079689907</v>
      </c>
      <c r="AF59" s="4" t="s">
        <v>705</v>
      </c>
    </row>
    <row r="60" spans="1:32" ht="11.25" customHeight="1" x14ac:dyDescent="0.25">
      <c r="A60" s="4" t="s">
        <v>21</v>
      </c>
      <c r="B60" s="4" t="s">
        <v>41</v>
      </c>
      <c r="C60" s="4" t="s">
        <v>39</v>
      </c>
      <c r="D60" s="4" t="s">
        <v>42</v>
      </c>
      <c r="E60" s="4" t="s">
        <v>25</v>
      </c>
      <c r="F60" s="4" t="s">
        <v>25</v>
      </c>
      <c r="G60" s="4" t="s">
        <v>25</v>
      </c>
      <c r="H60" s="4" t="s">
        <v>37</v>
      </c>
      <c r="I60" s="5">
        <v>44593</v>
      </c>
      <c r="J60" s="6">
        <v>0</v>
      </c>
      <c r="K60" s="6">
        <v>0</v>
      </c>
      <c r="L60" s="6">
        <v>2.86</v>
      </c>
      <c r="M60" s="6">
        <v>2.86</v>
      </c>
      <c r="N60" s="6">
        <v>2.86</v>
      </c>
      <c r="O60" s="6">
        <v>2.86</v>
      </c>
      <c r="P60" s="6">
        <v>0</v>
      </c>
      <c r="Q60" s="4" t="s">
        <v>26</v>
      </c>
      <c r="R60" s="4">
        <v>0</v>
      </c>
      <c r="S60" s="4">
        <v>0</v>
      </c>
      <c r="T60" s="4">
        <v>28</v>
      </c>
      <c r="U60" s="4">
        <v>65</v>
      </c>
      <c r="V60" s="6">
        <f>IF(ISERROR(VLOOKUP($S$60,'TAR FIN'!$A$1:$O$85,15,0)),0,VLOOKUP($S$60,'TAR FIN'!$A$1:$O$85,15,0))</f>
        <v>0</v>
      </c>
      <c r="W60" s="6">
        <f>IF(ISERROR(VLOOKUP($T$60,'TAR FIN'!$A$1:$O$85,15,0)),0,VLOOKUP($T$60,'TAR FIN'!$A$1:$O$85,15,0))</f>
        <v>268.26</v>
      </c>
      <c r="X60" s="6">
        <f>IF(ISERROR(VLOOKUP($U$60,'TAR FIN'!$A$1:$O$85,15,0)),0,VLOOKUP($U$60,'TAR FIN'!$A$1:$O$85,15,0))</f>
        <v>221.63</v>
      </c>
      <c r="Y60" s="6"/>
      <c r="Z60" s="6">
        <f ca="1">('TUSD BE'!$AM$32+'TUSD BF'!$AM$32+'TUSD CVA'!$AM$32)*(1-CUSTOS!$M$38)</f>
        <v>371.5935842549016</v>
      </c>
      <c r="AA60" s="6">
        <f>('TE BE'!$AA$23+'TE BF'!$AA$23+'TE CVA'!$AA$23)*(1-CUSTOS!$M$38)</f>
        <v>241.29063495745513</v>
      </c>
      <c r="AB60" s="6">
        <f t="shared" si="4"/>
        <v>0</v>
      </c>
      <c r="AC60" s="6">
        <f>(L60*W60+M60*X60)/(1-CUSTOS!$M$38)*CUSTOS!$M$38</f>
        <v>89.430982978723407</v>
      </c>
      <c r="AD60" s="6">
        <f t="shared" si="5"/>
        <v>0</v>
      </c>
      <c r="AE60" s="6">
        <f ca="1">(L60*Z60+N60*AA60)/(1-CUSTOS!$M$38)*CUSTOS!$M$38</f>
        <v>111.8839702306813</v>
      </c>
      <c r="AF60" s="4" t="s">
        <v>705</v>
      </c>
    </row>
    <row r="61" spans="1:32" ht="11.25" customHeight="1" x14ac:dyDescent="0.25">
      <c r="A61" s="4" t="s">
        <v>21</v>
      </c>
      <c r="B61" s="4" t="s">
        <v>41</v>
      </c>
      <c r="C61" s="4" t="s">
        <v>39</v>
      </c>
      <c r="D61" s="4" t="s">
        <v>42</v>
      </c>
      <c r="E61" s="4" t="s">
        <v>25</v>
      </c>
      <c r="F61" s="4" t="s">
        <v>25</v>
      </c>
      <c r="G61" s="4" t="s">
        <v>25</v>
      </c>
      <c r="H61" s="4" t="s">
        <v>37</v>
      </c>
      <c r="I61" s="5">
        <v>44621</v>
      </c>
      <c r="J61" s="6">
        <v>0</v>
      </c>
      <c r="K61" s="6">
        <v>0</v>
      </c>
      <c r="L61" s="6">
        <v>2.86</v>
      </c>
      <c r="M61" s="6">
        <v>2.86</v>
      </c>
      <c r="N61" s="6">
        <v>2.86</v>
      </c>
      <c r="O61" s="6">
        <v>2.86</v>
      </c>
      <c r="P61" s="6">
        <v>0</v>
      </c>
      <c r="Q61" s="4" t="s">
        <v>26</v>
      </c>
      <c r="R61" s="4">
        <v>0</v>
      </c>
      <c r="S61" s="4">
        <v>0</v>
      </c>
      <c r="T61" s="4">
        <v>28</v>
      </c>
      <c r="U61" s="4">
        <v>65</v>
      </c>
      <c r="V61" s="6">
        <f>IF(ISERROR(VLOOKUP($S$61,'TAR FIN'!$A$1:$O$85,15,0)),0,VLOOKUP($S$61,'TAR FIN'!$A$1:$O$85,15,0))</f>
        <v>0</v>
      </c>
      <c r="W61" s="6">
        <f>IF(ISERROR(VLOOKUP($T$61,'TAR FIN'!$A$1:$O$85,15,0)),0,VLOOKUP($T$61,'TAR FIN'!$A$1:$O$85,15,0))</f>
        <v>268.26</v>
      </c>
      <c r="X61" s="6">
        <f>IF(ISERROR(VLOOKUP($U$61,'TAR FIN'!$A$1:$O$85,15,0)),0,VLOOKUP($U$61,'TAR FIN'!$A$1:$O$85,15,0))</f>
        <v>221.63</v>
      </c>
      <c r="Y61" s="6"/>
      <c r="Z61" s="6">
        <f ca="1">('TUSD BE'!$AM$32+'TUSD BF'!$AM$32+'TUSD CVA'!$AM$32)*(1-CUSTOS!$M$38)</f>
        <v>371.5935842549016</v>
      </c>
      <c r="AA61" s="6">
        <f>('TE BE'!$AA$23+'TE BF'!$AA$23+'TE CVA'!$AA$23)*(1-CUSTOS!$M$38)</f>
        <v>241.29063495745513</v>
      </c>
      <c r="AB61" s="6">
        <f t="shared" si="4"/>
        <v>0</v>
      </c>
      <c r="AC61" s="6">
        <f>(L61*W61+M61*X61)/(1-CUSTOS!$M$38)*CUSTOS!$M$38</f>
        <v>89.430982978723407</v>
      </c>
      <c r="AD61" s="6">
        <f t="shared" si="5"/>
        <v>0</v>
      </c>
      <c r="AE61" s="6">
        <f ca="1">(L61*Z61+N61*AA61)/(1-CUSTOS!$M$38)*CUSTOS!$M$38</f>
        <v>111.8839702306813</v>
      </c>
      <c r="AF61" s="4" t="s">
        <v>705</v>
      </c>
    </row>
    <row r="62" spans="1:32" ht="11.25" customHeight="1" x14ac:dyDescent="0.25">
      <c r="A62" s="4" t="s">
        <v>21</v>
      </c>
      <c r="B62" s="4" t="s">
        <v>41</v>
      </c>
      <c r="C62" s="4" t="s">
        <v>39</v>
      </c>
      <c r="D62" s="4" t="s">
        <v>42</v>
      </c>
      <c r="E62" s="4" t="s">
        <v>25</v>
      </c>
      <c r="F62" s="4" t="s">
        <v>25</v>
      </c>
      <c r="G62" s="4" t="s">
        <v>25</v>
      </c>
      <c r="H62" s="4" t="s">
        <v>37</v>
      </c>
      <c r="I62" s="5">
        <v>44652</v>
      </c>
      <c r="J62" s="6">
        <v>0</v>
      </c>
      <c r="K62" s="6">
        <v>0</v>
      </c>
      <c r="L62" s="6">
        <v>0.88200000000000001</v>
      </c>
      <c r="M62" s="6">
        <v>0.88200000000000001</v>
      </c>
      <c r="N62" s="6">
        <v>0.88200000000000001</v>
      </c>
      <c r="O62" s="6">
        <v>0.88200000000000001</v>
      </c>
      <c r="P62" s="6">
        <v>0</v>
      </c>
      <c r="Q62" s="4" t="s">
        <v>26</v>
      </c>
      <c r="R62" s="4">
        <v>0</v>
      </c>
      <c r="S62" s="4">
        <v>0</v>
      </c>
      <c r="T62" s="4">
        <v>28</v>
      </c>
      <c r="U62" s="4">
        <v>65</v>
      </c>
      <c r="V62" s="6">
        <f>IF(ISERROR(VLOOKUP($S$62,'TAR FIN'!$A$1:$O$85,15,0)),0,VLOOKUP($S$62,'TAR FIN'!$A$1:$O$85,15,0))</f>
        <v>0</v>
      </c>
      <c r="W62" s="6">
        <f>IF(ISERROR(VLOOKUP($T$62,'TAR FIN'!$A$1:$O$85,15,0)),0,VLOOKUP($T$62,'TAR FIN'!$A$1:$O$85,15,0))</f>
        <v>268.26</v>
      </c>
      <c r="X62" s="6">
        <f>IF(ISERROR(VLOOKUP($U$62,'TAR FIN'!$A$1:$O$85,15,0)),0,VLOOKUP($U$62,'TAR FIN'!$A$1:$O$85,15,0))</f>
        <v>221.63</v>
      </c>
      <c r="Y62" s="6"/>
      <c r="Z62" s="6">
        <f ca="1">('TUSD BE'!$AM$32+'TUSD BF'!$AM$32+'TUSD CVA'!$AM$32)*(1-CUSTOS!$M$38)</f>
        <v>371.5935842549016</v>
      </c>
      <c r="AA62" s="6">
        <f>('TE BE'!$AA$23+'TE BF'!$AA$23+'TE CVA'!$AA$23)*(1-CUSTOS!$M$38)</f>
        <v>241.29063495745513</v>
      </c>
      <c r="AB62" s="6">
        <f t="shared" si="4"/>
        <v>0</v>
      </c>
      <c r="AC62" s="6">
        <f>(L62*W62+M62*X62)/(1-CUSTOS!$M$38)*CUSTOS!$M$38</f>
        <v>27.579764680851067</v>
      </c>
      <c r="AD62" s="6">
        <f t="shared" si="5"/>
        <v>0</v>
      </c>
      <c r="AE62" s="6">
        <f ca="1">(L62*Z62+N62*AA62)/(1-CUSTOS!$M$38)*CUSTOS!$M$38</f>
        <v>34.504077532678636</v>
      </c>
      <c r="AF62" s="4" t="s">
        <v>705</v>
      </c>
    </row>
    <row r="63" spans="1:32" ht="11.25" customHeight="1" x14ac:dyDescent="0.25">
      <c r="A63" s="4" t="s">
        <v>21</v>
      </c>
      <c r="B63" s="4" t="s">
        <v>41</v>
      </c>
      <c r="C63" s="4" t="s">
        <v>39</v>
      </c>
      <c r="D63" s="4" t="s">
        <v>42</v>
      </c>
      <c r="E63" s="4" t="s">
        <v>25</v>
      </c>
      <c r="F63" s="4" t="s">
        <v>25</v>
      </c>
      <c r="G63" s="4" t="s">
        <v>25</v>
      </c>
      <c r="H63" s="4" t="s">
        <v>40</v>
      </c>
      <c r="I63" s="5">
        <v>44317</v>
      </c>
      <c r="J63" s="6">
        <v>0</v>
      </c>
      <c r="K63" s="6">
        <v>0</v>
      </c>
      <c r="L63" s="6">
        <v>0.02</v>
      </c>
      <c r="M63" s="6">
        <v>0.02</v>
      </c>
      <c r="N63" s="6">
        <v>0.02</v>
      </c>
      <c r="O63" s="6">
        <v>0.02</v>
      </c>
      <c r="P63" s="6">
        <v>0</v>
      </c>
      <c r="Q63" s="4" t="s">
        <v>26</v>
      </c>
      <c r="R63" s="4">
        <v>0</v>
      </c>
      <c r="S63" s="4">
        <v>0</v>
      </c>
      <c r="T63" s="4">
        <v>27</v>
      </c>
      <c r="U63" s="4">
        <v>64</v>
      </c>
      <c r="V63" s="6">
        <f>IF(ISERROR(VLOOKUP($S$63,'TAR FIN'!$A$1:$O$85,15,0)),0,VLOOKUP($S$63,'TAR FIN'!$A$1:$O$85,15,0))</f>
        <v>0</v>
      </c>
      <c r="W63" s="6">
        <f>IF(ISERROR(VLOOKUP($T$63,'TAR FIN'!$A$1:$O$85,15,0)),0,VLOOKUP($T$63,'TAR FIN'!$A$1:$O$85,15,0))</f>
        <v>679.72</v>
      </c>
      <c r="X63" s="6">
        <f>IF(ISERROR(VLOOKUP($U$63,'TAR FIN'!$A$1:$O$85,15,0)),0,VLOOKUP($U$63,'TAR FIN'!$A$1:$O$85,15,0))</f>
        <v>221.63</v>
      </c>
      <c r="Y63" s="6"/>
      <c r="Z63" s="6">
        <f ca="1">('TUSD BE'!$AM$31+'TUSD BF'!$AM$31+'TUSD CVA'!$AM$31)*(1-CUSTOS!$M$38)</f>
        <v>935.82001389693187</v>
      </c>
      <c r="AA63" s="6">
        <f>('TE BE'!$AA$22+'TE BF'!$AA$22+'TE CVA'!$AA$22)*(1-CUSTOS!$M$38)</f>
        <v>241.29063495745513</v>
      </c>
      <c r="AB63" s="6">
        <f t="shared" si="4"/>
        <v>0</v>
      </c>
      <c r="AC63" s="6">
        <f>(L63*W63+M63*X63)/(1-CUSTOS!$M$38)*CUSTOS!$M$38</f>
        <v>1.1506595744680852</v>
      </c>
      <c r="AD63" s="6">
        <f t="shared" si="5"/>
        <v>0</v>
      </c>
      <c r="AE63" s="6">
        <f ca="1">(L63*Z63+N63*AA63)/(1-CUSTOS!$M$38)*CUSTOS!$M$38</f>
        <v>1.5026944453460263</v>
      </c>
      <c r="AF63" s="4" t="s">
        <v>705</v>
      </c>
    </row>
    <row r="64" spans="1:32" ht="11.25" customHeight="1" x14ac:dyDescent="0.25">
      <c r="A64" s="4" t="s">
        <v>21</v>
      </c>
      <c r="B64" s="4" t="s">
        <v>41</v>
      </c>
      <c r="C64" s="4" t="s">
        <v>39</v>
      </c>
      <c r="D64" s="4" t="s">
        <v>42</v>
      </c>
      <c r="E64" s="4" t="s">
        <v>25</v>
      </c>
      <c r="F64" s="4" t="s">
        <v>25</v>
      </c>
      <c r="G64" s="4" t="s">
        <v>25</v>
      </c>
      <c r="H64" s="4" t="s">
        <v>40</v>
      </c>
      <c r="I64" s="5">
        <v>44348</v>
      </c>
      <c r="J64" s="6">
        <v>0</v>
      </c>
      <c r="K64" s="6">
        <v>0</v>
      </c>
      <c r="L64" s="6">
        <v>0.02</v>
      </c>
      <c r="M64" s="6">
        <v>0.02</v>
      </c>
      <c r="N64" s="6">
        <v>0.02</v>
      </c>
      <c r="O64" s="6">
        <v>0.02</v>
      </c>
      <c r="P64" s="6">
        <v>0</v>
      </c>
      <c r="Q64" s="4" t="s">
        <v>26</v>
      </c>
      <c r="R64" s="4">
        <v>0</v>
      </c>
      <c r="S64" s="4">
        <v>0</v>
      </c>
      <c r="T64" s="4">
        <v>27</v>
      </c>
      <c r="U64" s="4">
        <v>64</v>
      </c>
      <c r="V64" s="6">
        <f>IF(ISERROR(VLOOKUP($S$64,'TAR FIN'!$A$1:$O$85,15,0)),0,VLOOKUP($S$64,'TAR FIN'!$A$1:$O$85,15,0))</f>
        <v>0</v>
      </c>
      <c r="W64" s="6">
        <f>IF(ISERROR(VLOOKUP($T$64,'TAR FIN'!$A$1:$O$85,15,0)),0,VLOOKUP($T$64,'TAR FIN'!$A$1:$O$85,15,0))</f>
        <v>679.72</v>
      </c>
      <c r="X64" s="6">
        <f>IF(ISERROR(VLOOKUP($U$64,'TAR FIN'!$A$1:$O$85,15,0)),0,VLOOKUP($U$64,'TAR FIN'!$A$1:$O$85,15,0))</f>
        <v>221.63</v>
      </c>
      <c r="Y64" s="6"/>
      <c r="Z64" s="6">
        <f ca="1">('TUSD BE'!$AM$31+'TUSD BF'!$AM$31+'TUSD CVA'!$AM$31)*(1-CUSTOS!$M$38)</f>
        <v>935.82001389693187</v>
      </c>
      <c r="AA64" s="6">
        <f>('TE BE'!$AA$22+'TE BF'!$AA$22+'TE CVA'!$AA$22)*(1-CUSTOS!$M$38)</f>
        <v>241.29063495745513</v>
      </c>
      <c r="AB64" s="6">
        <f t="shared" si="4"/>
        <v>0</v>
      </c>
      <c r="AC64" s="6">
        <f>(L64*W64+M64*X64)/(1-CUSTOS!$M$38)*CUSTOS!$M$38</f>
        <v>1.1506595744680852</v>
      </c>
      <c r="AD64" s="6">
        <f t="shared" si="5"/>
        <v>0</v>
      </c>
      <c r="AE64" s="6">
        <f ca="1">(L64*Z64+N64*AA64)/(1-CUSTOS!$M$38)*CUSTOS!$M$38</f>
        <v>1.5026944453460263</v>
      </c>
      <c r="AF64" s="4" t="s">
        <v>705</v>
      </c>
    </row>
    <row r="65" spans="1:32" ht="11.25" customHeight="1" x14ac:dyDescent="0.25">
      <c r="A65" s="4" t="s">
        <v>21</v>
      </c>
      <c r="B65" s="4" t="s">
        <v>41</v>
      </c>
      <c r="C65" s="4" t="s">
        <v>39</v>
      </c>
      <c r="D65" s="4" t="s">
        <v>42</v>
      </c>
      <c r="E65" s="4" t="s">
        <v>25</v>
      </c>
      <c r="F65" s="4" t="s">
        <v>25</v>
      </c>
      <c r="G65" s="4" t="s">
        <v>25</v>
      </c>
      <c r="H65" s="4" t="s">
        <v>40</v>
      </c>
      <c r="I65" s="5">
        <v>44378</v>
      </c>
      <c r="J65" s="6">
        <v>0</v>
      </c>
      <c r="K65" s="6">
        <v>0</v>
      </c>
      <c r="L65" s="6">
        <v>1.9E-2</v>
      </c>
      <c r="M65" s="6">
        <v>1.9E-2</v>
      </c>
      <c r="N65" s="6">
        <v>1.9E-2</v>
      </c>
      <c r="O65" s="6">
        <v>1.9E-2</v>
      </c>
      <c r="P65" s="6">
        <v>0</v>
      </c>
      <c r="Q65" s="4" t="s">
        <v>26</v>
      </c>
      <c r="R65" s="4">
        <v>0</v>
      </c>
      <c r="S65" s="4">
        <v>0</v>
      </c>
      <c r="T65" s="4">
        <v>27</v>
      </c>
      <c r="U65" s="4">
        <v>64</v>
      </c>
      <c r="V65" s="6">
        <f>IF(ISERROR(VLOOKUP($S$65,'TAR FIN'!$A$1:$O$85,15,0)),0,VLOOKUP($S$65,'TAR FIN'!$A$1:$O$85,15,0))</f>
        <v>0</v>
      </c>
      <c r="W65" s="6">
        <f>IF(ISERROR(VLOOKUP($T$65,'TAR FIN'!$A$1:$O$85,15,0)),0,VLOOKUP($T$65,'TAR FIN'!$A$1:$O$85,15,0))</f>
        <v>679.72</v>
      </c>
      <c r="X65" s="6">
        <f>IF(ISERROR(VLOOKUP($U$65,'TAR FIN'!$A$1:$O$85,15,0)),0,VLOOKUP($U$65,'TAR FIN'!$A$1:$O$85,15,0))</f>
        <v>221.63</v>
      </c>
      <c r="Y65" s="6"/>
      <c r="Z65" s="6">
        <f ca="1">('TUSD BE'!$AM$31+'TUSD BF'!$AM$31+'TUSD CVA'!$AM$31)*(1-CUSTOS!$M$38)</f>
        <v>935.82001389693187</v>
      </c>
      <c r="AA65" s="6">
        <f>('TE BE'!$AA$22+'TE BF'!$AA$22+'TE CVA'!$AA$22)*(1-CUSTOS!$M$38)</f>
        <v>241.29063495745513</v>
      </c>
      <c r="AB65" s="6">
        <f t="shared" si="4"/>
        <v>0</v>
      </c>
      <c r="AC65" s="6">
        <f>(L65*W65+M65*X65)/(1-CUSTOS!$M$38)*CUSTOS!$M$38</f>
        <v>1.093126595744681</v>
      </c>
      <c r="AD65" s="6">
        <f t="shared" si="5"/>
        <v>0</v>
      </c>
      <c r="AE65" s="6">
        <f ca="1">(L65*Z65+N65*AA65)/(1-CUSTOS!$M$38)*CUSTOS!$M$38</f>
        <v>1.4275597230787249</v>
      </c>
      <c r="AF65" s="4" t="s">
        <v>705</v>
      </c>
    </row>
    <row r="66" spans="1:32" ht="11.25" customHeight="1" x14ac:dyDescent="0.25">
      <c r="A66" s="4" t="s">
        <v>21</v>
      </c>
      <c r="B66" s="4" t="s">
        <v>41</v>
      </c>
      <c r="C66" s="4" t="s">
        <v>39</v>
      </c>
      <c r="D66" s="4" t="s">
        <v>42</v>
      </c>
      <c r="E66" s="4" t="s">
        <v>25</v>
      </c>
      <c r="F66" s="4" t="s">
        <v>25</v>
      </c>
      <c r="G66" s="4" t="s">
        <v>25</v>
      </c>
      <c r="H66" s="4" t="s">
        <v>40</v>
      </c>
      <c r="I66" s="5">
        <v>44409</v>
      </c>
      <c r="J66" s="6">
        <v>0</v>
      </c>
      <c r="K66" s="6">
        <v>0</v>
      </c>
      <c r="L66" s="6">
        <v>2.1000000000000001E-2</v>
      </c>
      <c r="M66" s="6">
        <v>2.1000000000000001E-2</v>
      </c>
      <c r="N66" s="6">
        <v>2.1000000000000001E-2</v>
      </c>
      <c r="O66" s="6">
        <v>2.1000000000000001E-2</v>
      </c>
      <c r="P66" s="6">
        <v>0</v>
      </c>
      <c r="Q66" s="4" t="s">
        <v>26</v>
      </c>
      <c r="R66" s="4">
        <v>0</v>
      </c>
      <c r="S66" s="4">
        <v>0</v>
      </c>
      <c r="T66" s="4">
        <v>27</v>
      </c>
      <c r="U66" s="4">
        <v>64</v>
      </c>
      <c r="V66" s="6">
        <f>IF(ISERROR(VLOOKUP($S$66,'TAR FIN'!$A$1:$O$85,15,0)),0,VLOOKUP($S$66,'TAR FIN'!$A$1:$O$85,15,0))</f>
        <v>0</v>
      </c>
      <c r="W66" s="6">
        <f>IF(ISERROR(VLOOKUP($T$66,'TAR FIN'!$A$1:$O$85,15,0)),0,VLOOKUP($T$66,'TAR FIN'!$A$1:$O$85,15,0))</f>
        <v>679.72</v>
      </c>
      <c r="X66" s="6">
        <f>IF(ISERROR(VLOOKUP($U$66,'TAR FIN'!$A$1:$O$85,15,0)),0,VLOOKUP($U$66,'TAR FIN'!$A$1:$O$85,15,0))</f>
        <v>221.63</v>
      </c>
      <c r="Y66" s="6"/>
      <c r="Z66" s="6">
        <f ca="1">('TUSD BE'!$AM$31+'TUSD BF'!$AM$31+'TUSD CVA'!$AM$31)*(1-CUSTOS!$M$38)</f>
        <v>935.82001389693187</v>
      </c>
      <c r="AA66" s="6">
        <f>('TE BE'!$AA$22+'TE BF'!$AA$22+'TE CVA'!$AA$22)*(1-CUSTOS!$M$38)</f>
        <v>241.29063495745513</v>
      </c>
      <c r="AB66" s="6">
        <f t="shared" ref="AB66:AB97" si="6">(J66-K66)*V66</f>
        <v>0</v>
      </c>
      <c r="AC66" s="6">
        <f>(L66*W66+M66*X66)/(1-CUSTOS!$M$38)*CUSTOS!$M$38</f>
        <v>1.2081925531914894</v>
      </c>
      <c r="AD66" s="6">
        <f t="shared" ref="AD66:AD97" si="7">(J66-K66)*Y66</f>
        <v>0</v>
      </c>
      <c r="AE66" s="6">
        <f ca="1">(L66*Z66+N66*AA66)/(1-CUSTOS!$M$38)*CUSTOS!$M$38</f>
        <v>1.5778291676133271</v>
      </c>
      <c r="AF66" s="4" t="s">
        <v>705</v>
      </c>
    </row>
    <row r="67" spans="1:32" ht="11.25" customHeight="1" x14ac:dyDescent="0.25">
      <c r="A67" s="4" t="s">
        <v>21</v>
      </c>
      <c r="B67" s="4" t="s">
        <v>41</v>
      </c>
      <c r="C67" s="4" t="s">
        <v>39</v>
      </c>
      <c r="D67" s="4" t="s">
        <v>42</v>
      </c>
      <c r="E67" s="4" t="s">
        <v>25</v>
      </c>
      <c r="F67" s="4" t="s">
        <v>25</v>
      </c>
      <c r="G67" s="4" t="s">
        <v>25</v>
      </c>
      <c r="H67" s="4" t="s">
        <v>40</v>
      </c>
      <c r="I67" s="5">
        <v>44440</v>
      </c>
      <c r="J67" s="6">
        <v>0</v>
      </c>
      <c r="K67" s="6">
        <v>0</v>
      </c>
      <c r="L67" s="6">
        <v>2.5000000000000001E-2</v>
      </c>
      <c r="M67" s="6">
        <v>2.5000000000000001E-2</v>
      </c>
      <c r="N67" s="6">
        <v>2.5000000000000001E-2</v>
      </c>
      <c r="O67" s="6">
        <v>2.5000000000000001E-2</v>
      </c>
      <c r="P67" s="6">
        <v>0</v>
      </c>
      <c r="Q67" s="4" t="s">
        <v>26</v>
      </c>
      <c r="R67" s="4">
        <v>0</v>
      </c>
      <c r="S67" s="4">
        <v>0</v>
      </c>
      <c r="T67" s="4">
        <v>27</v>
      </c>
      <c r="U67" s="4">
        <v>64</v>
      </c>
      <c r="V67" s="6">
        <f>IF(ISERROR(VLOOKUP($S$67,'TAR FIN'!$A$1:$O$85,15,0)),0,VLOOKUP($S$67,'TAR FIN'!$A$1:$O$85,15,0))</f>
        <v>0</v>
      </c>
      <c r="W67" s="6">
        <f>IF(ISERROR(VLOOKUP($T$67,'TAR FIN'!$A$1:$O$85,15,0)),0,VLOOKUP($T$67,'TAR FIN'!$A$1:$O$85,15,0))</f>
        <v>679.72</v>
      </c>
      <c r="X67" s="6">
        <f>IF(ISERROR(VLOOKUP($U$67,'TAR FIN'!$A$1:$O$85,15,0)),0,VLOOKUP($U$67,'TAR FIN'!$A$1:$O$85,15,0))</f>
        <v>221.63</v>
      </c>
      <c r="Y67" s="6"/>
      <c r="Z67" s="6">
        <f ca="1">('TUSD BE'!$AM$31+'TUSD BF'!$AM$31+'TUSD CVA'!$AM$31)*(1-CUSTOS!$M$38)</f>
        <v>935.82001389693187</v>
      </c>
      <c r="AA67" s="6">
        <f>('TE BE'!$AA$22+'TE BF'!$AA$22+'TE CVA'!$AA$22)*(1-CUSTOS!$M$38)</f>
        <v>241.29063495745513</v>
      </c>
      <c r="AB67" s="6">
        <f t="shared" si="6"/>
        <v>0</v>
      </c>
      <c r="AC67" s="6">
        <f>(L67*W67+M67*X67)/(1-CUSTOS!$M$38)*CUSTOS!$M$38</f>
        <v>1.4383244680851064</v>
      </c>
      <c r="AD67" s="6">
        <f t="shared" si="7"/>
        <v>0</v>
      </c>
      <c r="AE67" s="6">
        <f ca="1">(L67*Z67+N67*AA67)/(1-CUSTOS!$M$38)*CUSTOS!$M$38</f>
        <v>1.8783680566825325</v>
      </c>
      <c r="AF67" s="4" t="s">
        <v>705</v>
      </c>
    </row>
    <row r="68" spans="1:32" ht="11.25" customHeight="1" x14ac:dyDescent="0.25">
      <c r="A68" s="4" t="s">
        <v>21</v>
      </c>
      <c r="B68" s="4" t="s">
        <v>41</v>
      </c>
      <c r="C68" s="4" t="s">
        <v>39</v>
      </c>
      <c r="D68" s="4" t="s">
        <v>42</v>
      </c>
      <c r="E68" s="4" t="s">
        <v>25</v>
      </c>
      <c r="F68" s="4" t="s">
        <v>25</v>
      </c>
      <c r="G68" s="4" t="s">
        <v>25</v>
      </c>
      <c r="H68" s="4" t="s">
        <v>40</v>
      </c>
      <c r="I68" s="5">
        <v>44470</v>
      </c>
      <c r="J68" s="6">
        <v>0</v>
      </c>
      <c r="K68" s="6">
        <v>0</v>
      </c>
      <c r="L68" s="6">
        <v>3.9E-2</v>
      </c>
      <c r="M68" s="6">
        <v>3.9E-2</v>
      </c>
      <c r="N68" s="6">
        <v>3.9E-2</v>
      </c>
      <c r="O68" s="6">
        <v>3.9E-2</v>
      </c>
      <c r="P68" s="6">
        <v>0</v>
      </c>
      <c r="Q68" s="4" t="s">
        <v>26</v>
      </c>
      <c r="R68" s="4">
        <v>0</v>
      </c>
      <c r="S68" s="4">
        <v>0</v>
      </c>
      <c r="T68" s="4">
        <v>27</v>
      </c>
      <c r="U68" s="4">
        <v>64</v>
      </c>
      <c r="V68" s="6">
        <f>IF(ISERROR(VLOOKUP($S$68,'TAR FIN'!$A$1:$O$85,15,0)),0,VLOOKUP($S$68,'TAR FIN'!$A$1:$O$85,15,0))</f>
        <v>0</v>
      </c>
      <c r="W68" s="6">
        <f>IF(ISERROR(VLOOKUP($T$68,'TAR FIN'!$A$1:$O$85,15,0)),0,VLOOKUP($T$68,'TAR FIN'!$A$1:$O$85,15,0))</f>
        <v>679.72</v>
      </c>
      <c r="X68" s="6">
        <f>IF(ISERROR(VLOOKUP($U$68,'TAR FIN'!$A$1:$O$85,15,0)),0,VLOOKUP($U$68,'TAR FIN'!$A$1:$O$85,15,0))</f>
        <v>221.63</v>
      </c>
      <c r="Y68" s="6"/>
      <c r="Z68" s="6">
        <f ca="1">('TUSD BE'!$AM$31+'TUSD BF'!$AM$31+'TUSD CVA'!$AM$31)*(1-CUSTOS!$M$38)</f>
        <v>935.82001389693187</v>
      </c>
      <c r="AA68" s="6">
        <f>('TE BE'!$AA$22+'TE BF'!$AA$22+'TE CVA'!$AA$22)*(1-CUSTOS!$M$38)</f>
        <v>241.29063495745513</v>
      </c>
      <c r="AB68" s="6">
        <f t="shared" si="6"/>
        <v>0</v>
      </c>
      <c r="AC68" s="6">
        <f>(L68*W68+M68*X68)/(1-CUSTOS!$M$38)*CUSTOS!$M$38</f>
        <v>2.2437861702127657</v>
      </c>
      <c r="AD68" s="6">
        <f t="shared" si="7"/>
        <v>0</v>
      </c>
      <c r="AE68" s="6">
        <f ca="1">(L68*Z68+N68*AA68)/(1-CUSTOS!$M$38)*CUSTOS!$M$38</f>
        <v>2.9302541684247507</v>
      </c>
      <c r="AF68" s="4" t="s">
        <v>705</v>
      </c>
    </row>
    <row r="69" spans="1:32" ht="11.25" customHeight="1" x14ac:dyDescent="0.25">
      <c r="A69" s="4" t="s">
        <v>21</v>
      </c>
      <c r="B69" s="4" t="s">
        <v>41</v>
      </c>
      <c r="C69" s="4" t="s">
        <v>39</v>
      </c>
      <c r="D69" s="4" t="s">
        <v>42</v>
      </c>
      <c r="E69" s="4" t="s">
        <v>25</v>
      </c>
      <c r="F69" s="4" t="s">
        <v>25</v>
      </c>
      <c r="G69" s="4" t="s">
        <v>25</v>
      </c>
      <c r="H69" s="4" t="s">
        <v>40</v>
      </c>
      <c r="I69" s="5">
        <v>44501</v>
      </c>
      <c r="J69" s="6">
        <v>0</v>
      </c>
      <c r="K69" s="6">
        <v>0</v>
      </c>
      <c r="L69" s="6">
        <v>5.1999999999999998E-2</v>
      </c>
      <c r="M69" s="6">
        <v>5.1999999999999998E-2</v>
      </c>
      <c r="N69" s="6">
        <v>5.1999999999999998E-2</v>
      </c>
      <c r="O69" s="6">
        <v>5.1999999999999998E-2</v>
      </c>
      <c r="P69" s="6">
        <v>0</v>
      </c>
      <c r="Q69" s="4" t="s">
        <v>26</v>
      </c>
      <c r="R69" s="4">
        <v>0</v>
      </c>
      <c r="S69" s="4">
        <v>0</v>
      </c>
      <c r="T69" s="4">
        <v>27</v>
      </c>
      <c r="U69" s="4">
        <v>64</v>
      </c>
      <c r="V69" s="6">
        <f>IF(ISERROR(VLOOKUP($S$69,'TAR FIN'!$A$1:$O$85,15,0)),0,VLOOKUP($S$69,'TAR FIN'!$A$1:$O$85,15,0))</f>
        <v>0</v>
      </c>
      <c r="W69" s="6">
        <f>IF(ISERROR(VLOOKUP($T$69,'TAR FIN'!$A$1:$O$85,15,0)),0,VLOOKUP($T$69,'TAR FIN'!$A$1:$O$85,15,0))</f>
        <v>679.72</v>
      </c>
      <c r="X69" s="6">
        <f>IF(ISERROR(VLOOKUP($U$69,'TAR FIN'!$A$1:$O$85,15,0)),0,VLOOKUP($U$69,'TAR FIN'!$A$1:$O$85,15,0))</f>
        <v>221.63</v>
      </c>
      <c r="Y69" s="6"/>
      <c r="Z69" s="6">
        <f ca="1">('TUSD BE'!$AM$31+'TUSD BF'!$AM$31+'TUSD CVA'!$AM$31)*(1-CUSTOS!$M$38)</f>
        <v>935.82001389693187</v>
      </c>
      <c r="AA69" s="6">
        <f>('TE BE'!$AA$22+'TE BF'!$AA$22+'TE CVA'!$AA$22)*(1-CUSTOS!$M$38)</f>
        <v>241.29063495745513</v>
      </c>
      <c r="AB69" s="6">
        <f t="shared" si="6"/>
        <v>0</v>
      </c>
      <c r="AC69" s="6">
        <f>(L69*W69+M69*X69)/(1-CUSTOS!$M$38)*CUSTOS!$M$38</f>
        <v>2.9917148936170213</v>
      </c>
      <c r="AD69" s="6">
        <f t="shared" si="7"/>
        <v>0</v>
      </c>
      <c r="AE69" s="6">
        <f ca="1">(L69*Z69+N69*AA69)/(1-CUSTOS!$M$38)*CUSTOS!$M$38</f>
        <v>3.9070055578996676</v>
      </c>
      <c r="AF69" s="4" t="s">
        <v>705</v>
      </c>
    </row>
    <row r="70" spans="1:32" ht="11.25" customHeight="1" x14ac:dyDescent="0.25">
      <c r="A70" s="4" t="s">
        <v>21</v>
      </c>
      <c r="B70" s="4" t="s">
        <v>41</v>
      </c>
      <c r="C70" s="4" t="s">
        <v>39</v>
      </c>
      <c r="D70" s="4" t="s">
        <v>42</v>
      </c>
      <c r="E70" s="4" t="s">
        <v>25</v>
      </c>
      <c r="F70" s="4" t="s">
        <v>25</v>
      </c>
      <c r="G70" s="4" t="s">
        <v>25</v>
      </c>
      <c r="H70" s="4" t="s">
        <v>40</v>
      </c>
      <c r="I70" s="5">
        <v>44531</v>
      </c>
      <c r="J70" s="6">
        <v>0</v>
      </c>
      <c r="K70" s="6">
        <v>0</v>
      </c>
      <c r="L70" s="6">
        <v>0.1</v>
      </c>
      <c r="M70" s="6">
        <v>0.1</v>
      </c>
      <c r="N70" s="6">
        <v>0.1</v>
      </c>
      <c r="O70" s="6">
        <v>0.1</v>
      </c>
      <c r="P70" s="6">
        <v>0</v>
      </c>
      <c r="Q70" s="4" t="s">
        <v>26</v>
      </c>
      <c r="R70" s="4">
        <v>0</v>
      </c>
      <c r="S70" s="4">
        <v>0</v>
      </c>
      <c r="T70" s="4">
        <v>27</v>
      </c>
      <c r="U70" s="4">
        <v>64</v>
      </c>
      <c r="V70" s="6">
        <f>IF(ISERROR(VLOOKUP($S$70,'TAR FIN'!$A$1:$O$85,15,0)),0,VLOOKUP($S$70,'TAR FIN'!$A$1:$O$85,15,0))</f>
        <v>0</v>
      </c>
      <c r="W70" s="6">
        <f>IF(ISERROR(VLOOKUP($T$70,'TAR FIN'!$A$1:$O$85,15,0)),0,VLOOKUP($T$70,'TAR FIN'!$A$1:$O$85,15,0))</f>
        <v>679.72</v>
      </c>
      <c r="X70" s="6">
        <f>IF(ISERROR(VLOOKUP($U$70,'TAR FIN'!$A$1:$O$85,15,0)),0,VLOOKUP($U$70,'TAR FIN'!$A$1:$O$85,15,0))</f>
        <v>221.63</v>
      </c>
      <c r="Y70" s="6"/>
      <c r="Z70" s="6">
        <f ca="1">('TUSD BE'!$AM$31+'TUSD BF'!$AM$31+'TUSD CVA'!$AM$31)*(1-CUSTOS!$M$38)</f>
        <v>935.82001389693187</v>
      </c>
      <c r="AA70" s="6">
        <f>('TE BE'!$AA$22+'TE BF'!$AA$22+'TE CVA'!$AA$22)*(1-CUSTOS!$M$38)</f>
        <v>241.29063495745513</v>
      </c>
      <c r="AB70" s="6">
        <f t="shared" si="6"/>
        <v>0</v>
      </c>
      <c r="AC70" s="6">
        <f>(L70*W70+M70*X70)/(1-CUSTOS!$M$38)*CUSTOS!$M$38</f>
        <v>5.7532978723404256</v>
      </c>
      <c r="AD70" s="6">
        <f t="shared" si="7"/>
        <v>0</v>
      </c>
      <c r="AE70" s="6">
        <f ca="1">(L70*Z70+N70*AA70)/(1-CUSTOS!$M$38)*CUSTOS!$M$38</f>
        <v>7.5134722267301299</v>
      </c>
      <c r="AF70" s="4" t="s">
        <v>705</v>
      </c>
    </row>
    <row r="71" spans="1:32" ht="11.25" customHeight="1" x14ac:dyDescent="0.25">
      <c r="A71" s="4" t="s">
        <v>21</v>
      </c>
      <c r="B71" s="4" t="s">
        <v>41</v>
      </c>
      <c r="C71" s="4" t="s">
        <v>39</v>
      </c>
      <c r="D71" s="4" t="s">
        <v>42</v>
      </c>
      <c r="E71" s="4" t="s">
        <v>25</v>
      </c>
      <c r="F71" s="4" t="s">
        <v>25</v>
      </c>
      <c r="G71" s="4" t="s">
        <v>25</v>
      </c>
      <c r="H71" s="4" t="s">
        <v>40</v>
      </c>
      <c r="I71" s="5">
        <v>44562</v>
      </c>
      <c r="J71" s="6">
        <v>0</v>
      </c>
      <c r="K71" s="6">
        <v>0</v>
      </c>
      <c r="L71" s="6">
        <v>4.2000000000000003E-2</v>
      </c>
      <c r="M71" s="6">
        <v>4.2000000000000003E-2</v>
      </c>
      <c r="N71" s="6">
        <v>4.2000000000000003E-2</v>
      </c>
      <c r="O71" s="6">
        <v>4.2000000000000003E-2</v>
      </c>
      <c r="P71" s="6">
        <v>0</v>
      </c>
      <c r="Q71" s="4" t="s">
        <v>26</v>
      </c>
      <c r="R71" s="4">
        <v>0</v>
      </c>
      <c r="S71" s="4">
        <v>0</v>
      </c>
      <c r="T71" s="4">
        <v>27</v>
      </c>
      <c r="U71" s="4">
        <v>64</v>
      </c>
      <c r="V71" s="6">
        <f>IF(ISERROR(VLOOKUP($S$71,'TAR FIN'!$A$1:$O$85,15,0)),0,VLOOKUP($S$71,'TAR FIN'!$A$1:$O$85,15,0))</f>
        <v>0</v>
      </c>
      <c r="W71" s="6">
        <f>IF(ISERROR(VLOOKUP($T$71,'TAR FIN'!$A$1:$O$85,15,0)),0,VLOOKUP($T$71,'TAR FIN'!$A$1:$O$85,15,0))</f>
        <v>679.72</v>
      </c>
      <c r="X71" s="6">
        <f>IF(ISERROR(VLOOKUP($U$71,'TAR FIN'!$A$1:$O$85,15,0)),0,VLOOKUP($U$71,'TAR FIN'!$A$1:$O$85,15,0))</f>
        <v>221.63</v>
      </c>
      <c r="Y71" s="6"/>
      <c r="Z71" s="6">
        <f ca="1">('TUSD BE'!$AM$31+'TUSD BF'!$AM$31+'TUSD CVA'!$AM$31)*(1-CUSTOS!$M$38)</f>
        <v>935.82001389693187</v>
      </c>
      <c r="AA71" s="6">
        <f>('TE BE'!$AA$22+'TE BF'!$AA$22+'TE CVA'!$AA$22)*(1-CUSTOS!$M$38)</f>
        <v>241.29063495745513</v>
      </c>
      <c r="AB71" s="6">
        <f t="shared" si="6"/>
        <v>0</v>
      </c>
      <c r="AC71" s="6">
        <f>(L71*W71+M71*X71)/(1-CUSTOS!$M$38)*CUSTOS!$M$38</f>
        <v>2.4163851063829789</v>
      </c>
      <c r="AD71" s="6">
        <f t="shared" si="7"/>
        <v>0</v>
      </c>
      <c r="AE71" s="6">
        <f ca="1">(L71*Z71+N71*AA71)/(1-CUSTOS!$M$38)*CUSTOS!$M$38</f>
        <v>3.1556583352266543</v>
      </c>
      <c r="AF71" s="4" t="s">
        <v>705</v>
      </c>
    </row>
    <row r="72" spans="1:32" ht="11.25" customHeight="1" x14ac:dyDescent="0.25">
      <c r="A72" s="4" t="s">
        <v>21</v>
      </c>
      <c r="B72" s="4" t="s">
        <v>41</v>
      </c>
      <c r="C72" s="4" t="s">
        <v>39</v>
      </c>
      <c r="D72" s="4" t="s">
        <v>42</v>
      </c>
      <c r="E72" s="4" t="s">
        <v>25</v>
      </c>
      <c r="F72" s="4" t="s">
        <v>25</v>
      </c>
      <c r="G72" s="4" t="s">
        <v>25</v>
      </c>
      <c r="H72" s="4" t="s">
        <v>40</v>
      </c>
      <c r="I72" s="5">
        <v>44593</v>
      </c>
      <c r="J72" s="6">
        <v>0</v>
      </c>
      <c r="K72" s="6">
        <v>0</v>
      </c>
      <c r="L72" s="6">
        <v>0.105</v>
      </c>
      <c r="M72" s="6">
        <v>0.105</v>
      </c>
      <c r="N72" s="6">
        <v>0.105</v>
      </c>
      <c r="O72" s="6">
        <v>0.105</v>
      </c>
      <c r="P72" s="6">
        <v>0</v>
      </c>
      <c r="Q72" s="4" t="s">
        <v>26</v>
      </c>
      <c r="R72" s="4">
        <v>0</v>
      </c>
      <c r="S72" s="4">
        <v>0</v>
      </c>
      <c r="T72" s="4">
        <v>27</v>
      </c>
      <c r="U72" s="4">
        <v>64</v>
      </c>
      <c r="V72" s="6">
        <f>IF(ISERROR(VLOOKUP($S$72,'TAR FIN'!$A$1:$O$85,15,0)),0,VLOOKUP($S$72,'TAR FIN'!$A$1:$O$85,15,0))</f>
        <v>0</v>
      </c>
      <c r="W72" s="6">
        <f>IF(ISERROR(VLOOKUP($T$72,'TAR FIN'!$A$1:$O$85,15,0)),0,VLOOKUP($T$72,'TAR FIN'!$A$1:$O$85,15,0))</f>
        <v>679.72</v>
      </c>
      <c r="X72" s="6">
        <f>IF(ISERROR(VLOOKUP($U$72,'TAR FIN'!$A$1:$O$85,15,0)),0,VLOOKUP($U$72,'TAR FIN'!$A$1:$O$85,15,0))</f>
        <v>221.63</v>
      </c>
      <c r="Y72" s="6"/>
      <c r="Z72" s="6">
        <f ca="1">('TUSD BE'!$AM$31+'TUSD BF'!$AM$31+'TUSD CVA'!$AM$31)*(1-CUSTOS!$M$38)</f>
        <v>935.82001389693187</v>
      </c>
      <c r="AA72" s="6">
        <f>('TE BE'!$AA$22+'TE BF'!$AA$22+'TE CVA'!$AA$22)*(1-CUSTOS!$M$38)</f>
        <v>241.29063495745513</v>
      </c>
      <c r="AB72" s="6">
        <f t="shared" si="6"/>
        <v>0</v>
      </c>
      <c r="AC72" s="6">
        <f>(L72*W72+M72*X72)/(1-CUSTOS!$M$38)*CUSTOS!$M$38</f>
        <v>6.0409627659574472</v>
      </c>
      <c r="AD72" s="6">
        <f t="shared" si="7"/>
        <v>0</v>
      </c>
      <c r="AE72" s="6">
        <f ca="1">(L72*Z72+N72*AA72)/(1-CUSTOS!$M$38)*CUSTOS!$M$38</f>
        <v>7.8891458380666357</v>
      </c>
      <c r="AF72" s="4" t="s">
        <v>705</v>
      </c>
    </row>
    <row r="73" spans="1:32" ht="11.25" customHeight="1" x14ac:dyDescent="0.25">
      <c r="A73" s="4" t="s">
        <v>21</v>
      </c>
      <c r="B73" s="4" t="s">
        <v>41</v>
      </c>
      <c r="C73" s="4" t="s">
        <v>39</v>
      </c>
      <c r="D73" s="4" t="s">
        <v>42</v>
      </c>
      <c r="E73" s="4" t="s">
        <v>25</v>
      </c>
      <c r="F73" s="4" t="s">
        <v>25</v>
      </c>
      <c r="G73" s="4" t="s">
        <v>25</v>
      </c>
      <c r="H73" s="4" t="s">
        <v>40</v>
      </c>
      <c r="I73" s="5">
        <v>44621</v>
      </c>
      <c r="J73" s="6">
        <v>0</v>
      </c>
      <c r="K73" s="6">
        <v>0</v>
      </c>
      <c r="L73" s="6">
        <v>8.5000000000000006E-2</v>
      </c>
      <c r="M73" s="6">
        <v>8.5000000000000006E-2</v>
      </c>
      <c r="N73" s="6">
        <v>8.5000000000000006E-2</v>
      </c>
      <c r="O73" s="6">
        <v>8.5000000000000006E-2</v>
      </c>
      <c r="P73" s="6">
        <v>0</v>
      </c>
      <c r="Q73" s="4" t="s">
        <v>26</v>
      </c>
      <c r="R73" s="4">
        <v>0</v>
      </c>
      <c r="S73" s="4">
        <v>0</v>
      </c>
      <c r="T73" s="4">
        <v>27</v>
      </c>
      <c r="U73" s="4">
        <v>64</v>
      </c>
      <c r="V73" s="6">
        <f>IF(ISERROR(VLOOKUP($S$73,'TAR FIN'!$A$1:$O$85,15,0)),0,VLOOKUP($S$73,'TAR FIN'!$A$1:$O$85,15,0))</f>
        <v>0</v>
      </c>
      <c r="W73" s="6">
        <f>IF(ISERROR(VLOOKUP($T$73,'TAR FIN'!$A$1:$O$85,15,0)),0,VLOOKUP($T$73,'TAR FIN'!$A$1:$O$85,15,0))</f>
        <v>679.72</v>
      </c>
      <c r="X73" s="6">
        <f>IF(ISERROR(VLOOKUP($U$73,'TAR FIN'!$A$1:$O$85,15,0)),0,VLOOKUP($U$73,'TAR FIN'!$A$1:$O$85,15,0))</f>
        <v>221.63</v>
      </c>
      <c r="Y73" s="6"/>
      <c r="Z73" s="6">
        <f ca="1">('TUSD BE'!$AM$31+'TUSD BF'!$AM$31+'TUSD CVA'!$AM$31)*(1-CUSTOS!$M$38)</f>
        <v>935.82001389693187</v>
      </c>
      <c r="AA73" s="6">
        <f>('TE BE'!$AA$22+'TE BF'!$AA$22+'TE CVA'!$AA$22)*(1-CUSTOS!$M$38)</f>
        <v>241.29063495745513</v>
      </c>
      <c r="AB73" s="6">
        <f t="shared" si="6"/>
        <v>0</v>
      </c>
      <c r="AC73" s="6">
        <f>(L73*W73+M73*X73)/(1-CUSTOS!$M$38)*CUSTOS!$M$38</f>
        <v>4.8903031914893624</v>
      </c>
      <c r="AD73" s="6">
        <f t="shared" si="7"/>
        <v>0</v>
      </c>
      <c r="AE73" s="6">
        <f ca="1">(L73*Z73+N73*AA73)/(1-CUSTOS!$M$38)*CUSTOS!$M$38</f>
        <v>6.3864513927206108</v>
      </c>
      <c r="AF73" s="4" t="s">
        <v>705</v>
      </c>
    </row>
    <row r="74" spans="1:32" ht="11.25" customHeight="1" x14ac:dyDescent="0.25">
      <c r="A74" s="4" t="s">
        <v>21</v>
      </c>
      <c r="B74" s="4" t="s">
        <v>41</v>
      </c>
      <c r="C74" s="4" t="s">
        <v>39</v>
      </c>
      <c r="D74" s="4" t="s">
        <v>42</v>
      </c>
      <c r="E74" s="4" t="s">
        <v>25</v>
      </c>
      <c r="F74" s="4" t="s">
        <v>25</v>
      </c>
      <c r="G74" s="4" t="s">
        <v>25</v>
      </c>
      <c r="H74" s="4" t="s">
        <v>40</v>
      </c>
      <c r="I74" s="5">
        <v>44652</v>
      </c>
      <c r="J74" s="6">
        <v>0</v>
      </c>
      <c r="K74" s="6">
        <v>0</v>
      </c>
      <c r="L74" s="6">
        <v>2.7E-2</v>
      </c>
      <c r="M74" s="6">
        <v>2.7E-2</v>
      </c>
      <c r="N74" s="6">
        <v>2.7E-2</v>
      </c>
      <c r="O74" s="6">
        <v>2.7E-2</v>
      </c>
      <c r="P74" s="6">
        <v>0</v>
      </c>
      <c r="Q74" s="4" t="s">
        <v>26</v>
      </c>
      <c r="R74" s="4">
        <v>0</v>
      </c>
      <c r="S74" s="4">
        <v>0</v>
      </c>
      <c r="T74" s="4">
        <v>27</v>
      </c>
      <c r="U74" s="4">
        <v>64</v>
      </c>
      <c r="V74" s="6">
        <f>IF(ISERROR(VLOOKUP($S$74,'TAR FIN'!$A$1:$O$85,15,0)),0,VLOOKUP($S$74,'TAR FIN'!$A$1:$O$85,15,0))</f>
        <v>0</v>
      </c>
      <c r="W74" s="6">
        <f>IF(ISERROR(VLOOKUP($T$74,'TAR FIN'!$A$1:$O$85,15,0)),0,VLOOKUP($T$74,'TAR FIN'!$A$1:$O$85,15,0))</f>
        <v>679.72</v>
      </c>
      <c r="X74" s="6">
        <f>IF(ISERROR(VLOOKUP($U$74,'TAR FIN'!$A$1:$O$85,15,0)),0,VLOOKUP($U$74,'TAR FIN'!$A$1:$O$85,15,0))</f>
        <v>221.63</v>
      </c>
      <c r="Y74" s="6"/>
      <c r="Z74" s="6">
        <f ca="1">('TUSD BE'!$AM$31+'TUSD BF'!$AM$31+'TUSD CVA'!$AM$31)*(1-CUSTOS!$M$38)</f>
        <v>935.82001389693187</v>
      </c>
      <c r="AA74" s="6">
        <f>('TE BE'!$AA$22+'TE BF'!$AA$22+'TE CVA'!$AA$22)*(1-CUSTOS!$M$38)</f>
        <v>241.29063495745513</v>
      </c>
      <c r="AB74" s="6">
        <f t="shared" si="6"/>
        <v>0</v>
      </c>
      <c r="AC74" s="6">
        <f>(L74*W74+M74*X74)/(1-CUSTOS!$M$38)*CUSTOS!$M$38</f>
        <v>1.5533904255319149</v>
      </c>
      <c r="AD74" s="6">
        <f t="shared" si="7"/>
        <v>0</v>
      </c>
      <c r="AE74" s="6">
        <f ca="1">(L74*Z74+N74*AA74)/(1-CUSTOS!$M$38)*CUSTOS!$M$38</f>
        <v>2.0286375012171352</v>
      </c>
      <c r="AF74" s="4" t="s">
        <v>705</v>
      </c>
    </row>
    <row r="75" spans="1:32" ht="11.25" customHeight="1" x14ac:dyDescent="0.25">
      <c r="A75" s="4" t="s">
        <v>21</v>
      </c>
      <c r="B75" s="4" t="s">
        <v>41</v>
      </c>
      <c r="C75" s="4" t="s">
        <v>39</v>
      </c>
      <c r="D75" s="4" t="s">
        <v>42</v>
      </c>
      <c r="E75" s="4" t="s">
        <v>25</v>
      </c>
      <c r="F75" s="4" t="s">
        <v>25</v>
      </c>
      <c r="G75" s="4" t="s">
        <v>25</v>
      </c>
      <c r="H75" s="4" t="s">
        <v>25</v>
      </c>
      <c r="I75" s="5">
        <v>44317</v>
      </c>
      <c r="J75" s="6">
        <v>0</v>
      </c>
      <c r="K75" s="6">
        <v>0</v>
      </c>
      <c r="L75" s="6">
        <v>0.33700000000000002</v>
      </c>
      <c r="M75" s="6">
        <v>0.33700000000000002</v>
      </c>
      <c r="N75" s="6">
        <v>0.33700000000000002</v>
      </c>
      <c r="O75" s="6">
        <v>0.33700000000000002</v>
      </c>
      <c r="P75" s="6">
        <v>5</v>
      </c>
      <c r="Q75" s="4" t="s">
        <v>26</v>
      </c>
      <c r="R75" s="4">
        <v>0</v>
      </c>
      <c r="S75" s="4">
        <v>0</v>
      </c>
      <c r="T75" s="4">
        <v>29</v>
      </c>
      <c r="U75" s="4">
        <v>66</v>
      </c>
      <c r="V75" s="6">
        <f>IF(ISERROR(VLOOKUP($S$75,'TAR FIN'!$A$1:$O$85,15,0)),0,VLOOKUP($S$75,'TAR FIN'!$A$1:$O$85,15,0))</f>
        <v>0</v>
      </c>
      <c r="W75" s="6">
        <f>IF(ISERROR(VLOOKUP($T$75,'TAR FIN'!$A$1:$O$85,15,0)),0,VLOOKUP($T$75,'TAR FIN'!$A$1:$O$85,15,0))</f>
        <v>448.29</v>
      </c>
      <c r="X75" s="6">
        <f>IF(ISERROR(VLOOKUP($U$75,'TAR FIN'!$A$1:$O$85,15,0)),0,VLOOKUP($U$75,'TAR FIN'!$A$1:$O$85,15,0))</f>
        <v>221.63</v>
      </c>
      <c r="Y75" s="6"/>
      <c r="Z75" s="6">
        <f ca="1">('TUSD BE'!$AM$33+'TUSD BF'!$AM$33+'TUSD CVA'!$AM$33)*(1-CUSTOS!$M$38)</f>
        <v>618.4724353141047</v>
      </c>
      <c r="AA75" s="6">
        <f>('TE BE'!$AA$24+'TE BF'!$AA$24+'TE CVA'!$AA$24)*(1-CUSTOS!$M$38)</f>
        <v>241.29063495745513</v>
      </c>
      <c r="AB75" s="6">
        <f t="shared" si="6"/>
        <v>0</v>
      </c>
      <c r="AC75" s="6">
        <f>(L75*W75+M75*X75)/(1-CUSTOS!$M$38)*CUSTOS!$M$38</f>
        <v>14.41040680851064</v>
      </c>
      <c r="AD75" s="6">
        <f t="shared" si="7"/>
        <v>0</v>
      </c>
      <c r="AE75" s="6">
        <f ca="1">(L75*Z75+N75*AA75)/(1-CUSTOS!$M$38)*CUSTOS!$M$38</f>
        <v>18.494052426479723</v>
      </c>
      <c r="AF75" s="4" t="s">
        <v>705</v>
      </c>
    </row>
    <row r="76" spans="1:32" ht="11.25" customHeight="1" x14ac:dyDescent="0.25">
      <c r="A76" s="4" t="s">
        <v>21</v>
      </c>
      <c r="B76" s="4" t="s">
        <v>41</v>
      </c>
      <c r="C76" s="4" t="s">
        <v>39</v>
      </c>
      <c r="D76" s="4" t="s">
        <v>42</v>
      </c>
      <c r="E76" s="4" t="s">
        <v>25</v>
      </c>
      <c r="F76" s="4" t="s">
        <v>25</v>
      </c>
      <c r="G76" s="4" t="s">
        <v>25</v>
      </c>
      <c r="H76" s="4" t="s">
        <v>25</v>
      </c>
      <c r="I76" s="5">
        <v>44348</v>
      </c>
      <c r="J76" s="6">
        <v>0</v>
      </c>
      <c r="K76" s="6">
        <v>0</v>
      </c>
      <c r="L76" s="6">
        <v>0.36699999999999999</v>
      </c>
      <c r="M76" s="6">
        <v>0.36699999999999999</v>
      </c>
      <c r="N76" s="6">
        <v>0.36699999999999999</v>
      </c>
      <c r="O76" s="6">
        <v>0.36699999999999999</v>
      </c>
      <c r="P76" s="6">
        <v>5</v>
      </c>
      <c r="Q76" s="4" t="s">
        <v>26</v>
      </c>
      <c r="R76" s="4">
        <v>0</v>
      </c>
      <c r="S76" s="4">
        <v>0</v>
      </c>
      <c r="T76" s="4">
        <v>29</v>
      </c>
      <c r="U76" s="4">
        <v>66</v>
      </c>
      <c r="V76" s="6">
        <f>IF(ISERROR(VLOOKUP($S$76,'TAR FIN'!$A$1:$O$85,15,0)),0,VLOOKUP($S$76,'TAR FIN'!$A$1:$O$85,15,0))</f>
        <v>0</v>
      </c>
      <c r="W76" s="6">
        <f>IF(ISERROR(VLOOKUP($T$76,'TAR FIN'!$A$1:$O$85,15,0)),0,VLOOKUP($T$76,'TAR FIN'!$A$1:$O$85,15,0))</f>
        <v>448.29</v>
      </c>
      <c r="X76" s="6">
        <f>IF(ISERROR(VLOOKUP($U$76,'TAR FIN'!$A$1:$O$85,15,0)),0,VLOOKUP($U$76,'TAR FIN'!$A$1:$O$85,15,0))</f>
        <v>221.63</v>
      </c>
      <c r="Y76" s="6"/>
      <c r="Z76" s="6">
        <f ca="1">('TUSD BE'!$AM$33+'TUSD BF'!$AM$33+'TUSD CVA'!$AM$33)*(1-CUSTOS!$M$38)</f>
        <v>618.4724353141047</v>
      </c>
      <c r="AA76" s="6">
        <f>('TE BE'!$AA$24+'TE BF'!$AA$24+'TE CVA'!$AA$24)*(1-CUSTOS!$M$38)</f>
        <v>241.29063495745513</v>
      </c>
      <c r="AB76" s="6">
        <f t="shared" si="6"/>
        <v>0</v>
      </c>
      <c r="AC76" s="6">
        <f>(L76*W76+M76*X76)/(1-CUSTOS!$M$38)*CUSTOS!$M$38</f>
        <v>15.693232340425535</v>
      </c>
      <c r="AD76" s="6">
        <f t="shared" si="7"/>
        <v>0</v>
      </c>
      <c r="AE76" s="6">
        <f ca="1">(L76*Z76+N76*AA76)/(1-CUSTOS!$M$38)*CUSTOS!$M$38</f>
        <v>20.140407241893346</v>
      </c>
      <c r="AF76" s="4" t="s">
        <v>705</v>
      </c>
    </row>
    <row r="77" spans="1:32" ht="11.25" customHeight="1" x14ac:dyDescent="0.25">
      <c r="A77" s="4" t="s">
        <v>21</v>
      </c>
      <c r="B77" s="4" t="s">
        <v>41</v>
      </c>
      <c r="C77" s="4" t="s">
        <v>39</v>
      </c>
      <c r="D77" s="4" t="s">
        <v>42</v>
      </c>
      <c r="E77" s="4" t="s">
        <v>25</v>
      </c>
      <c r="F77" s="4" t="s">
        <v>25</v>
      </c>
      <c r="G77" s="4" t="s">
        <v>25</v>
      </c>
      <c r="H77" s="4" t="s">
        <v>25</v>
      </c>
      <c r="I77" s="5">
        <v>44378</v>
      </c>
      <c r="J77" s="6">
        <v>0</v>
      </c>
      <c r="K77" s="6">
        <v>0</v>
      </c>
      <c r="L77" s="6">
        <v>0.27700000000000002</v>
      </c>
      <c r="M77" s="6">
        <v>0.27700000000000002</v>
      </c>
      <c r="N77" s="6">
        <v>0.27700000000000002</v>
      </c>
      <c r="O77" s="6">
        <v>0.27700000000000002</v>
      </c>
      <c r="P77" s="6">
        <v>5</v>
      </c>
      <c r="Q77" s="4" t="s">
        <v>26</v>
      </c>
      <c r="R77" s="4">
        <v>0</v>
      </c>
      <c r="S77" s="4">
        <v>0</v>
      </c>
      <c r="T77" s="4">
        <v>29</v>
      </c>
      <c r="U77" s="4">
        <v>66</v>
      </c>
      <c r="V77" s="6">
        <f>IF(ISERROR(VLOOKUP($S$77,'TAR FIN'!$A$1:$O$85,15,0)),0,VLOOKUP($S$77,'TAR FIN'!$A$1:$O$85,15,0))</f>
        <v>0</v>
      </c>
      <c r="W77" s="6">
        <f>IF(ISERROR(VLOOKUP($T$77,'TAR FIN'!$A$1:$O$85,15,0)),0,VLOOKUP($T$77,'TAR FIN'!$A$1:$O$85,15,0))</f>
        <v>448.29</v>
      </c>
      <c r="X77" s="6">
        <f>IF(ISERROR(VLOOKUP($U$77,'TAR FIN'!$A$1:$O$85,15,0)),0,VLOOKUP($U$77,'TAR FIN'!$A$1:$O$85,15,0))</f>
        <v>221.63</v>
      </c>
      <c r="Y77" s="6"/>
      <c r="Z77" s="6">
        <f ca="1">('TUSD BE'!$AM$33+'TUSD BF'!$AM$33+'TUSD CVA'!$AM$33)*(1-CUSTOS!$M$38)</f>
        <v>618.4724353141047</v>
      </c>
      <c r="AA77" s="6">
        <f>('TE BE'!$AA$24+'TE BF'!$AA$24+'TE CVA'!$AA$24)*(1-CUSTOS!$M$38)</f>
        <v>241.29063495745513</v>
      </c>
      <c r="AB77" s="6">
        <f t="shared" si="6"/>
        <v>0</v>
      </c>
      <c r="AC77" s="6">
        <f>(L77*W77+M77*X77)/(1-CUSTOS!$M$38)*CUSTOS!$M$38</f>
        <v>11.844755744680853</v>
      </c>
      <c r="AD77" s="6">
        <f t="shared" si="7"/>
        <v>0</v>
      </c>
      <c r="AE77" s="6">
        <f ca="1">(L77*Z77+N77*AA77)/(1-CUSTOS!$M$38)*CUSTOS!$M$38</f>
        <v>15.201342795652474</v>
      </c>
      <c r="AF77" s="4" t="s">
        <v>705</v>
      </c>
    </row>
    <row r="78" spans="1:32" ht="11.25" customHeight="1" x14ac:dyDescent="0.25">
      <c r="A78" s="4" t="s">
        <v>21</v>
      </c>
      <c r="B78" s="4" t="s">
        <v>41</v>
      </c>
      <c r="C78" s="4" t="s">
        <v>39</v>
      </c>
      <c r="D78" s="4" t="s">
        <v>42</v>
      </c>
      <c r="E78" s="4" t="s">
        <v>25</v>
      </c>
      <c r="F78" s="4" t="s">
        <v>25</v>
      </c>
      <c r="G78" s="4" t="s">
        <v>25</v>
      </c>
      <c r="H78" s="4" t="s">
        <v>25</v>
      </c>
      <c r="I78" s="5">
        <v>44409</v>
      </c>
      <c r="J78" s="6">
        <v>0</v>
      </c>
      <c r="K78" s="6">
        <v>0</v>
      </c>
      <c r="L78" s="6">
        <v>0.27</v>
      </c>
      <c r="M78" s="6">
        <v>0.27</v>
      </c>
      <c r="N78" s="6">
        <v>0.27</v>
      </c>
      <c r="O78" s="6">
        <v>0.27</v>
      </c>
      <c r="P78" s="6">
        <v>5</v>
      </c>
      <c r="Q78" s="4" t="s">
        <v>26</v>
      </c>
      <c r="R78" s="4">
        <v>0</v>
      </c>
      <c r="S78" s="4">
        <v>0</v>
      </c>
      <c r="T78" s="4">
        <v>29</v>
      </c>
      <c r="U78" s="4">
        <v>66</v>
      </c>
      <c r="V78" s="6">
        <f>IF(ISERROR(VLOOKUP($S$78,'TAR FIN'!$A$1:$O$85,15,0)),0,VLOOKUP($S$78,'TAR FIN'!$A$1:$O$85,15,0))</f>
        <v>0</v>
      </c>
      <c r="W78" s="6">
        <f>IF(ISERROR(VLOOKUP($T$78,'TAR FIN'!$A$1:$O$85,15,0)),0,VLOOKUP($T$78,'TAR FIN'!$A$1:$O$85,15,0))</f>
        <v>448.29</v>
      </c>
      <c r="X78" s="6">
        <f>IF(ISERROR(VLOOKUP($U$78,'TAR FIN'!$A$1:$O$85,15,0)),0,VLOOKUP($U$78,'TAR FIN'!$A$1:$O$85,15,0))</f>
        <v>221.63</v>
      </c>
      <c r="Y78" s="6"/>
      <c r="Z78" s="6">
        <f ca="1">('TUSD BE'!$AM$33+'TUSD BF'!$AM$33+'TUSD CVA'!$AM$33)*(1-CUSTOS!$M$38)</f>
        <v>618.4724353141047</v>
      </c>
      <c r="AA78" s="6">
        <f>('TE BE'!$AA$24+'TE BF'!$AA$24+'TE CVA'!$AA$24)*(1-CUSTOS!$M$38)</f>
        <v>241.29063495745513</v>
      </c>
      <c r="AB78" s="6">
        <f t="shared" si="6"/>
        <v>0</v>
      </c>
      <c r="AC78" s="6">
        <f>(L78*W78+M78*X78)/(1-CUSTOS!$M$38)*CUSTOS!$M$38</f>
        <v>11.545429787234042</v>
      </c>
      <c r="AD78" s="6">
        <f t="shared" si="7"/>
        <v>0</v>
      </c>
      <c r="AE78" s="6">
        <f ca="1">(L78*Z78+N78*AA78)/(1-CUSTOS!$M$38)*CUSTOS!$M$38</f>
        <v>14.817193338722628</v>
      </c>
      <c r="AF78" s="4" t="s">
        <v>705</v>
      </c>
    </row>
    <row r="79" spans="1:32" ht="11.25" customHeight="1" x14ac:dyDescent="0.25">
      <c r="A79" s="4" t="s">
        <v>21</v>
      </c>
      <c r="B79" s="4" t="s">
        <v>41</v>
      </c>
      <c r="C79" s="4" t="s">
        <v>39</v>
      </c>
      <c r="D79" s="4" t="s">
        <v>42</v>
      </c>
      <c r="E79" s="4" t="s">
        <v>25</v>
      </c>
      <c r="F79" s="4" t="s">
        <v>25</v>
      </c>
      <c r="G79" s="4" t="s">
        <v>25</v>
      </c>
      <c r="H79" s="4" t="s">
        <v>25</v>
      </c>
      <c r="I79" s="5">
        <v>44440</v>
      </c>
      <c r="J79" s="6">
        <v>0</v>
      </c>
      <c r="K79" s="6">
        <v>0</v>
      </c>
      <c r="L79" s="6">
        <v>0.154</v>
      </c>
      <c r="M79" s="6">
        <v>0.154</v>
      </c>
      <c r="N79" s="6">
        <v>0.154</v>
      </c>
      <c r="O79" s="6">
        <v>0.154</v>
      </c>
      <c r="P79" s="6">
        <v>6</v>
      </c>
      <c r="Q79" s="4" t="s">
        <v>26</v>
      </c>
      <c r="R79" s="4">
        <v>0</v>
      </c>
      <c r="S79" s="4">
        <v>0</v>
      </c>
      <c r="T79" s="4">
        <v>29</v>
      </c>
      <c r="U79" s="4">
        <v>66</v>
      </c>
      <c r="V79" s="6">
        <f>IF(ISERROR(VLOOKUP($S$79,'TAR FIN'!$A$1:$O$85,15,0)),0,VLOOKUP($S$79,'TAR FIN'!$A$1:$O$85,15,0))</f>
        <v>0</v>
      </c>
      <c r="W79" s="6">
        <f>IF(ISERROR(VLOOKUP($T$79,'TAR FIN'!$A$1:$O$85,15,0)),0,VLOOKUP($T$79,'TAR FIN'!$A$1:$O$85,15,0))</f>
        <v>448.29</v>
      </c>
      <c r="X79" s="6">
        <f>IF(ISERROR(VLOOKUP($U$79,'TAR FIN'!$A$1:$O$85,15,0)),0,VLOOKUP($U$79,'TAR FIN'!$A$1:$O$85,15,0))</f>
        <v>221.63</v>
      </c>
      <c r="Y79" s="6"/>
      <c r="Z79" s="6">
        <f ca="1">('TUSD BE'!$AM$33+'TUSD BF'!$AM$33+'TUSD CVA'!$AM$33)*(1-CUSTOS!$M$38)</f>
        <v>618.4724353141047</v>
      </c>
      <c r="AA79" s="6">
        <f>('TE BE'!$AA$24+'TE BF'!$AA$24+'TE CVA'!$AA$24)*(1-CUSTOS!$M$38)</f>
        <v>241.29063495745513</v>
      </c>
      <c r="AB79" s="6">
        <f t="shared" si="6"/>
        <v>0</v>
      </c>
      <c r="AC79" s="6">
        <f>(L79*W79+M79*X79)/(1-CUSTOS!$M$38)*CUSTOS!$M$38</f>
        <v>6.5851710638297867</v>
      </c>
      <c r="AD79" s="6">
        <f t="shared" si="7"/>
        <v>0</v>
      </c>
      <c r="AE79" s="6">
        <f ca="1">(L79*Z79+N79*AA79)/(1-CUSTOS!$M$38)*CUSTOS!$M$38</f>
        <v>8.4512880524566096</v>
      </c>
      <c r="AF79" s="4" t="s">
        <v>705</v>
      </c>
    </row>
    <row r="80" spans="1:32" ht="11.25" customHeight="1" x14ac:dyDescent="0.25">
      <c r="A80" s="4" t="s">
        <v>21</v>
      </c>
      <c r="B80" s="4" t="s">
        <v>41</v>
      </c>
      <c r="C80" s="4" t="s">
        <v>39</v>
      </c>
      <c r="D80" s="4" t="s">
        <v>42</v>
      </c>
      <c r="E80" s="4" t="s">
        <v>25</v>
      </c>
      <c r="F80" s="4" t="s">
        <v>25</v>
      </c>
      <c r="G80" s="4" t="s">
        <v>25</v>
      </c>
      <c r="H80" s="4" t="s">
        <v>25</v>
      </c>
      <c r="I80" s="5">
        <v>44470</v>
      </c>
      <c r="J80" s="6">
        <v>0</v>
      </c>
      <c r="K80" s="6">
        <v>0</v>
      </c>
      <c r="L80" s="6">
        <v>8.8999999999999996E-2</v>
      </c>
      <c r="M80" s="6">
        <v>8.8999999999999996E-2</v>
      </c>
      <c r="N80" s="6">
        <v>8.8999999999999996E-2</v>
      </c>
      <c r="O80" s="6">
        <v>8.8999999999999996E-2</v>
      </c>
      <c r="P80" s="6">
        <v>6</v>
      </c>
      <c r="Q80" s="4" t="s">
        <v>26</v>
      </c>
      <c r="R80" s="4">
        <v>0</v>
      </c>
      <c r="S80" s="4">
        <v>0</v>
      </c>
      <c r="T80" s="4">
        <v>29</v>
      </c>
      <c r="U80" s="4">
        <v>66</v>
      </c>
      <c r="V80" s="6">
        <f>IF(ISERROR(VLOOKUP($S$80,'TAR FIN'!$A$1:$O$85,15,0)),0,VLOOKUP($S$80,'TAR FIN'!$A$1:$O$85,15,0))</f>
        <v>0</v>
      </c>
      <c r="W80" s="6">
        <f>IF(ISERROR(VLOOKUP($T$80,'TAR FIN'!$A$1:$O$85,15,0)),0,VLOOKUP($T$80,'TAR FIN'!$A$1:$O$85,15,0))</f>
        <v>448.29</v>
      </c>
      <c r="X80" s="6">
        <f>IF(ISERROR(VLOOKUP($U$80,'TAR FIN'!$A$1:$O$85,15,0)),0,VLOOKUP($U$80,'TAR FIN'!$A$1:$O$85,15,0))</f>
        <v>221.63</v>
      </c>
      <c r="Y80" s="6"/>
      <c r="Z80" s="6">
        <f ca="1">('TUSD BE'!$AM$33+'TUSD BF'!$AM$33+'TUSD CVA'!$AM$33)*(1-CUSTOS!$M$38)</f>
        <v>618.4724353141047</v>
      </c>
      <c r="AA80" s="6">
        <f>('TE BE'!$AA$24+'TE BF'!$AA$24+'TE CVA'!$AA$24)*(1-CUSTOS!$M$38)</f>
        <v>241.29063495745513</v>
      </c>
      <c r="AB80" s="6">
        <f t="shared" si="6"/>
        <v>0</v>
      </c>
      <c r="AC80" s="6">
        <f>(L80*W80+M80*X80)/(1-CUSTOS!$M$38)*CUSTOS!$M$38</f>
        <v>3.8057157446808509</v>
      </c>
      <c r="AD80" s="6">
        <f t="shared" si="7"/>
        <v>0</v>
      </c>
      <c r="AE80" s="6">
        <f ca="1">(L80*Z80+N80*AA80)/(1-CUSTOS!$M$38)*CUSTOS!$M$38</f>
        <v>4.8841859523937554</v>
      </c>
      <c r="AF80" s="4" t="s">
        <v>705</v>
      </c>
    </row>
    <row r="81" spans="1:32" ht="11.25" customHeight="1" x14ac:dyDescent="0.25">
      <c r="A81" s="4" t="s">
        <v>21</v>
      </c>
      <c r="B81" s="4" t="s">
        <v>41</v>
      </c>
      <c r="C81" s="4" t="s">
        <v>39</v>
      </c>
      <c r="D81" s="4" t="s">
        <v>42</v>
      </c>
      <c r="E81" s="4" t="s">
        <v>25</v>
      </c>
      <c r="F81" s="4" t="s">
        <v>25</v>
      </c>
      <c r="G81" s="4" t="s">
        <v>25</v>
      </c>
      <c r="H81" s="4" t="s">
        <v>25</v>
      </c>
      <c r="I81" s="5">
        <v>44501</v>
      </c>
      <c r="J81" s="6">
        <v>0</v>
      </c>
      <c r="K81" s="6">
        <v>0</v>
      </c>
      <c r="L81" s="6">
        <v>0.128</v>
      </c>
      <c r="M81" s="6">
        <v>0.128</v>
      </c>
      <c r="N81" s="6">
        <v>0.128</v>
      </c>
      <c r="O81" s="6">
        <v>0.128</v>
      </c>
      <c r="P81" s="6">
        <v>6</v>
      </c>
      <c r="Q81" s="4" t="s">
        <v>26</v>
      </c>
      <c r="R81" s="4">
        <v>0</v>
      </c>
      <c r="S81" s="4">
        <v>0</v>
      </c>
      <c r="T81" s="4">
        <v>29</v>
      </c>
      <c r="U81" s="4">
        <v>66</v>
      </c>
      <c r="V81" s="6">
        <f>IF(ISERROR(VLOOKUP($S$81,'TAR FIN'!$A$1:$O$85,15,0)),0,VLOOKUP($S$81,'TAR FIN'!$A$1:$O$85,15,0))</f>
        <v>0</v>
      </c>
      <c r="W81" s="6">
        <f>IF(ISERROR(VLOOKUP($T$81,'TAR FIN'!$A$1:$O$85,15,0)),0,VLOOKUP($T$81,'TAR FIN'!$A$1:$O$85,15,0))</f>
        <v>448.29</v>
      </c>
      <c r="X81" s="6">
        <f>IF(ISERROR(VLOOKUP($U$81,'TAR FIN'!$A$1:$O$85,15,0)),0,VLOOKUP($U$81,'TAR FIN'!$A$1:$O$85,15,0))</f>
        <v>221.63</v>
      </c>
      <c r="Y81" s="6"/>
      <c r="Z81" s="6">
        <f ca="1">('TUSD BE'!$AM$33+'TUSD BF'!$AM$33+'TUSD CVA'!$AM$33)*(1-CUSTOS!$M$38)</f>
        <v>618.4724353141047</v>
      </c>
      <c r="AA81" s="6">
        <f>('TE BE'!$AA$24+'TE BF'!$AA$24+'TE CVA'!$AA$24)*(1-CUSTOS!$M$38)</f>
        <v>241.29063495745513</v>
      </c>
      <c r="AB81" s="6">
        <f t="shared" si="6"/>
        <v>0</v>
      </c>
      <c r="AC81" s="6">
        <f>(L81*W81+M81*X81)/(1-CUSTOS!$M$38)*CUSTOS!$M$38</f>
        <v>5.4733889361702142</v>
      </c>
      <c r="AD81" s="6">
        <f t="shared" si="7"/>
        <v>0</v>
      </c>
      <c r="AE81" s="6">
        <f ca="1">(L81*Z81+N81*AA81)/(1-CUSTOS!$M$38)*CUSTOS!$M$38</f>
        <v>7.0244472124314665</v>
      </c>
      <c r="AF81" s="4" t="s">
        <v>705</v>
      </c>
    </row>
    <row r="82" spans="1:32" ht="11.25" customHeight="1" x14ac:dyDescent="0.25">
      <c r="A82" s="4" t="s">
        <v>21</v>
      </c>
      <c r="B82" s="4" t="s">
        <v>41</v>
      </c>
      <c r="C82" s="4" t="s">
        <v>39</v>
      </c>
      <c r="D82" s="4" t="s">
        <v>42</v>
      </c>
      <c r="E82" s="4" t="s">
        <v>25</v>
      </c>
      <c r="F82" s="4" t="s">
        <v>25</v>
      </c>
      <c r="G82" s="4" t="s">
        <v>25</v>
      </c>
      <c r="H82" s="4" t="s">
        <v>25</v>
      </c>
      <c r="I82" s="5">
        <v>44531</v>
      </c>
      <c r="J82" s="6">
        <v>0</v>
      </c>
      <c r="K82" s="6">
        <v>0</v>
      </c>
      <c r="L82" s="6">
        <v>5.7000000000000002E-2</v>
      </c>
      <c r="M82" s="6">
        <v>5.7000000000000002E-2</v>
      </c>
      <c r="N82" s="6">
        <v>5.7000000000000002E-2</v>
      </c>
      <c r="O82" s="6">
        <v>5.7000000000000002E-2</v>
      </c>
      <c r="P82" s="6">
        <v>7</v>
      </c>
      <c r="Q82" s="4" t="s">
        <v>26</v>
      </c>
      <c r="R82" s="4">
        <v>0</v>
      </c>
      <c r="S82" s="4">
        <v>0</v>
      </c>
      <c r="T82" s="4">
        <v>29</v>
      </c>
      <c r="U82" s="4">
        <v>66</v>
      </c>
      <c r="V82" s="6">
        <f>IF(ISERROR(VLOOKUP($S$82,'TAR FIN'!$A$1:$O$85,15,0)),0,VLOOKUP($S$82,'TAR FIN'!$A$1:$O$85,15,0))</f>
        <v>0</v>
      </c>
      <c r="W82" s="6">
        <f>IF(ISERROR(VLOOKUP($T$82,'TAR FIN'!$A$1:$O$85,15,0)),0,VLOOKUP($T$82,'TAR FIN'!$A$1:$O$85,15,0))</f>
        <v>448.29</v>
      </c>
      <c r="X82" s="6">
        <f>IF(ISERROR(VLOOKUP($U$82,'TAR FIN'!$A$1:$O$85,15,0)),0,VLOOKUP($U$82,'TAR FIN'!$A$1:$O$85,15,0))</f>
        <v>221.63</v>
      </c>
      <c r="Y82" s="6"/>
      <c r="Z82" s="6">
        <f ca="1">('TUSD BE'!$AM$33+'TUSD BF'!$AM$33+'TUSD CVA'!$AM$33)*(1-CUSTOS!$M$38)</f>
        <v>618.4724353141047</v>
      </c>
      <c r="AA82" s="6">
        <f>('TE BE'!$AA$24+'TE BF'!$AA$24+'TE CVA'!$AA$24)*(1-CUSTOS!$M$38)</f>
        <v>241.29063495745513</v>
      </c>
      <c r="AB82" s="6">
        <f t="shared" si="6"/>
        <v>0</v>
      </c>
      <c r="AC82" s="6">
        <f>(L82*W82+M82*X82)/(1-CUSTOS!$M$38)*CUSTOS!$M$38</f>
        <v>2.4373685106382981</v>
      </c>
      <c r="AD82" s="6">
        <f t="shared" si="7"/>
        <v>0</v>
      </c>
      <c r="AE82" s="6">
        <f ca="1">(L82*Z82+N82*AA82)/(1-CUSTOS!$M$38)*CUSTOS!$M$38</f>
        <v>3.1280741492858883</v>
      </c>
      <c r="AF82" s="4" t="s">
        <v>705</v>
      </c>
    </row>
    <row r="83" spans="1:32" ht="11.25" customHeight="1" x14ac:dyDescent="0.25">
      <c r="A83" s="4" t="s">
        <v>21</v>
      </c>
      <c r="B83" s="4" t="s">
        <v>41</v>
      </c>
      <c r="C83" s="4" t="s">
        <v>39</v>
      </c>
      <c r="D83" s="4" t="s">
        <v>42</v>
      </c>
      <c r="E83" s="4" t="s">
        <v>25</v>
      </c>
      <c r="F83" s="4" t="s">
        <v>25</v>
      </c>
      <c r="G83" s="4" t="s">
        <v>25</v>
      </c>
      <c r="H83" s="4" t="s">
        <v>25</v>
      </c>
      <c r="I83" s="5">
        <v>44562</v>
      </c>
      <c r="J83" s="6">
        <v>0</v>
      </c>
      <c r="K83" s="6">
        <v>0</v>
      </c>
      <c r="L83" s="6">
        <v>0.14799999999999999</v>
      </c>
      <c r="M83" s="6">
        <v>0.14799999999999999</v>
      </c>
      <c r="N83" s="6">
        <v>0.14799999999999999</v>
      </c>
      <c r="O83" s="6">
        <v>0.14799999999999999</v>
      </c>
      <c r="P83" s="6">
        <v>8</v>
      </c>
      <c r="Q83" s="4" t="s">
        <v>26</v>
      </c>
      <c r="R83" s="4">
        <v>0</v>
      </c>
      <c r="S83" s="4">
        <v>0</v>
      </c>
      <c r="T83" s="4">
        <v>29</v>
      </c>
      <c r="U83" s="4">
        <v>66</v>
      </c>
      <c r="V83" s="6">
        <f>IF(ISERROR(VLOOKUP($S$83,'TAR FIN'!$A$1:$O$85,15,0)),0,VLOOKUP($S$83,'TAR FIN'!$A$1:$O$85,15,0))</f>
        <v>0</v>
      </c>
      <c r="W83" s="6">
        <f>IF(ISERROR(VLOOKUP($T$83,'TAR FIN'!$A$1:$O$85,15,0)),0,VLOOKUP($T$83,'TAR FIN'!$A$1:$O$85,15,0))</f>
        <v>448.29</v>
      </c>
      <c r="X83" s="6">
        <f>IF(ISERROR(VLOOKUP($U$83,'TAR FIN'!$A$1:$O$85,15,0)),0,VLOOKUP($U$83,'TAR FIN'!$A$1:$O$85,15,0))</f>
        <v>221.63</v>
      </c>
      <c r="Y83" s="6"/>
      <c r="Z83" s="6">
        <f ca="1">('TUSD BE'!$AM$33+'TUSD BF'!$AM$33+'TUSD CVA'!$AM$33)*(1-CUSTOS!$M$38)</f>
        <v>618.4724353141047</v>
      </c>
      <c r="AA83" s="6">
        <f>('TE BE'!$AA$24+'TE BF'!$AA$24+'TE CVA'!$AA$24)*(1-CUSTOS!$M$38)</f>
        <v>241.29063495745513</v>
      </c>
      <c r="AB83" s="6">
        <f t="shared" si="6"/>
        <v>0</v>
      </c>
      <c r="AC83" s="6">
        <f>(L83*W83+M83*X83)/(1-CUSTOS!$M$38)*CUSTOS!$M$38</f>
        <v>6.3286059574468077</v>
      </c>
      <c r="AD83" s="6">
        <f t="shared" si="7"/>
        <v>0</v>
      </c>
      <c r="AE83" s="6">
        <f ca="1">(L83*Z83+N83*AA83)/(1-CUSTOS!$M$38)*CUSTOS!$M$38</f>
        <v>8.1220170893738839</v>
      </c>
      <c r="AF83" s="4" t="s">
        <v>705</v>
      </c>
    </row>
    <row r="84" spans="1:32" ht="11.25" customHeight="1" x14ac:dyDescent="0.25">
      <c r="A84" s="4" t="s">
        <v>21</v>
      </c>
      <c r="B84" s="4" t="s">
        <v>41</v>
      </c>
      <c r="C84" s="4" t="s">
        <v>39</v>
      </c>
      <c r="D84" s="4" t="s">
        <v>42</v>
      </c>
      <c r="E84" s="4" t="s">
        <v>25</v>
      </c>
      <c r="F84" s="4" t="s">
        <v>25</v>
      </c>
      <c r="G84" s="4" t="s">
        <v>25</v>
      </c>
      <c r="H84" s="4" t="s">
        <v>25</v>
      </c>
      <c r="I84" s="5">
        <v>44593</v>
      </c>
      <c r="J84" s="6">
        <v>0</v>
      </c>
      <c r="K84" s="6">
        <v>0</v>
      </c>
      <c r="L84" s="6">
        <v>9.9000000000000005E-2</v>
      </c>
      <c r="M84" s="6">
        <v>9.9000000000000005E-2</v>
      </c>
      <c r="N84" s="6">
        <v>9.9000000000000005E-2</v>
      </c>
      <c r="O84" s="6">
        <v>9.9000000000000005E-2</v>
      </c>
      <c r="P84" s="6">
        <v>8</v>
      </c>
      <c r="Q84" s="4" t="s">
        <v>26</v>
      </c>
      <c r="R84" s="4">
        <v>0</v>
      </c>
      <c r="S84" s="4">
        <v>0</v>
      </c>
      <c r="T84" s="4">
        <v>29</v>
      </c>
      <c r="U84" s="4">
        <v>66</v>
      </c>
      <c r="V84" s="6">
        <f>IF(ISERROR(VLOOKUP($S$84,'TAR FIN'!$A$1:$O$85,15,0)),0,VLOOKUP($S$84,'TAR FIN'!$A$1:$O$85,15,0))</f>
        <v>0</v>
      </c>
      <c r="W84" s="6">
        <f>IF(ISERROR(VLOOKUP($T$84,'TAR FIN'!$A$1:$O$85,15,0)),0,VLOOKUP($T$84,'TAR FIN'!$A$1:$O$85,15,0))</f>
        <v>448.29</v>
      </c>
      <c r="X84" s="6">
        <f>IF(ISERROR(VLOOKUP($U$84,'TAR FIN'!$A$1:$O$85,15,0)),0,VLOOKUP($U$84,'TAR FIN'!$A$1:$O$85,15,0))</f>
        <v>221.63</v>
      </c>
      <c r="Y84" s="6"/>
      <c r="Z84" s="6">
        <f ca="1">('TUSD BE'!$AM$33+'TUSD BF'!$AM$33+'TUSD CVA'!$AM$33)*(1-CUSTOS!$M$38)</f>
        <v>618.4724353141047</v>
      </c>
      <c r="AA84" s="6">
        <f>('TE BE'!$AA$24+'TE BF'!$AA$24+'TE CVA'!$AA$24)*(1-CUSTOS!$M$38)</f>
        <v>241.29063495745513</v>
      </c>
      <c r="AB84" s="6">
        <f t="shared" si="6"/>
        <v>0</v>
      </c>
      <c r="AC84" s="6">
        <f>(L84*W84+M84*X84)/(1-CUSTOS!$M$38)*CUSTOS!$M$38</f>
        <v>4.2333242553191486</v>
      </c>
      <c r="AD84" s="6">
        <f t="shared" si="7"/>
        <v>0</v>
      </c>
      <c r="AE84" s="6">
        <f ca="1">(L84*Z84+N84*AA84)/(1-CUSTOS!$M$38)*CUSTOS!$M$38</f>
        <v>5.4329708908649632</v>
      </c>
      <c r="AF84" s="4" t="s">
        <v>705</v>
      </c>
    </row>
    <row r="85" spans="1:32" ht="11.25" customHeight="1" x14ac:dyDescent="0.25">
      <c r="A85" s="4" t="s">
        <v>21</v>
      </c>
      <c r="B85" s="4" t="s">
        <v>41</v>
      </c>
      <c r="C85" s="4" t="s">
        <v>39</v>
      </c>
      <c r="D85" s="4" t="s">
        <v>42</v>
      </c>
      <c r="E85" s="4" t="s">
        <v>25</v>
      </c>
      <c r="F85" s="4" t="s">
        <v>25</v>
      </c>
      <c r="G85" s="4" t="s">
        <v>25</v>
      </c>
      <c r="H85" s="4" t="s">
        <v>25</v>
      </c>
      <c r="I85" s="5">
        <v>44621</v>
      </c>
      <c r="J85" s="6">
        <v>0</v>
      </c>
      <c r="K85" s="6">
        <v>0</v>
      </c>
      <c r="L85" s="6">
        <v>0.106</v>
      </c>
      <c r="M85" s="6">
        <v>0.106</v>
      </c>
      <c r="N85" s="6">
        <v>0.106</v>
      </c>
      <c r="O85" s="6">
        <v>0.106</v>
      </c>
      <c r="P85" s="6">
        <v>8</v>
      </c>
      <c r="Q85" s="4" t="s">
        <v>26</v>
      </c>
      <c r="R85" s="4">
        <v>0</v>
      </c>
      <c r="S85" s="4">
        <v>0</v>
      </c>
      <c r="T85" s="4">
        <v>29</v>
      </c>
      <c r="U85" s="4">
        <v>66</v>
      </c>
      <c r="V85" s="6">
        <f>IF(ISERROR(VLOOKUP($S$85,'TAR FIN'!$A$1:$O$85,15,0)),0,VLOOKUP($S$85,'TAR FIN'!$A$1:$O$85,15,0))</f>
        <v>0</v>
      </c>
      <c r="W85" s="6">
        <f>IF(ISERROR(VLOOKUP($T$85,'TAR FIN'!$A$1:$O$85,15,0)),0,VLOOKUP($T$85,'TAR FIN'!$A$1:$O$85,15,0))</f>
        <v>448.29</v>
      </c>
      <c r="X85" s="6">
        <f>IF(ISERROR(VLOOKUP($U$85,'TAR FIN'!$A$1:$O$85,15,0)),0,VLOOKUP($U$85,'TAR FIN'!$A$1:$O$85,15,0))</f>
        <v>221.63</v>
      </c>
      <c r="Y85" s="6"/>
      <c r="Z85" s="6">
        <f ca="1">('TUSD BE'!$AM$33+'TUSD BF'!$AM$33+'TUSD CVA'!$AM$33)*(1-CUSTOS!$M$38)</f>
        <v>618.4724353141047</v>
      </c>
      <c r="AA85" s="6">
        <f>('TE BE'!$AA$24+'TE BF'!$AA$24+'TE CVA'!$AA$24)*(1-CUSTOS!$M$38)</f>
        <v>241.29063495745513</v>
      </c>
      <c r="AB85" s="6">
        <f t="shared" si="6"/>
        <v>0</v>
      </c>
      <c r="AC85" s="6">
        <f>(L85*W85+M85*X85)/(1-CUSTOS!$M$38)*CUSTOS!$M$38</f>
        <v>4.5326502127659571</v>
      </c>
      <c r="AD85" s="6">
        <f t="shared" si="7"/>
        <v>0</v>
      </c>
      <c r="AE85" s="6">
        <f ca="1">(L85*Z85+N85*AA85)/(1-CUSTOS!$M$38)*CUSTOS!$M$38</f>
        <v>5.8171203477948081</v>
      </c>
      <c r="AF85" s="4" t="s">
        <v>705</v>
      </c>
    </row>
    <row r="86" spans="1:32" ht="11.25" customHeight="1" x14ac:dyDescent="0.25">
      <c r="A86" s="4" t="s">
        <v>21</v>
      </c>
      <c r="B86" s="4" t="s">
        <v>41</v>
      </c>
      <c r="C86" s="4" t="s">
        <v>39</v>
      </c>
      <c r="D86" s="4" t="s">
        <v>42</v>
      </c>
      <c r="E86" s="4" t="s">
        <v>25</v>
      </c>
      <c r="F86" s="4" t="s">
        <v>25</v>
      </c>
      <c r="G86" s="4" t="s">
        <v>25</v>
      </c>
      <c r="H86" s="4" t="s">
        <v>25</v>
      </c>
      <c r="I86" s="5">
        <v>44652</v>
      </c>
      <c r="J86" s="6">
        <v>0</v>
      </c>
      <c r="K86" s="6">
        <v>0</v>
      </c>
      <c r="L86" s="6">
        <v>0.184</v>
      </c>
      <c r="M86" s="6">
        <v>0.184</v>
      </c>
      <c r="N86" s="6">
        <v>0.184</v>
      </c>
      <c r="O86" s="6">
        <v>0.184</v>
      </c>
      <c r="P86" s="6">
        <v>8</v>
      </c>
      <c r="Q86" s="4" t="s">
        <v>26</v>
      </c>
      <c r="R86" s="4">
        <v>0</v>
      </c>
      <c r="S86" s="4">
        <v>0</v>
      </c>
      <c r="T86" s="4">
        <v>29</v>
      </c>
      <c r="U86" s="4">
        <v>66</v>
      </c>
      <c r="V86" s="6">
        <f>IF(ISERROR(VLOOKUP($S$86,'TAR FIN'!$A$1:$O$85,15,0)),0,VLOOKUP($S$86,'TAR FIN'!$A$1:$O$85,15,0))</f>
        <v>0</v>
      </c>
      <c r="W86" s="6">
        <f>IF(ISERROR(VLOOKUP($T$86,'TAR FIN'!$A$1:$O$85,15,0)),0,VLOOKUP($T$86,'TAR FIN'!$A$1:$O$85,15,0))</f>
        <v>448.29</v>
      </c>
      <c r="X86" s="6">
        <f>IF(ISERROR(VLOOKUP($U$86,'TAR FIN'!$A$1:$O$85,15,0)),0,VLOOKUP($U$86,'TAR FIN'!$A$1:$O$85,15,0))</f>
        <v>221.63</v>
      </c>
      <c r="Y86" s="6"/>
      <c r="Z86" s="6">
        <f ca="1">('TUSD BE'!$AM$33+'TUSD BF'!$AM$33+'TUSD CVA'!$AM$33)*(1-CUSTOS!$M$38)</f>
        <v>618.4724353141047</v>
      </c>
      <c r="AA86" s="6">
        <f>('TE BE'!$AA$24+'TE BF'!$AA$24+'TE CVA'!$AA$24)*(1-CUSTOS!$M$38)</f>
        <v>241.29063495745513</v>
      </c>
      <c r="AB86" s="6">
        <f t="shared" si="6"/>
        <v>0</v>
      </c>
      <c r="AC86" s="6">
        <f>(L86*W86+M86*X86)/(1-CUSTOS!$M$38)*CUSTOS!$M$38</f>
        <v>7.8679965957446809</v>
      </c>
      <c r="AD86" s="6">
        <f t="shared" si="7"/>
        <v>0</v>
      </c>
      <c r="AE86" s="6">
        <f ca="1">(L86*Z86+N86*AA86)/(1-CUSTOS!$M$38)*CUSTOS!$M$38</f>
        <v>10.097642867870233</v>
      </c>
      <c r="AF86" s="4" t="s">
        <v>705</v>
      </c>
    </row>
    <row r="87" spans="1:32" ht="11.25" customHeight="1" x14ac:dyDescent="0.25">
      <c r="A87" s="4" t="s">
        <v>21</v>
      </c>
      <c r="B87" s="4" t="s">
        <v>41</v>
      </c>
      <c r="C87" s="4" t="s">
        <v>39</v>
      </c>
      <c r="D87" s="4" t="s">
        <v>42</v>
      </c>
      <c r="E87" s="4" t="s">
        <v>25</v>
      </c>
      <c r="F87" s="4" t="s">
        <v>25</v>
      </c>
      <c r="G87" s="4" t="s">
        <v>25</v>
      </c>
      <c r="H87" s="4" t="s">
        <v>36</v>
      </c>
      <c r="I87" s="5">
        <v>44317</v>
      </c>
      <c r="J87" s="6">
        <v>0</v>
      </c>
      <c r="K87" s="6">
        <v>0</v>
      </c>
      <c r="L87" s="6">
        <v>0.03</v>
      </c>
      <c r="M87" s="6">
        <v>0.03</v>
      </c>
      <c r="N87" s="6">
        <v>0.03</v>
      </c>
      <c r="O87" s="6">
        <v>0.03</v>
      </c>
      <c r="P87" s="6">
        <v>0</v>
      </c>
      <c r="Q87" s="4" t="s">
        <v>26</v>
      </c>
      <c r="R87" s="4">
        <v>0</v>
      </c>
      <c r="S87" s="4">
        <v>0</v>
      </c>
      <c r="T87" s="4">
        <v>26</v>
      </c>
      <c r="U87" s="4">
        <v>63</v>
      </c>
      <c r="V87" s="6">
        <f>IF(ISERROR(VLOOKUP($S$87,'TAR FIN'!$A$1:$O$85,15,0)),0,VLOOKUP($S$87,'TAR FIN'!$A$1:$O$85,15,0))</f>
        <v>0</v>
      </c>
      <c r="W87" s="6">
        <f>IF(ISERROR(VLOOKUP($T$87,'TAR FIN'!$A$1:$O$85,15,0)),0,VLOOKUP($T$87,'TAR FIN'!$A$1:$O$85,15,0))</f>
        <v>1091.18</v>
      </c>
      <c r="X87" s="6">
        <f>IF(ISERROR(VLOOKUP($U$87,'TAR FIN'!$A$1:$O$85,15,0)),0,VLOOKUP($U$87,'TAR FIN'!$A$1:$O$85,15,0))</f>
        <v>221.63</v>
      </c>
      <c r="Y87" s="6"/>
      <c r="Z87" s="6">
        <f ca="1">('TUSD BE'!$AM$30+'TUSD BF'!$AM$30+'TUSD CVA'!$AM$30)*(1-CUSTOS!$M$38)</f>
        <v>1500.0471359540827</v>
      </c>
      <c r="AA87" s="6">
        <f>('TE BE'!$AA$21+'TE BF'!$AA$21+'TE CVA'!$AA$21)*(1-CUSTOS!$M$38)</f>
        <v>241.29063495745513</v>
      </c>
      <c r="AB87" s="6">
        <f t="shared" si="6"/>
        <v>0</v>
      </c>
      <c r="AC87" s="6">
        <f>(L87*W87+M87*X87)/(1-CUSTOS!$M$38)*CUSTOS!$M$38</f>
        <v>2.5138914893617019</v>
      </c>
      <c r="AD87" s="6">
        <f t="shared" si="7"/>
        <v>0</v>
      </c>
      <c r="AE87" s="6">
        <f ca="1">(L87*Z87+N87*AA87)/(1-CUSTOS!$M$38)*CUSTOS!$M$38</f>
        <v>3.3344765825965617</v>
      </c>
      <c r="AF87" s="4" t="s">
        <v>705</v>
      </c>
    </row>
    <row r="88" spans="1:32" ht="11.25" customHeight="1" x14ac:dyDescent="0.25">
      <c r="A88" s="4" t="s">
        <v>21</v>
      </c>
      <c r="B88" s="4" t="s">
        <v>41</v>
      </c>
      <c r="C88" s="4" t="s">
        <v>39</v>
      </c>
      <c r="D88" s="4" t="s">
        <v>42</v>
      </c>
      <c r="E88" s="4" t="s">
        <v>25</v>
      </c>
      <c r="F88" s="4" t="s">
        <v>25</v>
      </c>
      <c r="G88" s="4" t="s">
        <v>25</v>
      </c>
      <c r="H88" s="4" t="s">
        <v>36</v>
      </c>
      <c r="I88" s="5">
        <v>44348</v>
      </c>
      <c r="J88" s="6">
        <v>0</v>
      </c>
      <c r="K88" s="6">
        <v>0</v>
      </c>
      <c r="L88" s="6">
        <v>0.03</v>
      </c>
      <c r="M88" s="6">
        <v>0.03</v>
      </c>
      <c r="N88" s="6">
        <v>0.03</v>
      </c>
      <c r="O88" s="6">
        <v>0.03</v>
      </c>
      <c r="P88" s="6">
        <v>0</v>
      </c>
      <c r="Q88" s="4" t="s">
        <v>26</v>
      </c>
      <c r="R88" s="4">
        <v>0</v>
      </c>
      <c r="S88" s="4">
        <v>0</v>
      </c>
      <c r="T88" s="4">
        <v>26</v>
      </c>
      <c r="U88" s="4">
        <v>63</v>
      </c>
      <c r="V88" s="6">
        <f>IF(ISERROR(VLOOKUP($S$88,'TAR FIN'!$A$1:$O$85,15,0)),0,VLOOKUP($S$88,'TAR FIN'!$A$1:$O$85,15,0))</f>
        <v>0</v>
      </c>
      <c r="W88" s="6">
        <f>IF(ISERROR(VLOOKUP($T$88,'TAR FIN'!$A$1:$O$85,15,0)),0,VLOOKUP($T$88,'TAR FIN'!$A$1:$O$85,15,0))</f>
        <v>1091.18</v>
      </c>
      <c r="X88" s="6">
        <f>IF(ISERROR(VLOOKUP($U$88,'TAR FIN'!$A$1:$O$85,15,0)),0,VLOOKUP($U$88,'TAR FIN'!$A$1:$O$85,15,0))</f>
        <v>221.63</v>
      </c>
      <c r="Y88" s="6"/>
      <c r="Z88" s="6">
        <f ca="1">('TUSD BE'!$AM$30+'TUSD BF'!$AM$30+'TUSD CVA'!$AM$30)*(1-CUSTOS!$M$38)</f>
        <v>1500.0471359540827</v>
      </c>
      <c r="AA88" s="6">
        <f>('TE BE'!$AA$21+'TE BF'!$AA$21+'TE CVA'!$AA$21)*(1-CUSTOS!$M$38)</f>
        <v>241.29063495745513</v>
      </c>
      <c r="AB88" s="6">
        <f t="shared" si="6"/>
        <v>0</v>
      </c>
      <c r="AC88" s="6">
        <f>(L88*W88+M88*X88)/(1-CUSTOS!$M$38)*CUSTOS!$M$38</f>
        <v>2.5138914893617019</v>
      </c>
      <c r="AD88" s="6">
        <f t="shared" si="7"/>
        <v>0</v>
      </c>
      <c r="AE88" s="6">
        <f ca="1">(L88*Z88+N88*AA88)/(1-CUSTOS!$M$38)*CUSTOS!$M$38</f>
        <v>3.3344765825965617</v>
      </c>
      <c r="AF88" s="4" t="s">
        <v>705</v>
      </c>
    </row>
    <row r="89" spans="1:32" ht="11.25" customHeight="1" x14ac:dyDescent="0.25">
      <c r="A89" s="4" t="s">
        <v>21</v>
      </c>
      <c r="B89" s="4" t="s">
        <v>41</v>
      </c>
      <c r="C89" s="4" t="s">
        <v>39</v>
      </c>
      <c r="D89" s="4" t="s">
        <v>42</v>
      </c>
      <c r="E89" s="4" t="s">
        <v>25</v>
      </c>
      <c r="F89" s="4" t="s">
        <v>25</v>
      </c>
      <c r="G89" s="4" t="s">
        <v>25</v>
      </c>
      <c r="H89" s="4" t="s">
        <v>36</v>
      </c>
      <c r="I89" s="5">
        <v>44378</v>
      </c>
      <c r="J89" s="6">
        <v>0</v>
      </c>
      <c r="K89" s="6">
        <v>0</v>
      </c>
      <c r="L89" s="6">
        <v>2.9000000000000001E-2</v>
      </c>
      <c r="M89" s="6">
        <v>2.9000000000000001E-2</v>
      </c>
      <c r="N89" s="6">
        <v>2.9000000000000001E-2</v>
      </c>
      <c r="O89" s="6">
        <v>2.9000000000000001E-2</v>
      </c>
      <c r="P89" s="6">
        <v>0</v>
      </c>
      <c r="Q89" s="4" t="s">
        <v>26</v>
      </c>
      <c r="R89" s="4">
        <v>0</v>
      </c>
      <c r="S89" s="4">
        <v>0</v>
      </c>
      <c r="T89" s="4">
        <v>26</v>
      </c>
      <c r="U89" s="4">
        <v>63</v>
      </c>
      <c r="V89" s="6">
        <f>IF(ISERROR(VLOOKUP($S$89,'TAR FIN'!$A$1:$O$85,15,0)),0,VLOOKUP($S$89,'TAR FIN'!$A$1:$O$85,15,0))</f>
        <v>0</v>
      </c>
      <c r="W89" s="6">
        <f>IF(ISERROR(VLOOKUP($T$89,'TAR FIN'!$A$1:$O$85,15,0)),0,VLOOKUP($T$89,'TAR FIN'!$A$1:$O$85,15,0))</f>
        <v>1091.18</v>
      </c>
      <c r="X89" s="6">
        <f>IF(ISERROR(VLOOKUP($U$89,'TAR FIN'!$A$1:$O$85,15,0)),0,VLOOKUP($U$89,'TAR FIN'!$A$1:$O$85,15,0))</f>
        <v>221.63</v>
      </c>
      <c r="Y89" s="6"/>
      <c r="Z89" s="6">
        <f ca="1">('TUSD BE'!$AM$30+'TUSD BF'!$AM$30+'TUSD CVA'!$AM$30)*(1-CUSTOS!$M$38)</f>
        <v>1500.0471359540827</v>
      </c>
      <c r="AA89" s="6">
        <f>('TE BE'!$AA$21+'TE BF'!$AA$21+'TE CVA'!$AA$21)*(1-CUSTOS!$M$38)</f>
        <v>241.29063495745513</v>
      </c>
      <c r="AB89" s="6">
        <f t="shared" si="6"/>
        <v>0</v>
      </c>
      <c r="AC89" s="6">
        <f>(L89*W89+M89*X89)/(1-CUSTOS!$M$38)*CUSTOS!$M$38</f>
        <v>2.430095106382979</v>
      </c>
      <c r="AD89" s="6">
        <f t="shared" si="7"/>
        <v>0</v>
      </c>
      <c r="AE89" s="6">
        <f ca="1">(L89*Z89+N89*AA89)/(1-CUSTOS!$M$38)*CUSTOS!$M$38</f>
        <v>3.2233273631766766</v>
      </c>
      <c r="AF89" s="4" t="s">
        <v>705</v>
      </c>
    </row>
    <row r="90" spans="1:32" ht="11.25" customHeight="1" x14ac:dyDescent="0.25">
      <c r="A90" s="4" t="s">
        <v>21</v>
      </c>
      <c r="B90" s="4" t="s">
        <v>41</v>
      </c>
      <c r="C90" s="4" t="s">
        <v>39</v>
      </c>
      <c r="D90" s="4" t="s">
        <v>42</v>
      </c>
      <c r="E90" s="4" t="s">
        <v>25</v>
      </c>
      <c r="F90" s="4" t="s">
        <v>25</v>
      </c>
      <c r="G90" s="4" t="s">
        <v>25</v>
      </c>
      <c r="H90" s="4" t="s">
        <v>36</v>
      </c>
      <c r="I90" s="5">
        <v>44409</v>
      </c>
      <c r="J90" s="6">
        <v>0</v>
      </c>
      <c r="K90" s="6">
        <v>0</v>
      </c>
      <c r="L90" s="6">
        <v>0.03</v>
      </c>
      <c r="M90" s="6">
        <v>0.03</v>
      </c>
      <c r="N90" s="6">
        <v>0.03</v>
      </c>
      <c r="O90" s="6">
        <v>0.03</v>
      </c>
      <c r="P90" s="6">
        <v>0</v>
      </c>
      <c r="Q90" s="4" t="s">
        <v>26</v>
      </c>
      <c r="R90" s="4">
        <v>0</v>
      </c>
      <c r="S90" s="4">
        <v>0</v>
      </c>
      <c r="T90" s="4">
        <v>26</v>
      </c>
      <c r="U90" s="4">
        <v>63</v>
      </c>
      <c r="V90" s="6">
        <f>IF(ISERROR(VLOOKUP($S$90,'TAR FIN'!$A$1:$O$85,15,0)),0,VLOOKUP($S$90,'TAR FIN'!$A$1:$O$85,15,0))</f>
        <v>0</v>
      </c>
      <c r="W90" s="6">
        <f>IF(ISERROR(VLOOKUP($T$90,'TAR FIN'!$A$1:$O$85,15,0)),0,VLOOKUP($T$90,'TAR FIN'!$A$1:$O$85,15,0))</f>
        <v>1091.18</v>
      </c>
      <c r="X90" s="6">
        <f>IF(ISERROR(VLOOKUP($U$90,'TAR FIN'!$A$1:$O$85,15,0)),0,VLOOKUP($U$90,'TAR FIN'!$A$1:$O$85,15,0))</f>
        <v>221.63</v>
      </c>
      <c r="Y90" s="6"/>
      <c r="Z90" s="6">
        <f ca="1">('TUSD BE'!$AM$30+'TUSD BF'!$AM$30+'TUSD CVA'!$AM$30)*(1-CUSTOS!$M$38)</f>
        <v>1500.0471359540827</v>
      </c>
      <c r="AA90" s="6">
        <f>('TE BE'!$AA$21+'TE BF'!$AA$21+'TE CVA'!$AA$21)*(1-CUSTOS!$M$38)</f>
        <v>241.29063495745513</v>
      </c>
      <c r="AB90" s="6">
        <f t="shared" si="6"/>
        <v>0</v>
      </c>
      <c r="AC90" s="6">
        <f>(L90*W90+M90*X90)/(1-CUSTOS!$M$38)*CUSTOS!$M$38</f>
        <v>2.5138914893617019</v>
      </c>
      <c r="AD90" s="6">
        <f t="shared" si="7"/>
        <v>0</v>
      </c>
      <c r="AE90" s="6">
        <f ca="1">(L90*Z90+N90*AA90)/(1-CUSTOS!$M$38)*CUSTOS!$M$38</f>
        <v>3.3344765825965617</v>
      </c>
      <c r="AF90" s="4" t="s">
        <v>705</v>
      </c>
    </row>
    <row r="91" spans="1:32" ht="11.25" customHeight="1" x14ac:dyDescent="0.25">
      <c r="A91" s="4" t="s">
        <v>21</v>
      </c>
      <c r="B91" s="4" t="s">
        <v>41</v>
      </c>
      <c r="C91" s="4" t="s">
        <v>39</v>
      </c>
      <c r="D91" s="4" t="s">
        <v>42</v>
      </c>
      <c r="E91" s="4" t="s">
        <v>25</v>
      </c>
      <c r="F91" s="4" t="s">
        <v>25</v>
      </c>
      <c r="G91" s="4" t="s">
        <v>25</v>
      </c>
      <c r="H91" s="4" t="s">
        <v>36</v>
      </c>
      <c r="I91" s="5">
        <v>44440</v>
      </c>
      <c r="J91" s="6">
        <v>0</v>
      </c>
      <c r="K91" s="6">
        <v>0</v>
      </c>
      <c r="L91" s="6">
        <v>2.8000000000000001E-2</v>
      </c>
      <c r="M91" s="6">
        <v>2.8000000000000001E-2</v>
      </c>
      <c r="N91" s="6">
        <v>2.8000000000000001E-2</v>
      </c>
      <c r="O91" s="6">
        <v>2.8000000000000001E-2</v>
      </c>
      <c r="P91" s="6">
        <v>0</v>
      </c>
      <c r="Q91" s="4" t="s">
        <v>26</v>
      </c>
      <c r="R91" s="4">
        <v>0</v>
      </c>
      <c r="S91" s="4">
        <v>0</v>
      </c>
      <c r="T91" s="4">
        <v>26</v>
      </c>
      <c r="U91" s="4">
        <v>63</v>
      </c>
      <c r="V91" s="6">
        <f>IF(ISERROR(VLOOKUP($S$91,'TAR FIN'!$A$1:$O$85,15,0)),0,VLOOKUP($S$91,'TAR FIN'!$A$1:$O$85,15,0))</f>
        <v>0</v>
      </c>
      <c r="W91" s="6">
        <f>IF(ISERROR(VLOOKUP($T$91,'TAR FIN'!$A$1:$O$85,15,0)),0,VLOOKUP($T$91,'TAR FIN'!$A$1:$O$85,15,0))</f>
        <v>1091.18</v>
      </c>
      <c r="X91" s="6">
        <f>IF(ISERROR(VLOOKUP($U$91,'TAR FIN'!$A$1:$O$85,15,0)),0,VLOOKUP($U$91,'TAR FIN'!$A$1:$O$85,15,0))</f>
        <v>221.63</v>
      </c>
      <c r="Y91" s="6"/>
      <c r="Z91" s="6">
        <f ca="1">('TUSD BE'!$AM$30+'TUSD BF'!$AM$30+'TUSD CVA'!$AM$30)*(1-CUSTOS!$M$38)</f>
        <v>1500.0471359540827</v>
      </c>
      <c r="AA91" s="6">
        <f>('TE BE'!$AA$21+'TE BF'!$AA$21+'TE CVA'!$AA$21)*(1-CUSTOS!$M$38)</f>
        <v>241.29063495745513</v>
      </c>
      <c r="AB91" s="6">
        <f t="shared" si="6"/>
        <v>0</v>
      </c>
      <c r="AC91" s="6">
        <f>(L91*W91+M91*X91)/(1-CUSTOS!$M$38)*CUSTOS!$M$38</f>
        <v>2.346298723404256</v>
      </c>
      <c r="AD91" s="6">
        <f t="shared" si="7"/>
        <v>0</v>
      </c>
      <c r="AE91" s="6">
        <f ca="1">(L91*Z91+N91*AA91)/(1-CUSTOS!$M$38)*CUSTOS!$M$38</f>
        <v>3.112178143756791</v>
      </c>
      <c r="AF91" s="4" t="s">
        <v>705</v>
      </c>
    </row>
    <row r="92" spans="1:32" ht="11.25" customHeight="1" x14ac:dyDescent="0.25">
      <c r="A92" s="4" t="s">
        <v>21</v>
      </c>
      <c r="B92" s="4" t="s">
        <v>41</v>
      </c>
      <c r="C92" s="4" t="s">
        <v>39</v>
      </c>
      <c r="D92" s="4" t="s">
        <v>42</v>
      </c>
      <c r="E92" s="4" t="s">
        <v>25</v>
      </c>
      <c r="F92" s="4" t="s">
        <v>25</v>
      </c>
      <c r="G92" s="4" t="s">
        <v>25</v>
      </c>
      <c r="H92" s="4" t="s">
        <v>36</v>
      </c>
      <c r="I92" s="5">
        <v>44470</v>
      </c>
      <c r="J92" s="6">
        <v>0</v>
      </c>
      <c r="K92" s="6">
        <v>0</v>
      </c>
      <c r="L92" s="6">
        <v>1.4E-2</v>
      </c>
      <c r="M92" s="6">
        <v>1.4E-2</v>
      </c>
      <c r="N92" s="6">
        <v>1.4E-2</v>
      </c>
      <c r="O92" s="6">
        <v>1.4E-2</v>
      </c>
      <c r="P92" s="6">
        <v>0</v>
      </c>
      <c r="Q92" s="4" t="s">
        <v>26</v>
      </c>
      <c r="R92" s="4">
        <v>0</v>
      </c>
      <c r="S92" s="4">
        <v>0</v>
      </c>
      <c r="T92" s="4">
        <v>26</v>
      </c>
      <c r="U92" s="4">
        <v>63</v>
      </c>
      <c r="V92" s="6">
        <f>IF(ISERROR(VLOOKUP($S$92,'TAR FIN'!$A$1:$O$85,15,0)),0,VLOOKUP($S$92,'TAR FIN'!$A$1:$O$85,15,0))</f>
        <v>0</v>
      </c>
      <c r="W92" s="6">
        <f>IF(ISERROR(VLOOKUP($T$92,'TAR FIN'!$A$1:$O$85,15,0)),0,VLOOKUP($T$92,'TAR FIN'!$A$1:$O$85,15,0))</f>
        <v>1091.18</v>
      </c>
      <c r="X92" s="6">
        <f>IF(ISERROR(VLOOKUP($U$92,'TAR FIN'!$A$1:$O$85,15,0)),0,VLOOKUP($U$92,'TAR FIN'!$A$1:$O$85,15,0))</f>
        <v>221.63</v>
      </c>
      <c r="Y92" s="6"/>
      <c r="Z92" s="6">
        <f ca="1">('TUSD BE'!$AM$30+'TUSD BF'!$AM$30+'TUSD CVA'!$AM$30)*(1-CUSTOS!$M$38)</f>
        <v>1500.0471359540827</v>
      </c>
      <c r="AA92" s="6">
        <f>('TE BE'!$AA$21+'TE BF'!$AA$21+'TE CVA'!$AA$21)*(1-CUSTOS!$M$38)</f>
        <v>241.29063495745513</v>
      </c>
      <c r="AB92" s="6">
        <f t="shared" si="6"/>
        <v>0</v>
      </c>
      <c r="AC92" s="6">
        <f>(L92*W92+M92*X92)/(1-CUSTOS!$M$38)*CUSTOS!$M$38</f>
        <v>1.173149361702128</v>
      </c>
      <c r="AD92" s="6">
        <f t="shared" si="7"/>
        <v>0</v>
      </c>
      <c r="AE92" s="6">
        <f ca="1">(L92*Z92+N92*AA92)/(1-CUSTOS!$M$38)*CUSTOS!$M$38</f>
        <v>1.5560890718783955</v>
      </c>
      <c r="AF92" s="4" t="s">
        <v>705</v>
      </c>
    </row>
    <row r="93" spans="1:32" ht="11.25" customHeight="1" x14ac:dyDescent="0.25">
      <c r="A93" s="4" t="s">
        <v>21</v>
      </c>
      <c r="B93" s="4" t="s">
        <v>41</v>
      </c>
      <c r="C93" s="4" t="s">
        <v>39</v>
      </c>
      <c r="D93" s="4" t="s">
        <v>42</v>
      </c>
      <c r="E93" s="4" t="s">
        <v>25</v>
      </c>
      <c r="F93" s="4" t="s">
        <v>25</v>
      </c>
      <c r="G93" s="4" t="s">
        <v>25</v>
      </c>
      <c r="H93" s="4" t="s">
        <v>36</v>
      </c>
      <c r="I93" s="5">
        <v>44501</v>
      </c>
      <c r="J93" s="6">
        <v>0</v>
      </c>
      <c r="K93" s="6">
        <v>0</v>
      </c>
      <c r="L93" s="6">
        <v>0.01</v>
      </c>
      <c r="M93" s="6">
        <v>0.01</v>
      </c>
      <c r="N93" s="6">
        <v>0.01</v>
      </c>
      <c r="O93" s="6">
        <v>0.01</v>
      </c>
      <c r="P93" s="6">
        <v>0</v>
      </c>
      <c r="Q93" s="4" t="s">
        <v>26</v>
      </c>
      <c r="R93" s="4">
        <v>0</v>
      </c>
      <c r="S93" s="4">
        <v>0</v>
      </c>
      <c r="T93" s="4">
        <v>26</v>
      </c>
      <c r="U93" s="4">
        <v>63</v>
      </c>
      <c r="V93" s="6">
        <f>IF(ISERROR(VLOOKUP($S$93,'TAR FIN'!$A$1:$O$85,15,0)),0,VLOOKUP($S$93,'TAR FIN'!$A$1:$O$85,15,0))</f>
        <v>0</v>
      </c>
      <c r="W93" s="6">
        <f>IF(ISERROR(VLOOKUP($T$93,'TAR FIN'!$A$1:$O$85,15,0)),0,VLOOKUP($T$93,'TAR FIN'!$A$1:$O$85,15,0))</f>
        <v>1091.18</v>
      </c>
      <c r="X93" s="6">
        <f>IF(ISERROR(VLOOKUP($U$93,'TAR FIN'!$A$1:$O$85,15,0)),0,VLOOKUP($U$93,'TAR FIN'!$A$1:$O$85,15,0))</f>
        <v>221.63</v>
      </c>
      <c r="Y93" s="6"/>
      <c r="Z93" s="6">
        <f ca="1">('TUSD BE'!$AM$30+'TUSD BF'!$AM$30+'TUSD CVA'!$AM$30)*(1-CUSTOS!$M$38)</f>
        <v>1500.0471359540827</v>
      </c>
      <c r="AA93" s="6">
        <f>('TE BE'!$AA$21+'TE BF'!$AA$21+'TE CVA'!$AA$21)*(1-CUSTOS!$M$38)</f>
        <v>241.29063495745513</v>
      </c>
      <c r="AB93" s="6">
        <f t="shared" si="6"/>
        <v>0</v>
      </c>
      <c r="AC93" s="6">
        <f>(L93*W93+M93*X93)/(1-CUSTOS!$M$38)*CUSTOS!$M$38</f>
        <v>0.83796382978723416</v>
      </c>
      <c r="AD93" s="6">
        <f t="shared" si="7"/>
        <v>0</v>
      </c>
      <c r="AE93" s="6">
        <f ca="1">(L93*Z93+N93*AA93)/(1-CUSTOS!$M$38)*CUSTOS!$M$38</f>
        <v>1.111492194198854</v>
      </c>
      <c r="AF93" s="4" t="s">
        <v>705</v>
      </c>
    </row>
    <row r="94" spans="1:32" ht="11.25" customHeight="1" x14ac:dyDescent="0.25">
      <c r="A94" s="4" t="s">
        <v>21</v>
      </c>
      <c r="B94" s="4" t="s">
        <v>41</v>
      </c>
      <c r="C94" s="4" t="s">
        <v>39</v>
      </c>
      <c r="D94" s="4" t="s">
        <v>42</v>
      </c>
      <c r="E94" s="4" t="s">
        <v>25</v>
      </c>
      <c r="F94" s="4" t="s">
        <v>25</v>
      </c>
      <c r="G94" s="4" t="s">
        <v>25</v>
      </c>
      <c r="H94" s="4" t="s">
        <v>36</v>
      </c>
      <c r="I94" s="5">
        <v>44531</v>
      </c>
      <c r="J94" s="6">
        <v>0</v>
      </c>
      <c r="K94" s="6">
        <v>0</v>
      </c>
      <c r="L94" s="6">
        <v>2.7E-2</v>
      </c>
      <c r="M94" s="6">
        <v>2.7E-2</v>
      </c>
      <c r="N94" s="6">
        <v>2.7E-2</v>
      </c>
      <c r="O94" s="6">
        <v>2.7E-2</v>
      </c>
      <c r="P94" s="6">
        <v>0</v>
      </c>
      <c r="Q94" s="4" t="s">
        <v>26</v>
      </c>
      <c r="R94" s="4">
        <v>0</v>
      </c>
      <c r="S94" s="4">
        <v>0</v>
      </c>
      <c r="T94" s="4">
        <v>26</v>
      </c>
      <c r="U94" s="4">
        <v>63</v>
      </c>
      <c r="V94" s="6">
        <f>IF(ISERROR(VLOOKUP($S$94,'TAR FIN'!$A$1:$O$85,15,0)),0,VLOOKUP($S$94,'TAR FIN'!$A$1:$O$85,15,0))</f>
        <v>0</v>
      </c>
      <c r="W94" s="6">
        <f>IF(ISERROR(VLOOKUP($T$94,'TAR FIN'!$A$1:$O$85,15,0)),0,VLOOKUP($T$94,'TAR FIN'!$A$1:$O$85,15,0))</f>
        <v>1091.18</v>
      </c>
      <c r="X94" s="6">
        <f>IF(ISERROR(VLOOKUP($U$94,'TAR FIN'!$A$1:$O$85,15,0)),0,VLOOKUP($U$94,'TAR FIN'!$A$1:$O$85,15,0))</f>
        <v>221.63</v>
      </c>
      <c r="Y94" s="6"/>
      <c r="Z94" s="6">
        <f ca="1">('TUSD BE'!$AM$30+'TUSD BF'!$AM$30+'TUSD CVA'!$AM$30)*(1-CUSTOS!$M$38)</f>
        <v>1500.0471359540827</v>
      </c>
      <c r="AA94" s="6">
        <f>('TE BE'!$AA$21+'TE BF'!$AA$21+'TE CVA'!$AA$21)*(1-CUSTOS!$M$38)</f>
        <v>241.29063495745513</v>
      </c>
      <c r="AB94" s="6">
        <f t="shared" si="6"/>
        <v>0</v>
      </c>
      <c r="AC94" s="6">
        <f>(L94*W94+M94*X94)/(1-CUSTOS!$M$38)*CUSTOS!$M$38</f>
        <v>2.2625023404255318</v>
      </c>
      <c r="AD94" s="6">
        <f t="shared" si="7"/>
        <v>0</v>
      </c>
      <c r="AE94" s="6">
        <f ca="1">(L94*Z94+N94*AA94)/(1-CUSTOS!$M$38)*CUSTOS!$M$38</f>
        <v>3.0010289243369055</v>
      </c>
      <c r="AF94" s="4" t="s">
        <v>705</v>
      </c>
    </row>
    <row r="95" spans="1:32" ht="11.25" customHeight="1" x14ac:dyDescent="0.25">
      <c r="A95" s="4" t="s">
        <v>21</v>
      </c>
      <c r="B95" s="4" t="s">
        <v>41</v>
      </c>
      <c r="C95" s="4" t="s">
        <v>39</v>
      </c>
      <c r="D95" s="4" t="s">
        <v>42</v>
      </c>
      <c r="E95" s="4" t="s">
        <v>25</v>
      </c>
      <c r="F95" s="4" t="s">
        <v>25</v>
      </c>
      <c r="G95" s="4" t="s">
        <v>25</v>
      </c>
      <c r="H95" s="4" t="s">
        <v>36</v>
      </c>
      <c r="I95" s="5">
        <v>44562</v>
      </c>
      <c r="J95" s="6">
        <v>0</v>
      </c>
      <c r="K95" s="6">
        <v>0</v>
      </c>
      <c r="L95" s="6">
        <v>4.2000000000000003E-2</v>
      </c>
      <c r="M95" s="6">
        <v>4.2000000000000003E-2</v>
      </c>
      <c r="N95" s="6">
        <v>4.2000000000000003E-2</v>
      </c>
      <c r="O95" s="6">
        <v>4.2000000000000003E-2</v>
      </c>
      <c r="P95" s="6">
        <v>0</v>
      </c>
      <c r="Q95" s="4" t="s">
        <v>26</v>
      </c>
      <c r="R95" s="4">
        <v>0</v>
      </c>
      <c r="S95" s="4">
        <v>0</v>
      </c>
      <c r="T95" s="4">
        <v>26</v>
      </c>
      <c r="U95" s="4">
        <v>63</v>
      </c>
      <c r="V95" s="6">
        <f>IF(ISERROR(VLOOKUP($S$95,'TAR FIN'!$A$1:$O$85,15,0)),0,VLOOKUP($S$95,'TAR FIN'!$A$1:$O$85,15,0))</f>
        <v>0</v>
      </c>
      <c r="W95" s="6">
        <f>IF(ISERROR(VLOOKUP($T$95,'TAR FIN'!$A$1:$O$85,15,0)),0,VLOOKUP($T$95,'TAR FIN'!$A$1:$O$85,15,0))</f>
        <v>1091.18</v>
      </c>
      <c r="X95" s="6">
        <f>IF(ISERROR(VLOOKUP($U$95,'TAR FIN'!$A$1:$O$85,15,0)),0,VLOOKUP($U$95,'TAR FIN'!$A$1:$O$85,15,0))</f>
        <v>221.63</v>
      </c>
      <c r="Y95" s="6"/>
      <c r="Z95" s="6">
        <f ca="1">('TUSD BE'!$AM$30+'TUSD BF'!$AM$30+'TUSD CVA'!$AM$30)*(1-CUSTOS!$M$38)</f>
        <v>1500.0471359540827</v>
      </c>
      <c r="AA95" s="6">
        <f>('TE BE'!$AA$21+'TE BF'!$AA$21+'TE CVA'!$AA$21)*(1-CUSTOS!$M$38)</f>
        <v>241.29063495745513</v>
      </c>
      <c r="AB95" s="6">
        <f t="shared" si="6"/>
        <v>0</v>
      </c>
      <c r="AC95" s="6">
        <f>(L95*W95+M95*X95)/(1-CUSTOS!$M$38)*CUSTOS!$M$38</f>
        <v>3.5194480851063839</v>
      </c>
      <c r="AD95" s="6">
        <f t="shared" si="7"/>
        <v>0</v>
      </c>
      <c r="AE95" s="6">
        <f ca="1">(L95*Z95+N95*AA95)/(1-CUSTOS!$M$38)*CUSTOS!$M$38</f>
        <v>4.6682672156351872</v>
      </c>
      <c r="AF95" s="4" t="s">
        <v>705</v>
      </c>
    </row>
    <row r="96" spans="1:32" ht="11.25" customHeight="1" x14ac:dyDescent="0.25">
      <c r="A96" s="4" t="s">
        <v>21</v>
      </c>
      <c r="B96" s="4" t="s">
        <v>41</v>
      </c>
      <c r="C96" s="4" t="s">
        <v>39</v>
      </c>
      <c r="D96" s="4" t="s">
        <v>42</v>
      </c>
      <c r="E96" s="4" t="s">
        <v>25</v>
      </c>
      <c r="F96" s="4" t="s">
        <v>25</v>
      </c>
      <c r="G96" s="4" t="s">
        <v>25</v>
      </c>
      <c r="H96" s="4" t="s">
        <v>36</v>
      </c>
      <c r="I96" s="5">
        <v>44593</v>
      </c>
      <c r="J96" s="6">
        <v>0</v>
      </c>
      <c r="K96" s="6">
        <v>0</v>
      </c>
      <c r="L96" s="6">
        <v>3.6999999999999998E-2</v>
      </c>
      <c r="M96" s="6">
        <v>3.6999999999999998E-2</v>
      </c>
      <c r="N96" s="6">
        <v>3.6999999999999998E-2</v>
      </c>
      <c r="O96" s="6">
        <v>3.6999999999999998E-2</v>
      </c>
      <c r="P96" s="6">
        <v>0</v>
      </c>
      <c r="Q96" s="4" t="s">
        <v>26</v>
      </c>
      <c r="R96" s="4">
        <v>0</v>
      </c>
      <c r="S96" s="4">
        <v>0</v>
      </c>
      <c r="T96" s="4">
        <v>26</v>
      </c>
      <c r="U96" s="4">
        <v>63</v>
      </c>
      <c r="V96" s="6">
        <f>IF(ISERROR(VLOOKUP($S$96,'TAR FIN'!$A$1:$O$85,15,0)),0,VLOOKUP($S$96,'TAR FIN'!$A$1:$O$85,15,0))</f>
        <v>0</v>
      </c>
      <c r="W96" s="6">
        <f>IF(ISERROR(VLOOKUP($T$96,'TAR FIN'!$A$1:$O$85,15,0)),0,VLOOKUP($T$96,'TAR FIN'!$A$1:$O$85,15,0))</f>
        <v>1091.18</v>
      </c>
      <c r="X96" s="6">
        <f>IF(ISERROR(VLOOKUP($U$96,'TAR FIN'!$A$1:$O$85,15,0)),0,VLOOKUP($U$96,'TAR FIN'!$A$1:$O$85,15,0))</f>
        <v>221.63</v>
      </c>
      <c r="Y96" s="6"/>
      <c r="Z96" s="6">
        <f ca="1">('TUSD BE'!$AM$30+'TUSD BF'!$AM$30+'TUSD CVA'!$AM$30)*(1-CUSTOS!$M$38)</f>
        <v>1500.0471359540827</v>
      </c>
      <c r="AA96" s="6">
        <f>('TE BE'!$AA$21+'TE BF'!$AA$21+'TE CVA'!$AA$21)*(1-CUSTOS!$M$38)</f>
        <v>241.29063495745513</v>
      </c>
      <c r="AB96" s="6">
        <f t="shared" si="6"/>
        <v>0</v>
      </c>
      <c r="AC96" s="6">
        <f>(L96*W96+M96*X96)/(1-CUSTOS!$M$38)*CUSTOS!$M$38</f>
        <v>3.100466170212766</v>
      </c>
      <c r="AD96" s="6">
        <f t="shared" si="7"/>
        <v>0</v>
      </c>
      <c r="AE96" s="6">
        <f ca="1">(L96*Z96+N96*AA96)/(1-CUSTOS!$M$38)*CUSTOS!$M$38</f>
        <v>4.11252111853576</v>
      </c>
      <c r="AF96" s="4" t="s">
        <v>705</v>
      </c>
    </row>
    <row r="97" spans="1:32" ht="11.25" customHeight="1" x14ac:dyDescent="0.25">
      <c r="A97" s="4" t="s">
        <v>21</v>
      </c>
      <c r="B97" s="4" t="s">
        <v>41</v>
      </c>
      <c r="C97" s="4" t="s">
        <v>39</v>
      </c>
      <c r="D97" s="4" t="s">
        <v>42</v>
      </c>
      <c r="E97" s="4" t="s">
        <v>25</v>
      </c>
      <c r="F97" s="4" t="s">
        <v>25</v>
      </c>
      <c r="G97" s="4" t="s">
        <v>25</v>
      </c>
      <c r="H97" s="4" t="s">
        <v>36</v>
      </c>
      <c r="I97" s="5">
        <v>44621</v>
      </c>
      <c r="J97" s="6">
        <v>0</v>
      </c>
      <c r="K97" s="6">
        <v>0</v>
      </c>
      <c r="L97" s="6">
        <v>3.6999999999999998E-2</v>
      </c>
      <c r="M97" s="6">
        <v>3.6999999999999998E-2</v>
      </c>
      <c r="N97" s="6">
        <v>3.6999999999999998E-2</v>
      </c>
      <c r="O97" s="6">
        <v>3.6999999999999998E-2</v>
      </c>
      <c r="P97" s="6">
        <v>0</v>
      </c>
      <c r="Q97" s="4" t="s">
        <v>26</v>
      </c>
      <c r="R97" s="4">
        <v>0</v>
      </c>
      <c r="S97" s="4">
        <v>0</v>
      </c>
      <c r="T97" s="4">
        <v>26</v>
      </c>
      <c r="U97" s="4">
        <v>63</v>
      </c>
      <c r="V97" s="6">
        <f>IF(ISERROR(VLOOKUP($S$97,'TAR FIN'!$A$1:$O$85,15,0)),0,VLOOKUP($S$97,'TAR FIN'!$A$1:$O$85,15,0))</f>
        <v>0</v>
      </c>
      <c r="W97" s="6">
        <f>IF(ISERROR(VLOOKUP($T$97,'TAR FIN'!$A$1:$O$85,15,0)),0,VLOOKUP($T$97,'TAR FIN'!$A$1:$O$85,15,0))</f>
        <v>1091.18</v>
      </c>
      <c r="X97" s="6">
        <f>IF(ISERROR(VLOOKUP($U$97,'TAR FIN'!$A$1:$O$85,15,0)),0,VLOOKUP($U$97,'TAR FIN'!$A$1:$O$85,15,0))</f>
        <v>221.63</v>
      </c>
      <c r="Y97" s="6"/>
      <c r="Z97" s="6">
        <f ca="1">('TUSD BE'!$AM$30+'TUSD BF'!$AM$30+'TUSD CVA'!$AM$30)*(1-CUSTOS!$M$38)</f>
        <v>1500.0471359540827</v>
      </c>
      <c r="AA97" s="6">
        <f>('TE BE'!$AA$21+'TE BF'!$AA$21+'TE CVA'!$AA$21)*(1-CUSTOS!$M$38)</f>
        <v>241.29063495745513</v>
      </c>
      <c r="AB97" s="6">
        <f t="shared" si="6"/>
        <v>0</v>
      </c>
      <c r="AC97" s="6">
        <f>(L97*W97+M97*X97)/(1-CUSTOS!$M$38)*CUSTOS!$M$38</f>
        <v>3.100466170212766</v>
      </c>
      <c r="AD97" s="6">
        <f t="shared" si="7"/>
        <v>0</v>
      </c>
      <c r="AE97" s="6">
        <f ca="1">(L97*Z97+N97*AA97)/(1-CUSTOS!$M$38)*CUSTOS!$M$38</f>
        <v>4.11252111853576</v>
      </c>
      <c r="AF97" s="4" t="s">
        <v>705</v>
      </c>
    </row>
    <row r="98" spans="1:32" ht="11.25" customHeight="1" x14ac:dyDescent="0.25">
      <c r="A98" s="4" t="s">
        <v>21</v>
      </c>
      <c r="B98" s="4" t="s">
        <v>41</v>
      </c>
      <c r="C98" s="4" t="s">
        <v>39</v>
      </c>
      <c r="D98" s="4" t="s">
        <v>42</v>
      </c>
      <c r="E98" s="4" t="s">
        <v>25</v>
      </c>
      <c r="F98" s="4" t="s">
        <v>25</v>
      </c>
      <c r="G98" s="4" t="s">
        <v>25</v>
      </c>
      <c r="H98" s="4" t="s">
        <v>36</v>
      </c>
      <c r="I98" s="5">
        <v>44652</v>
      </c>
      <c r="J98" s="6">
        <v>0</v>
      </c>
      <c r="K98" s="6">
        <v>0</v>
      </c>
      <c r="L98" s="6">
        <v>2.7E-2</v>
      </c>
      <c r="M98" s="6">
        <v>2.7E-2</v>
      </c>
      <c r="N98" s="6">
        <v>2.7E-2</v>
      </c>
      <c r="O98" s="6">
        <v>2.7E-2</v>
      </c>
      <c r="P98" s="6">
        <v>0</v>
      </c>
      <c r="Q98" s="4" t="s">
        <v>26</v>
      </c>
      <c r="R98" s="4">
        <v>0</v>
      </c>
      <c r="S98" s="4">
        <v>0</v>
      </c>
      <c r="T98" s="4">
        <v>26</v>
      </c>
      <c r="U98" s="4">
        <v>63</v>
      </c>
      <c r="V98" s="6">
        <f>IF(ISERROR(VLOOKUP($S$98,'TAR FIN'!$A$1:$O$85,15,0)),0,VLOOKUP($S$98,'TAR FIN'!$A$1:$O$85,15,0))</f>
        <v>0</v>
      </c>
      <c r="W98" s="6">
        <f>IF(ISERROR(VLOOKUP($T$98,'TAR FIN'!$A$1:$O$85,15,0)),0,VLOOKUP($T$98,'TAR FIN'!$A$1:$O$85,15,0))</f>
        <v>1091.18</v>
      </c>
      <c r="X98" s="6">
        <f>IF(ISERROR(VLOOKUP($U$98,'TAR FIN'!$A$1:$O$85,15,0)),0,VLOOKUP($U$98,'TAR FIN'!$A$1:$O$85,15,0))</f>
        <v>221.63</v>
      </c>
      <c r="Y98" s="6"/>
      <c r="Z98" s="6">
        <f ca="1">('TUSD BE'!$AM$30+'TUSD BF'!$AM$30+'TUSD CVA'!$AM$30)*(1-CUSTOS!$M$38)</f>
        <v>1500.0471359540827</v>
      </c>
      <c r="AA98" s="6">
        <f>('TE BE'!$AA$21+'TE BF'!$AA$21+'TE CVA'!$AA$21)*(1-CUSTOS!$M$38)</f>
        <v>241.29063495745513</v>
      </c>
      <c r="AB98" s="6">
        <f t="shared" ref="AB98:AB129" si="8">(J98-K98)*V98</f>
        <v>0</v>
      </c>
      <c r="AC98" s="6">
        <f>(L98*W98+M98*X98)/(1-CUSTOS!$M$38)*CUSTOS!$M$38</f>
        <v>2.2625023404255318</v>
      </c>
      <c r="AD98" s="6">
        <f t="shared" ref="AD98:AD129" si="9">(J98-K98)*Y98</f>
        <v>0</v>
      </c>
      <c r="AE98" s="6">
        <f ca="1">(L98*Z98+N98*AA98)/(1-CUSTOS!$M$38)*CUSTOS!$M$38</f>
        <v>3.0010289243369055</v>
      </c>
      <c r="AF98" s="4" t="s">
        <v>705</v>
      </c>
    </row>
    <row r="99" spans="1:32" ht="11.25" customHeight="1" x14ac:dyDescent="0.25">
      <c r="A99" s="4" t="s">
        <v>21</v>
      </c>
      <c r="B99" s="4" t="s">
        <v>41</v>
      </c>
      <c r="C99" s="4" t="s">
        <v>23</v>
      </c>
      <c r="D99" s="4" t="s">
        <v>42</v>
      </c>
      <c r="E99" s="4" t="s">
        <v>50</v>
      </c>
      <c r="F99" s="4" t="s">
        <v>51</v>
      </c>
      <c r="G99" s="4" t="s">
        <v>25</v>
      </c>
      <c r="H99" s="4" t="s">
        <v>25</v>
      </c>
      <c r="I99" s="5">
        <v>44317</v>
      </c>
      <c r="J99" s="6">
        <v>0</v>
      </c>
      <c r="K99" s="6">
        <v>0</v>
      </c>
      <c r="L99" s="6">
        <v>1.0669999999999999</v>
      </c>
      <c r="M99" s="6">
        <v>1.0669999999999999</v>
      </c>
      <c r="N99" s="6">
        <v>1.0669999999999999</v>
      </c>
      <c r="O99" s="6">
        <v>1.0669999999999999</v>
      </c>
      <c r="P99" s="6">
        <v>0</v>
      </c>
      <c r="Q99" s="4" t="s">
        <v>26</v>
      </c>
      <c r="R99" s="4">
        <v>0</v>
      </c>
      <c r="S99" s="4">
        <v>0</v>
      </c>
      <c r="T99" s="4">
        <v>29</v>
      </c>
      <c r="U99" s="4">
        <v>66</v>
      </c>
      <c r="V99" s="6">
        <f>IF(ISERROR(VLOOKUP($S$99,'TAR FIN'!$A$1:$O$85,15,0)),0,VLOOKUP($S$99,'TAR FIN'!$A$1:$O$85,15,0))</f>
        <v>0</v>
      </c>
      <c r="W99" s="6">
        <f>IF(ISERROR(VLOOKUP($T$99,'TAR FIN'!$A$1:$O$85,15,0)),0,VLOOKUP($T$99,'TAR FIN'!$A$1:$O$85,15,0))</f>
        <v>448.29</v>
      </c>
      <c r="X99" s="6">
        <f>IF(ISERROR(VLOOKUP($U$99,'TAR FIN'!$A$1:$O$85,15,0)),0,VLOOKUP($U$99,'TAR FIN'!$A$1:$O$85,15,0))</f>
        <v>221.63</v>
      </c>
      <c r="Y99" s="6"/>
      <c r="Z99" s="6">
        <f ca="1">('TUSD BE'!$AM$33+'TUSD BF'!$AM$33+'TUSD CVA'!$AM$33)*(1-CUSTOS!$M$38)</f>
        <v>618.4724353141047</v>
      </c>
      <c r="AA99" s="6">
        <f>('TE BE'!$AA$24+'TE BF'!$AA$24+'TE CVA'!$AA$24)*(1-CUSTOS!$M$38)</f>
        <v>241.29063495745513</v>
      </c>
      <c r="AB99" s="6">
        <f t="shared" si="8"/>
        <v>0</v>
      </c>
      <c r="AC99" s="6">
        <f>(L99-M99)*(W99+X99)+($W$2+$X$2-$W$99-$X$99)*(L99)</f>
        <v>97.481119999999947</v>
      </c>
      <c r="AD99" s="6">
        <f t="shared" si="9"/>
        <v>0</v>
      </c>
      <c r="AE99" s="6">
        <f ca="1">(L99-M99)*(Z99+AA99)+($Z$2+$AA$2-$Z$99-$AA$99)*(L99)</f>
        <v>58.555352934877931</v>
      </c>
      <c r="AF99" s="4" t="s">
        <v>705</v>
      </c>
    </row>
    <row r="100" spans="1:32" ht="11.25" customHeight="1" x14ac:dyDescent="0.25">
      <c r="A100" s="4" t="s">
        <v>21</v>
      </c>
      <c r="B100" s="4" t="s">
        <v>41</v>
      </c>
      <c r="C100" s="4" t="s">
        <v>23</v>
      </c>
      <c r="D100" s="4" t="s">
        <v>42</v>
      </c>
      <c r="E100" s="4" t="s">
        <v>50</v>
      </c>
      <c r="F100" s="4" t="s">
        <v>51</v>
      </c>
      <c r="G100" s="4" t="s">
        <v>25</v>
      </c>
      <c r="H100" s="4" t="s">
        <v>25</v>
      </c>
      <c r="I100" s="5">
        <v>44348</v>
      </c>
      <c r="J100" s="6">
        <v>0</v>
      </c>
      <c r="K100" s="6">
        <v>0</v>
      </c>
      <c r="L100" s="6">
        <v>1.21</v>
      </c>
      <c r="M100" s="6">
        <v>1.21</v>
      </c>
      <c r="N100" s="6">
        <v>1.21</v>
      </c>
      <c r="O100" s="6">
        <v>1.21</v>
      </c>
      <c r="P100" s="6">
        <v>0</v>
      </c>
      <c r="Q100" s="4" t="s">
        <v>26</v>
      </c>
      <c r="R100" s="4">
        <v>0</v>
      </c>
      <c r="S100" s="4">
        <v>0</v>
      </c>
      <c r="T100" s="4">
        <v>29</v>
      </c>
      <c r="U100" s="4">
        <v>66</v>
      </c>
      <c r="V100" s="6">
        <f>IF(ISERROR(VLOOKUP($S$100,'TAR FIN'!$A$1:$O$85,15,0)),0,VLOOKUP($S$100,'TAR FIN'!$A$1:$O$85,15,0))</f>
        <v>0</v>
      </c>
      <c r="W100" s="6">
        <f>IF(ISERROR(VLOOKUP($T$100,'TAR FIN'!$A$1:$O$85,15,0)),0,VLOOKUP($T$100,'TAR FIN'!$A$1:$O$85,15,0))</f>
        <v>448.29</v>
      </c>
      <c r="X100" s="6">
        <f>IF(ISERROR(VLOOKUP($U$100,'TAR FIN'!$A$1:$O$85,15,0)),0,VLOOKUP($U$100,'TAR FIN'!$A$1:$O$85,15,0))</f>
        <v>221.63</v>
      </c>
      <c r="Y100" s="6"/>
      <c r="Z100" s="6">
        <f ca="1">('TUSD BE'!$AM$33+'TUSD BF'!$AM$33+'TUSD CVA'!$AM$33)*(1-CUSTOS!$M$38)</f>
        <v>618.4724353141047</v>
      </c>
      <c r="AA100" s="6">
        <f>('TE BE'!$AA$24+'TE BF'!$AA$24+'TE CVA'!$AA$24)*(1-CUSTOS!$M$38)</f>
        <v>241.29063495745513</v>
      </c>
      <c r="AB100" s="6">
        <f t="shared" si="8"/>
        <v>0</v>
      </c>
      <c r="AC100" s="6">
        <f>(L100-M100)*(W100+X100)+($W$2+$X$2-$W$100-$X$100)*(L100)</f>
        <v>110.54559999999995</v>
      </c>
      <c r="AD100" s="6">
        <f t="shared" si="9"/>
        <v>0</v>
      </c>
      <c r="AE100" s="6">
        <f ca="1">(L100-M100)*(Z100+AA100)+($Z$2+$AA$2-$Z$100-$AA$100)*(L100)</f>
        <v>66.402977555016207</v>
      </c>
      <c r="AF100" s="4" t="s">
        <v>705</v>
      </c>
    </row>
    <row r="101" spans="1:32" ht="11.25" customHeight="1" x14ac:dyDescent="0.25">
      <c r="A101" s="4" t="s">
        <v>21</v>
      </c>
      <c r="B101" s="4" t="s">
        <v>41</v>
      </c>
      <c r="C101" s="4" t="s">
        <v>23</v>
      </c>
      <c r="D101" s="4" t="s">
        <v>42</v>
      </c>
      <c r="E101" s="4" t="s">
        <v>50</v>
      </c>
      <c r="F101" s="4" t="s">
        <v>51</v>
      </c>
      <c r="G101" s="4" t="s">
        <v>25</v>
      </c>
      <c r="H101" s="4" t="s">
        <v>25</v>
      </c>
      <c r="I101" s="5">
        <v>44378</v>
      </c>
      <c r="J101" s="6">
        <v>0</v>
      </c>
      <c r="K101" s="6">
        <v>0</v>
      </c>
      <c r="L101" s="6">
        <v>1.7809999999999999</v>
      </c>
      <c r="M101" s="6">
        <v>1.7809999999999999</v>
      </c>
      <c r="N101" s="6">
        <v>1.7809999999999999</v>
      </c>
      <c r="O101" s="6">
        <v>1.7809999999999999</v>
      </c>
      <c r="P101" s="6">
        <v>0</v>
      </c>
      <c r="Q101" s="4" t="s">
        <v>26</v>
      </c>
      <c r="R101" s="4">
        <v>0</v>
      </c>
      <c r="S101" s="4">
        <v>0</v>
      </c>
      <c r="T101" s="4">
        <v>29</v>
      </c>
      <c r="U101" s="4">
        <v>66</v>
      </c>
      <c r="V101" s="6">
        <f>IF(ISERROR(VLOOKUP($S$101,'TAR FIN'!$A$1:$O$85,15,0)),0,VLOOKUP($S$101,'TAR FIN'!$A$1:$O$85,15,0))</f>
        <v>0</v>
      </c>
      <c r="W101" s="6">
        <f>IF(ISERROR(VLOOKUP($T$101,'TAR FIN'!$A$1:$O$85,15,0)),0,VLOOKUP($T$101,'TAR FIN'!$A$1:$O$85,15,0))</f>
        <v>448.29</v>
      </c>
      <c r="X101" s="6">
        <f>IF(ISERROR(VLOOKUP($U$101,'TAR FIN'!$A$1:$O$85,15,0)),0,VLOOKUP($U$101,'TAR FIN'!$A$1:$O$85,15,0))</f>
        <v>221.63</v>
      </c>
      <c r="Y101" s="6"/>
      <c r="Z101" s="6">
        <f ca="1">('TUSD BE'!$AM$33+'TUSD BF'!$AM$33+'TUSD CVA'!$AM$33)*(1-CUSTOS!$M$38)</f>
        <v>618.4724353141047</v>
      </c>
      <c r="AA101" s="6">
        <f>('TE BE'!$AA$24+'TE BF'!$AA$24+'TE CVA'!$AA$24)*(1-CUSTOS!$M$38)</f>
        <v>241.29063495745513</v>
      </c>
      <c r="AB101" s="6">
        <f t="shared" si="8"/>
        <v>0</v>
      </c>
      <c r="AC101" s="6">
        <f>(L101-M101)*(W101+X101)+($W$2+$X$2-$W$101-$X$101)*(L101)</f>
        <v>162.71215999999993</v>
      </c>
      <c r="AD101" s="6">
        <f t="shared" si="9"/>
        <v>0</v>
      </c>
      <c r="AE101" s="6">
        <f ca="1">(L101-M101)*(Z101+AA101)+($Z$2+$AA$2-$Z$101-$AA$101)*(L101)</f>
        <v>97.7385975417222</v>
      </c>
      <c r="AF101" s="4" t="s">
        <v>705</v>
      </c>
    </row>
    <row r="102" spans="1:32" ht="11.25" customHeight="1" x14ac:dyDescent="0.25">
      <c r="A102" s="4" t="s">
        <v>21</v>
      </c>
      <c r="B102" s="4" t="s">
        <v>41</v>
      </c>
      <c r="C102" s="4" t="s">
        <v>23</v>
      </c>
      <c r="D102" s="4" t="s">
        <v>42</v>
      </c>
      <c r="E102" s="4" t="s">
        <v>50</v>
      </c>
      <c r="F102" s="4" t="s">
        <v>51</v>
      </c>
      <c r="G102" s="4" t="s">
        <v>25</v>
      </c>
      <c r="H102" s="4" t="s">
        <v>25</v>
      </c>
      <c r="I102" s="5">
        <v>44409</v>
      </c>
      <c r="J102" s="6">
        <v>0</v>
      </c>
      <c r="K102" s="6">
        <v>0</v>
      </c>
      <c r="L102" s="6">
        <v>1.48</v>
      </c>
      <c r="M102" s="6">
        <v>1.48</v>
      </c>
      <c r="N102" s="6">
        <v>1.48</v>
      </c>
      <c r="O102" s="6">
        <v>1.48</v>
      </c>
      <c r="P102" s="6">
        <v>0</v>
      </c>
      <c r="Q102" s="4" t="s">
        <v>26</v>
      </c>
      <c r="R102" s="4">
        <v>0</v>
      </c>
      <c r="S102" s="4">
        <v>0</v>
      </c>
      <c r="T102" s="4">
        <v>29</v>
      </c>
      <c r="U102" s="4">
        <v>66</v>
      </c>
      <c r="V102" s="6">
        <f>IF(ISERROR(VLOOKUP($S$102,'TAR FIN'!$A$1:$O$85,15,0)),0,VLOOKUP($S$102,'TAR FIN'!$A$1:$O$85,15,0))</f>
        <v>0</v>
      </c>
      <c r="W102" s="6">
        <f>IF(ISERROR(VLOOKUP($T$102,'TAR FIN'!$A$1:$O$85,15,0)),0,VLOOKUP($T$102,'TAR FIN'!$A$1:$O$85,15,0))</f>
        <v>448.29</v>
      </c>
      <c r="X102" s="6">
        <f>IF(ISERROR(VLOOKUP($U$102,'TAR FIN'!$A$1:$O$85,15,0)),0,VLOOKUP($U$102,'TAR FIN'!$A$1:$O$85,15,0))</f>
        <v>221.63</v>
      </c>
      <c r="Y102" s="6"/>
      <c r="Z102" s="6">
        <f ca="1">('TUSD BE'!$AM$33+'TUSD BF'!$AM$33+'TUSD CVA'!$AM$33)*(1-CUSTOS!$M$38)</f>
        <v>618.4724353141047</v>
      </c>
      <c r="AA102" s="6">
        <f>('TE BE'!$AA$24+'TE BF'!$AA$24+'TE CVA'!$AA$24)*(1-CUSTOS!$M$38)</f>
        <v>241.29063495745513</v>
      </c>
      <c r="AB102" s="6">
        <f t="shared" si="8"/>
        <v>0</v>
      </c>
      <c r="AC102" s="6">
        <f>(L102-M102)*(W102+X102)+($W$2+$X$2-$W$102-$X$102)*(L102)</f>
        <v>135.21279999999993</v>
      </c>
      <c r="AD102" s="6">
        <f t="shared" si="9"/>
        <v>0</v>
      </c>
      <c r="AE102" s="6">
        <f ca="1">(L102-M102)*(Z102+AA102)+($Z$2+$AA$2-$Z$102-$AA$102)*(L102)</f>
        <v>81.220170893738839</v>
      </c>
      <c r="AF102" s="4" t="s">
        <v>705</v>
      </c>
    </row>
    <row r="103" spans="1:32" ht="11.25" customHeight="1" x14ac:dyDescent="0.25">
      <c r="A103" s="4" t="s">
        <v>21</v>
      </c>
      <c r="B103" s="4" t="s">
        <v>41</v>
      </c>
      <c r="C103" s="4" t="s">
        <v>23</v>
      </c>
      <c r="D103" s="4" t="s">
        <v>42</v>
      </c>
      <c r="E103" s="4" t="s">
        <v>50</v>
      </c>
      <c r="F103" s="4" t="s">
        <v>51</v>
      </c>
      <c r="G103" s="4" t="s">
        <v>25</v>
      </c>
      <c r="H103" s="4" t="s">
        <v>25</v>
      </c>
      <c r="I103" s="5">
        <v>44440</v>
      </c>
      <c r="J103" s="6">
        <v>0</v>
      </c>
      <c r="K103" s="6">
        <v>0</v>
      </c>
      <c r="L103" s="6">
        <v>4.3639999999999999</v>
      </c>
      <c r="M103" s="6">
        <v>4.3639999999999999</v>
      </c>
      <c r="N103" s="6">
        <v>4.3639999999999999</v>
      </c>
      <c r="O103" s="6">
        <v>4.3639999999999999</v>
      </c>
      <c r="P103" s="6">
        <v>0</v>
      </c>
      <c r="Q103" s="4" t="s">
        <v>26</v>
      </c>
      <c r="R103" s="4">
        <v>0</v>
      </c>
      <c r="S103" s="4">
        <v>0</v>
      </c>
      <c r="T103" s="4">
        <v>29</v>
      </c>
      <c r="U103" s="4">
        <v>66</v>
      </c>
      <c r="V103" s="6">
        <f>IF(ISERROR(VLOOKUP($S$103,'TAR FIN'!$A$1:$O$85,15,0)),0,VLOOKUP($S$103,'TAR FIN'!$A$1:$O$85,15,0))</f>
        <v>0</v>
      </c>
      <c r="W103" s="6">
        <f>IF(ISERROR(VLOOKUP($T$103,'TAR FIN'!$A$1:$O$85,15,0)),0,VLOOKUP($T$103,'TAR FIN'!$A$1:$O$85,15,0))</f>
        <v>448.29</v>
      </c>
      <c r="X103" s="6">
        <f>IF(ISERROR(VLOOKUP($U$103,'TAR FIN'!$A$1:$O$85,15,0)),0,VLOOKUP($U$103,'TAR FIN'!$A$1:$O$85,15,0))</f>
        <v>221.63</v>
      </c>
      <c r="Y103" s="6"/>
      <c r="Z103" s="6">
        <f ca="1">('TUSD BE'!$AM$33+'TUSD BF'!$AM$33+'TUSD CVA'!$AM$33)*(1-CUSTOS!$M$38)</f>
        <v>618.4724353141047</v>
      </c>
      <c r="AA103" s="6">
        <f>('TE BE'!$AA$24+'TE BF'!$AA$24+'TE CVA'!$AA$24)*(1-CUSTOS!$M$38)</f>
        <v>241.29063495745513</v>
      </c>
      <c r="AB103" s="6">
        <f t="shared" si="8"/>
        <v>0</v>
      </c>
      <c r="AC103" s="6">
        <f>(L103-M103)*(W103+X103)+($W$2+$X$2-$W$103-$X$103)*(L103)</f>
        <v>398.69503999999978</v>
      </c>
      <c r="AD103" s="6">
        <f t="shared" si="9"/>
        <v>0</v>
      </c>
      <c r="AE103" s="6">
        <f ca="1">(L103-M103)*(Z103+AA103)+($Z$2+$AA$2-$Z$103-$AA$103)*(L103)</f>
        <v>239.48974714883533</v>
      </c>
      <c r="AF103" s="4" t="s">
        <v>705</v>
      </c>
    </row>
    <row r="104" spans="1:32" ht="11.25" customHeight="1" x14ac:dyDescent="0.25">
      <c r="A104" s="4" t="s">
        <v>21</v>
      </c>
      <c r="B104" s="4" t="s">
        <v>41</v>
      </c>
      <c r="C104" s="4" t="s">
        <v>23</v>
      </c>
      <c r="D104" s="4" t="s">
        <v>42</v>
      </c>
      <c r="E104" s="4" t="s">
        <v>50</v>
      </c>
      <c r="F104" s="4" t="s">
        <v>51</v>
      </c>
      <c r="G104" s="4" t="s">
        <v>25</v>
      </c>
      <c r="H104" s="4" t="s">
        <v>25</v>
      </c>
      <c r="I104" s="5">
        <v>44470</v>
      </c>
      <c r="J104" s="6">
        <v>0</v>
      </c>
      <c r="K104" s="6">
        <v>0</v>
      </c>
      <c r="L104" s="6">
        <v>10.007</v>
      </c>
      <c r="M104" s="6">
        <v>10.007</v>
      </c>
      <c r="N104" s="6">
        <v>10.007</v>
      </c>
      <c r="O104" s="6">
        <v>10.007</v>
      </c>
      <c r="P104" s="6">
        <v>0</v>
      </c>
      <c r="Q104" s="4" t="s">
        <v>26</v>
      </c>
      <c r="R104" s="4">
        <v>0</v>
      </c>
      <c r="S104" s="4">
        <v>0</v>
      </c>
      <c r="T104" s="4">
        <v>29</v>
      </c>
      <c r="U104" s="4">
        <v>66</v>
      </c>
      <c r="V104" s="6">
        <f>IF(ISERROR(VLOOKUP($S$104,'TAR FIN'!$A$1:$O$85,15,0)),0,VLOOKUP($S$104,'TAR FIN'!$A$1:$O$85,15,0))</f>
        <v>0</v>
      </c>
      <c r="W104" s="6">
        <f>IF(ISERROR(VLOOKUP($T$104,'TAR FIN'!$A$1:$O$85,15,0)),0,VLOOKUP($T$104,'TAR FIN'!$A$1:$O$85,15,0))</f>
        <v>448.29</v>
      </c>
      <c r="X104" s="6">
        <f>IF(ISERROR(VLOOKUP($U$104,'TAR FIN'!$A$1:$O$85,15,0)),0,VLOOKUP($U$104,'TAR FIN'!$A$1:$O$85,15,0))</f>
        <v>221.63</v>
      </c>
      <c r="Y104" s="6"/>
      <c r="Z104" s="6">
        <f ca="1">('TUSD BE'!$AM$33+'TUSD BF'!$AM$33+'TUSD CVA'!$AM$33)*(1-CUSTOS!$M$38)</f>
        <v>618.4724353141047</v>
      </c>
      <c r="AA104" s="6">
        <f>('TE BE'!$AA$24+'TE BF'!$AA$24+'TE CVA'!$AA$24)*(1-CUSTOS!$M$38)</f>
        <v>241.29063495745513</v>
      </c>
      <c r="AB104" s="6">
        <f t="shared" si="8"/>
        <v>0</v>
      </c>
      <c r="AC104" s="6">
        <f>(L104-M104)*(W104+X104)+($W$2+$X$2-$W$104-$X$104)*(L104)</f>
        <v>914.23951999999952</v>
      </c>
      <c r="AD104" s="6">
        <f t="shared" si="9"/>
        <v>0</v>
      </c>
      <c r="AE104" s="6">
        <f ca="1">(L104-M104)*(Z104+AA104)+($Z$2+$AA$2-$Z$104-$AA$104)*(L104)</f>
        <v>549.1690879281382</v>
      </c>
      <c r="AF104" s="4" t="s">
        <v>705</v>
      </c>
    </row>
    <row r="105" spans="1:32" ht="11.25" customHeight="1" x14ac:dyDescent="0.25">
      <c r="A105" s="4" t="s">
        <v>21</v>
      </c>
      <c r="B105" s="4" t="s">
        <v>41</v>
      </c>
      <c r="C105" s="4" t="s">
        <v>23</v>
      </c>
      <c r="D105" s="4" t="s">
        <v>42</v>
      </c>
      <c r="E105" s="4" t="s">
        <v>50</v>
      </c>
      <c r="F105" s="4" t="s">
        <v>51</v>
      </c>
      <c r="G105" s="4" t="s">
        <v>25</v>
      </c>
      <c r="H105" s="4" t="s">
        <v>25</v>
      </c>
      <c r="I105" s="5">
        <v>44501</v>
      </c>
      <c r="J105" s="6">
        <v>0</v>
      </c>
      <c r="K105" s="6">
        <v>0</v>
      </c>
      <c r="L105" s="6">
        <v>8.7550000000000008</v>
      </c>
      <c r="M105" s="6">
        <v>8.7550000000000008</v>
      </c>
      <c r="N105" s="6">
        <v>8.7550000000000008</v>
      </c>
      <c r="O105" s="6">
        <v>8.7550000000000008</v>
      </c>
      <c r="P105" s="6">
        <v>0</v>
      </c>
      <c r="Q105" s="4" t="s">
        <v>26</v>
      </c>
      <c r="R105" s="4">
        <v>0</v>
      </c>
      <c r="S105" s="4">
        <v>0</v>
      </c>
      <c r="T105" s="4">
        <v>29</v>
      </c>
      <c r="U105" s="4">
        <v>66</v>
      </c>
      <c r="V105" s="6">
        <f>IF(ISERROR(VLOOKUP($S$105,'TAR FIN'!$A$1:$O$85,15,0)),0,VLOOKUP($S$105,'TAR FIN'!$A$1:$O$85,15,0))</f>
        <v>0</v>
      </c>
      <c r="W105" s="6">
        <f>IF(ISERROR(VLOOKUP($T$105,'TAR FIN'!$A$1:$O$85,15,0)),0,VLOOKUP($T$105,'TAR FIN'!$A$1:$O$85,15,0))</f>
        <v>448.29</v>
      </c>
      <c r="X105" s="6">
        <f>IF(ISERROR(VLOOKUP($U$105,'TAR FIN'!$A$1:$O$85,15,0)),0,VLOOKUP($U$105,'TAR FIN'!$A$1:$O$85,15,0))</f>
        <v>221.63</v>
      </c>
      <c r="Y105" s="6"/>
      <c r="Z105" s="6">
        <f ca="1">('TUSD BE'!$AM$33+'TUSD BF'!$AM$33+'TUSD CVA'!$AM$33)*(1-CUSTOS!$M$38)</f>
        <v>618.4724353141047</v>
      </c>
      <c r="AA105" s="6">
        <f>('TE BE'!$AA$24+'TE BF'!$AA$24+'TE CVA'!$AA$24)*(1-CUSTOS!$M$38)</f>
        <v>241.29063495745513</v>
      </c>
      <c r="AB105" s="6">
        <f t="shared" si="8"/>
        <v>0</v>
      </c>
      <c r="AC105" s="6">
        <f>(L105-M105)*(W105+X105)+($W$2+$X$2-$W$105-$X$105)*(L105)</f>
        <v>799.85679999999968</v>
      </c>
      <c r="AD105" s="6">
        <f t="shared" si="9"/>
        <v>0</v>
      </c>
      <c r="AE105" s="6">
        <f ca="1">(L105-M105)*(Z105+AA105)+($Z$2+$AA$2-$Z$105-$AA$105)*(L105)</f>
        <v>480.46121363154299</v>
      </c>
      <c r="AF105" s="4" t="s">
        <v>705</v>
      </c>
    </row>
    <row r="106" spans="1:32" ht="11.25" customHeight="1" x14ac:dyDescent="0.25">
      <c r="A106" s="4" t="s">
        <v>21</v>
      </c>
      <c r="B106" s="4" t="s">
        <v>41</v>
      </c>
      <c r="C106" s="4" t="s">
        <v>23</v>
      </c>
      <c r="D106" s="4" t="s">
        <v>42</v>
      </c>
      <c r="E106" s="4" t="s">
        <v>50</v>
      </c>
      <c r="F106" s="4" t="s">
        <v>51</v>
      </c>
      <c r="G106" s="4" t="s">
        <v>25</v>
      </c>
      <c r="H106" s="4" t="s">
        <v>25</v>
      </c>
      <c r="I106" s="5">
        <v>44531</v>
      </c>
      <c r="J106" s="6">
        <v>0</v>
      </c>
      <c r="K106" s="6">
        <v>0</v>
      </c>
      <c r="L106" s="6">
        <v>7.0979999999999999</v>
      </c>
      <c r="M106" s="6">
        <v>7.0979999999999999</v>
      </c>
      <c r="N106" s="6">
        <v>7.0979999999999999</v>
      </c>
      <c r="O106" s="6">
        <v>7.0979999999999999</v>
      </c>
      <c r="P106" s="6">
        <v>0</v>
      </c>
      <c r="Q106" s="4" t="s">
        <v>26</v>
      </c>
      <c r="R106" s="4">
        <v>0</v>
      </c>
      <c r="S106" s="4">
        <v>0</v>
      </c>
      <c r="T106" s="4">
        <v>29</v>
      </c>
      <c r="U106" s="4">
        <v>66</v>
      </c>
      <c r="V106" s="6">
        <f>IF(ISERROR(VLOOKUP($S$106,'TAR FIN'!$A$1:$O$85,15,0)),0,VLOOKUP($S$106,'TAR FIN'!$A$1:$O$85,15,0))</f>
        <v>0</v>
      </c>
      <c r="W106" s="6">
        <f>IF(ISERROR(VLOOKUP($T$106,'TAR FIN'!$A$1:$O$85,15,0)),0,VLOOKUP($T$106,'TAR FIN'!$A$1:$O$85,15,0))</f>
        <v>448.29</v>
      </c>
      <c r="X106" s="6">
        <f>IF(ISERROR(VLOOKUP($U$106,'TAR FIN'!$A$1:$O$85,15,0)),0,VLOOKUP($U$106,'TAR FIN'!$A$1:$O$85,15,0))</f>
        <v>221.63</v>
      </c>
      <c r="Y106" s="6"/>
      <c r="Z106" s="6">
        <f ca="1">('TUSD BE'!$AM$33+'TUSD BF'!$AM$33+'TUSD CVA'!$AM$33)*(1-CUSTOS!$M$38)</f>
        <v>618.4724353141047</v>
      </c>
      <c r="AA106" s="6">
        <f>('TE BE'!$AA$24+'TE BF'!$AA$24+'TE CVA'!$AA$24)*(1-CUSTOS!$M$38)</f>
        <v>241.29063495745513</v>
      </c>
      <c r="AB106" s="6">
        <f t="shared" si="8"/>
        <v>0</v>
      </c>
      <c r="AC106" s="6">
        <f>(L106-M106)*(W106+X106)+($W$2+$X$2-$W$106-$X$106)*(L106)</f>
        <v>648.4732799999997</v>
      </c>
      <c r="AD106" s="6">
        <f t="shared" si="9"/>
        <v>0</v>
      </c>
      <c r="AE106" s="6">
        <f ca="1">(L106-M106)*(Z106+AA106)+($Z$2+$AA$2-$Z$106-$AA$106)*(L106)</f>
        <v>389.52754932686366</v>
      </c>
      <c r="AF106" s="4" t="s">
        <v>705</v>
      </c>
    </row>
    <row r="107" spans="1:32" ht="11.25" customHeight="1" x14ac:dyDescent="0.25">
      <c r="A107" s="4" t="s">
        <v>21</v>
      </c>
      <c r="B107" s="4" t="s">
        <v>41</v>
      </c>
      <c r="C107" s="4" t="s">
        <v>23</v>
      </c>
      <c r="D107" s="4" t="s">
        <v>42</v>
      </c>
      <c r="E107" s="4" t="s">
        <v>50</v>
      </c>
      <c r="F107" s="4" t="s">
        <v>51</v>
      </c>
      <c r="G107" s="4" t="s">
        <v>25</v>
      </c>
      <c r="H107" s="4" t="s">
        <v>25</v>
      </c>
      <c r="I107" s="5">
        <v>44562</v>
      </c>
      <c r="J107" s="6">
        <v>0</v>
      </c>
      <c r="K107" s="6">
        <v>0</v>
      </c>
      <c r="L107" s="6">
        <v>6.3410000000000002</v>
      </c>
      <c r="M107" s="6">
        <v>6.3410000000000002</v>
      </c>
      <c r="N107" s="6">
        <v>6.3410000000000002</v>
      </c>
      <c r="O107" s="6">
        <v>6.3410000000000002</v>
      </c>
      <c r="P107" s="6">
        <v>0</v>
      </c>
      <c r="Q107" s="4" t="s">
        <v>26</v>
      </c>
      <c r="R107" s="4">
        <v>0</v>
      </c>
      <c r="S107" s="4">
        <v>0</v>
      </c>
      <c r="T107" s="4">
        <v>29</v>
      </c>
      <c r="U107" s="4">
        <v>66</v>
      </c>
      <c r="V107" s="6">
        <f>IF(ISERROR(VLOOKUP($S$107,'TAR FIN'!$A$1:$O$85,15,0)),0,VLOOKUP($S$107,'TAR FIN'!$A$1:$O$85,15,0))</f>
        <v>0</v>
      </c>
      <c r="W107" s="6">
        <f>IF(ISERROR(VLOOKUP($T$107,'TAR FIN'!$A$1:$O$85,15,0)),0,VLOOKUP($T$107,'TAR FIN'!$A$1:$O$85,15,0))</f>
        <v>448.29</v>
      </c>
      <c r="X107" s="6">
        <f>IF(ISERROR(VLOOKUP($U$107,'TAR FIN'!$A$1:$O$85,15,0)),0,VLOOKUP($U$107,'TAR FIN'!$A$1:$O$85,15,0))</f>
        <v>221.63</v>
      </c>
      <c r="Y107" s="6"/>
      <c r="Z107" s="6">
        <f ca="1">('TUSD BE'!$AM$33+'TUSD BF'!$AM$33+'TUSD CVA'!$AM$33)*(1-CUSTOS!$M$38)</f>
        <v>618.4724353141047</v>
      </c>
      <c r="AA107" s="6">
        <f>('TE BE'!$AA$24+'TE BF'!$AA$24+'TE CVA'!$AA$24)*(1-CUSTOS!$M$38)</f>
        <v>241.29063495745513</v>
      </c>
      <c r="AB107" s="6">
        <f t="shared" si="8"/>
        <v>0</v>
      </c>
      <c r="AC107" s="6">
        <f>(L107-M107)*(W107+X107)+($W$2+$X$2-$W$107-$X$107)*(L107)</f>
        <v>579.31375999999977</v>
      </c>
      <c r="AD107" s="6">
        <f t="shared" si="9"/>
        <v>0</v>
      </c>
      <c r="AE107" s="6">
        <f ca="1">(L107-M107)*(Z107+AA107)+($Z$2+$AA$2-$Z$107-$AA$107)*(L107)</f>
        <v>347.98452948459322</v>
      </c>
      <c r="AF107" s="4" t="s">
        <v>705</v>
      </c>
    </row>
    <row r="108" spans="1:32" ht="11.25" customHeight="1" x14ac:dyDescent="0.25">
      <c r="A108" s="4" t="s">
        <v>21</v>
      </c>
      <c r="B108" s="4" t="s">
        <v>41</v>
      </c>
      <c r="C108" s="4" t="s">
        <v>23</v>
      </c>
      <c r="D108" s="4" t="s">
        <v>42</v>
      </c>
      <c r="E108" s="4" t="s">
        <v>50</v>
      </c>
      <c r="F108" s="4" t="s">
        <v>51</v>
      </c>
      <c r="G108" s="4" t="s">
        <v>25</v>
      </c>
      <c r="H108" s="4" t="s">
        <v>25</v>
      </c>
      <c r="I108" s="5">
        <v>44593</v>
      </c>
      <c r="J108" s="6">
        <v>0</v>
      </c>
      <c r="K108" s="6">
        <v>0</v>
      </c>
      <c r="L108" s="6">
        <v>7.7309999999999999</v>
      </c>
      <c r="M108" s="6">
        <v>7.7309999999999999</v>
      </c>
      <c r="N108" s="6">
        <v>7.7309999999999999</v>
      </c>
      <c r="O108" s="6">
        <v>7.7309999999999999</v>
      </c>
      <c r="P108" s="6">
        <v>0</v>
      </c>
      <c r="Q108" s="4" t="s">
        <v>26</v>
      </c>
      <c r="R108" s="4">
        <v>0</v>
      </c>
      <c r="S108" s="4">
        <v>0</v>
      </c>
      <c r="T108" s="4">
        <v>29</v>
      </c>
      <c r="U108" s="4">
        <v>66</v>
      </c>
      <c r="V108" s="6">
        <f>IF(ISERROR(VLOOKUP($S$108,'TAR FIN'!$A$1:$O$85,15,0)),0,VLOOKUP($S$108,'TAR FIN'!$A$1:$O$85,15,0))</f>
        <v>0</v>
      </c>
      <c r="W108" s="6">
        <f>IF(ISERROR(VLOOKUP($T$108,'TAR FIN'!$A$1:$O$85,15,0)),0,VLOOKUP($T$108,'TAR FIN'!$A$1:$O$85,15,0))</f>
        <v>448.29</v>
      </c>
      <c r="X108" s="6">
        <f>IF(ISERROR(VLOOKUP($U$108,'TAR FIN'!$A$1:$O$85,15,0)),0,VLOOKUP($U$108,'TAR FIN'!$A$1:$O$85,15,0))</f>
        <v>221.63</v>
      </c>
      <c r="Y108" s="6"/>
      <c r="Z108" s="6">
        <f ca="1">('TUSD BE'!$AM$33+'TUSD BF'!$AM$33+'TUSD CVA'!$AM$33)*(1-CUSTOS!$M$38)</f>
        <v>618.4724353141047</v>
      </c>
      <c r="AA108" s="6">
        <f>('TE BE'!$AA$24+'TE BF'!$AA$24+'TE CVA'!$AA$24)*(1-CUSTOS!$M$38)</f>
        <v>241.29063495745513</v>
      </c>
      <c r="AB108" s="6">
        <f t="shared" si="8"/>
        <v>0</v>
      </c>
      <c r="AC108" s="6">
        <f>(L108-M108)*(W108+X108)+($W$2+$X$2-$W$108-$X$108)*(L108)</f>
        <v>706.30415999999968</v>
      </c>
      <c r="AD108" s="6">
        <f t="shared" si="9"/>
        <v>0</v>
      </c>
      <c r="AE108" s="6">
        <f ca="1">(L108-M108)*(Z108+AA108)+($Z$2+$AA$2-$Z$108-$AA$108)*(L108)</f>
        <v>424.26563593209119</v>
      </c>
      <c r="AF108" s="4" t="s">
        <v>705</v>
      </c>
    </row>
    <row r="109" spans="1:32" ht="11.25" customHeight="1" x14ac:dyDescent="0.25">
      <c r="A109" s="4" t="s">
        <v>21</v>
      </c>
      <c r="B109" s="4" t="s">
        <v>41</v>
      </c>
      <c r="C109" s="4" t="s">
        <v>23</v>
      </c>
      <c r="D109" s="4" t="s">
        <v>42</v>
      </c>
      <c r="E109" s="4" t="s">
        <v>50</v>
      </c>
      <c r="F109" s="4" t="s">
        <v>51</v>
      </c>
      <c r="G109" s="4" t="s">
        <v>25</v>
      </c>
      <c r="H109" s="4" t="s">
        <v>25</v>
      </c>
      <c r="I109" s="5">
        <v>44621</v>
      </c>
      <c r="J109" s="6">
        <v>0</v>
      </c>
      <c r="K109" s="6">
        <v>0</v>
      </c>
      <c r="L109" s="6">
        <v>6.0869999999999997</v>
      </c>
      <c r="M109" s="6">
        <v>6.0869999999999997</v>
      </c>
      <c r="N109" s="6">
        <v>6.0869999999999997</v>
      </c>
      <c r="O109" s="6">
        <v>6.0869999999999997</v>
      </c>
      <c r="P109" s="6">
        <v>0</v>
      </c>
      <c r="Q109" s="4" t="s">
        <v>26</v>
      </c>
      <c r="R109" s="4">
        <v>0</v>
      </c>
      <c r="S109" s="4">
        <v>0</v>
      </c>
      <c r="T109" s="4">
        <v>29</v>
      </c>
      <c r="U109" s="4">
        <v>66</v>
      </c>
      <c r="V109" s="6">
        <f>IF(ISERROR(VLOOKUP($S$109,'TAR FIN'!$A$1:$O$85,15,0)),0,VLOOKUP($S$109,'TAR FIN'!$A$1:$O$85,15,0))</f>
        <v>0</v>
      </c>
      <c r="W109" s="6">
        <f>IF(ISERROR(VLOOKUP($T$109,'TAR FIN'!$A$1:$O$85,15,0)),0,VLOOKUP($T$109,'TAR FIN'!$A$1:$O$85,15,0))</f>
        <v>448.29</v>
      </c>
      <c r="X109" s="6">
        <f>IF(ISERROR(VLOOKUP($U$109,'TAR FIN'!$A$1:$O$85,15,0)),0,VLOOKUP($U$109,'TAR FIN'!$A$1:$O$85,15,0))</f>
        <v>221.63</v>
      </c>
      <c r="Y109" s="6"/>
      <c r="Z109" s="6">
        <f ca="1">('TUSD BE'!$AM$33+'TUSD BF'!$AM$33+'TUSD CVA'!$AM$33)*(1-CUSTOS!$M$38)</f>
        <v>618.4724353141047</v>
      </c>
      <c r="AA109" s="6">
        <f>('TE BE'!$AA$24+'TE BF'!$AA$24+'TE CVA'!$AA$24)*(1-CUSTOS!$M$38)</f>
        <v>241.29063495745513</v>
      </c>
      <c r="AB109" s="6">
        <f t="shared" si="8"/>
        <v>0</v>
      </c>
      <c r="AC109" s="6">
        <f>(L109-M109)*(W109+X109)+($W$2+$X$2-$W$109-$X$109)*(L109)</f>
        <v>556.10831999999971</v>
      </c>
      <c r="AD109" s="6">
        <f t="shared" si="9"/>
        <v>0</v>
      </c>
      <c r="AE109" s="6">
        <f ca="1">(L109-M109)*(Z109+AA109)+($Z$2+$AA$2-$Z$109-$AA$109)*(L109)</f>
        <v>334.04539204742451</v>
      </c>
      <c r="AF109" s="4" t="s">
        <v>705</v>
      </c>
    </row>
    <row r="110" spans="1:32" ht="11.25" customHeight="1" x14ac:dyDescent="0.25">
      <c r="A110" s="4" t="s">
        <v>21</v>
      </c>
      <c r="B110" s="4" t="s">
        <v>41</v>
      </c>
      <c r="C110" s="4" t="s">
        <v>23</v>
      </c>
      <c r="D110" s="4" t="s">
        <v>42</v>
      </c>
      <c r="E110" s="4" t="s">
        <v>50</v>
      </c>
      <c r="F110" s="4" t="s">
        <v>51</v>
      </c>
      <c r="G110" s="4" t="s">
        <v>25</v>
      </c>
      <c r="H110" s="4" t="s">
        <v>25</v>
      </c>
      <c r="I110" s="5">
        <v>44652</v>
      </c>
      <c r="J110" s="6">
        <v>0</v>
      </c>
      <c r="K110" s="6">
        <v>0</v>
      </c>
      <c r="L110" s="6">
        <v>5.8929999999999998</v>
      </c>
      <c r="M110" s="6">
        <v>5.8929999999999998</v>
      </c>
      <c r="N110" s="6">
        <v>5.8929999999999998</v>
      </c>
      <c r="O110" s="6">
        <v>5.8929999999999998</v>
      </c>
      <c r="P110" s="6">
        <v>0</v>
      </c>
      <c r="Q110" s="4" t="s">
        <v>26</v>
      </c>
      <c r="R110" s="4">
        <v>0</v>
      </c>
      <c r="S110" s="4">
        <v>0</v>
      </c>
      <c r="T110" s="4">
        <v>29</v>
      </c>
      <c r="U110" s="4">
        <v>66</v>
      </c>
      <c r="V110" s="6">
        <f>IF(ISERROR(VLOOKUP($S$110,'TAR FIN'!$A$1:$O$85,15,0)),0,VLOOKUP($S$110,'TAR FIN'!$A$1:$O$85,15,0))</f>
        <v>0</v>
      </c>
      <c r="W110" s="6">
        <f>IF(ISERROR(VLOOKUP($T$110,'TAR FIN'!$A$1:$O$85,15,0)),0,VLOOKUP($T$110,'TAR FIN'!$A$1:$O$85,15,0))</f>
        <v>448.29</v>
      </c>
      <c r="X110" s="6">
        <f>IF(ISERROR(VLOOKUP($U$110,'TAR FIN'!$A$1:$O$85,15,0)),0,VLOOKUP($U$110,'TAR FIN'!$A$1:$O$85,15,0))</f>
        <v>221.63</v>
      </c>
      <c r="Y110" s="6"/>
      <c r="Z110" s="6">
        <f ca="1">('TUSD BE'!$AM$33+'TUSD BF'!$AM$33+'TUSD CVA'!$AM$33)*(1-CUSTOS!$M$38)</f>
        <v>618.4724353141047</v>
      </c>
      <c r="AA110" s="6">
        <f>('TE BE'!$AA$24+'TE BF'!$AA$24+'TE CVA'!$AA$24)*(1-CUSTOS!$M$38)</f>
        <v>241.29063495745513</v>
      </c>
      <c r="AB110" s="6">
        <f t="shared" si="8"/>
        <v>0</v>
      </c>
      <c r="AC110" s="6">
        <f>(L110-M110)*(W110+X110)+($W$2+$X$2-$W$110-$X$110)*(L110)</f>
        <v>538.38447999999971</v>
      </c>
      <c r="AD110" s="6">
        <f t="shared" si="9"/>
        <v>0</v>
      </c>
      <c r="AE110" s="6">
        <f ca="1">(L110-M110)*(Z110+AA110)+($Z$2+$AA$2-$Z$110-$AA$110)*(L110)</f>
        <v>323.39896424108309</v>
      </c>
      <c r="AF110" s="4" t="s">
        <v>705</v>
      </c>
    </row>
    <row r="111" spans="1:32" ht="11.25" customHeight="1" x14ac:dyDescent="0.25">
      <c r="A111" s="4" t="s">
        <v>21</v>
      </c>
      <c r="B111" s="4" t="s">
        <v>41</v>
      </c>
      <c r="C111" s="4" t="s">
        <v>23</v>
      </c>
      <c r="D111" s="4" t="s">
        <v>42</v>
      </c>
      <c r="E111" s="4" t="s">
        <v>50</v>
      </c>
      <c r="F111" s="4" t="s">
        <v>52</v>
      </c>
      <c r="G111" s="4" t="s">
        <v>25</v>
      </c>
      <c r="H111" s="4" t="s">
        <v>25</v>
      </c>
      <c r="I111" s="5">
        <v>44317</v>
      </c>
      <c r="J111" s="6">
        <v>0</v>
      </c>
      <c r="K111" s="6">
        <v>0</v>
      </c>
      <c r="L111" s="6">
        <v>0.34399999999999997</v>
      </c>
      <c r="M111" s="6">
        <v>9.2880000000000004E-2</v>
      </c>
      <c r="N111" s="6">
        <v>0.34399999999999997</v>
      </c>
      <c r="O111" s="6">
        <v>9.2880000000000004E-2</v>
      </c>
      <c r="P111" s="6">
        <v>0</v>
      </c>
      <c r="Q111" s="4" t="s">
        <v>26</v>
      </c>
      <c r="R111" s="4">
        <v>0</v>
      </c>
      <c r="S111" s="4">
        <v>0</v>
      </c>
      <c r="T111" s="4">
        <v>29</v>
      </c>
      <c r="U111" s="4">
        <v>66</v>
      </c>
      <c r="V111" s="6">
        <f>IF(ISERROR(VLOOKUP($S$111,'TAR FIN'!$A$1:$O$85,15,0)),0,VLOOKUP($S$111,'TAR FIN'!$A$1:$O$85,15,0))</f>
        <v>0</v>
      </c>
      <c r="W111" s="6">
        <f>IF(ISERROR(VLOOKUP($T$111,'TAR FIN'!$A$1:$O$85,15,0)),0,VLOOKUP($T$111,'TAR FIN'!$A$1:$O$85,15,0))</f>
        <v>448.29</v>
      </c>
      <c r="X111" s="6">
        <f>IF(ISERROR(VLOOKUP($U$111,'TAR FIN'!$A$1:$O$85,15,0)),0,VLOOKUP($U$111,'TAR FIN'!$A$1:$O$85,15,0))</f>
        <v>221.63</v>
      </c>
      <c r="Y111" s="6"/>
      <c r="Z111" s="6">
        <f ca="1">('TUSD BE'!$AM$33+'TUSD BF'!$AM$33+'TUSD CVA'!$AM$33)*(1-CUSTOS!$M$38)</f>
        <v>618.4724353141047</v>
      </c>
      <c r="AA111" s="6">
        <f>('TE BE'!$AA$24+'TE BF'!$AA$24+'TE CVA'!$AA$24)*(1-CUSTOS!$M$38)</f>
        <v>241.29063495745513</v>
      </c>
      <c r="AB111" s="6">
        <f t="shared" si="8"/>
        <v>0</v>
      </c>
      <c r="AC111" s="6">
        <f>(L111-M111)*(W111+X111)+($W$2+$X$2-$W$111-$X$111)*(L111)</f>
        <v>199.65815039999995</v>
      </c>
      <c r="AD111" s="6">
        <f t="shared" si="9"/>
        <v>0</v>
      </c>
      <c r="AE111" s="6">
        <f ca="1">(L111-M111)*(Z111+AA111)+($Z$2+$AA$2-$Z$111-$AA$111)*(L111)</f>
        <v>234.78190409000362</v>
      </c>
      <c r="AF111" s="4" t="s">
        <v>706</v>
      </c>
    </row>
    <row r="112" spans="1:32" ht="11.25" customHeight="1" x14ac:dyDescent="0.25">
      <c r="A112" s="4" t="s">
        <v>21</v>
      </c>
      <c r="B112" s="4" t="s">
        <v>41</v>
      </c>
      <c r="C112" s="4" t="s">
        <v>23</v>
      </c>
      <c r="D112" s="4" t="s">
        <v>42</v>
      </c>
      <c r="E112" s="4" t="s">
        <v>50</v>
      </c>
      <c r="F112" s="4" t="s">
        <v>52</v>
      </c>
      <c r="G112" s="4" t="s">
        <v>25</v>
      </c>
      <c r="H112" s="4" t="s">
        <v>25</v>
      </c>
      <c r="I112" s="5">
        <v>44348</v>
      </c>
      <c r="J112" s="6">
        <v>0</v>
      </c>
      <c r="K112" s="6">
        <v>0</v>
      </c>
      <c r="L112" s="6">
        <v>0.34200000000000003</v>
      </c>
      <c r="M112" s="6">
        <v>9.2340000000000005E-2</v>
      </c>
      <c r="N112" s="6">
        <v>0.34200000000000003</v>
      </c>
      <c r="O112" s="6">
        <v>9.2340000000000005E-2</v>
      </c>
      <c r="P112" s="6">
        <v>0</v>
      </c>
      <c r="Q112" s="4" t="s">
        <v>26</v>
      </c>
      <c r="R112" s="4">
        <v>0</v>
      </c>
      <c r="S112" s="4">
        <v>0</v>
      </c>
      <c r="T112" s="4">
        <v>29</v>
      </c>
      <c r="U112" s="4">
        <v>66</v>
      </c>
      <c r="V112" s="6">
        <f>IF(ISERROR(VLOOKUP($S$112,'TAR FIN'!$A$1:$O$85,15,0)),0,VLOOKUP($S$112,'TAR FIN'!$A$1:$O$85,15,0))</f>
        <v>0</v>
      </c>
      <c r="W112" s="6">
        <f>IF(ISERROR(VLOOKUP($T$112,'TAR FIN'!$A$1:$O$85,15,0)),0,VLOOKUP($T$112,'TAR FIN'!$A$1:$O$85,15,0))</f>
        <v>448.29</v>
      </c>
      <c r="X112" s="6">
        <f>IF(ISERROR(VLOOKUP($U$112,'TAR FIN'!$A$1:$O$85,15,0)),0,VLOOKUP($U$112,'TAR FIN'!$A$1:$O$85,15,0))</f>
        <v>221.63</v>
      </c>
      <c r="Y112" s="6"/>
      <c r="Z112" s="6">
        <f ca="1">('TUSD BE'!$AM$33+'TUSD BF'!$AM$33+'TUSD CVA'!$AM$33)*(1-CUSTOS!$M$38)</f>
        <v>618.4724353141047</v>
      </c>
      <c r="AA112" s="6">
        <f>('TE BE'!$AA$24+'TE BF'!$AA$24+'TE CVA'!$AA$24)*(1-CUSTOS!$M$38)</f>
        <v>241.29063495745513</v>
      </c>
      <c r="AB112" s="6">
        <f t="shared" si="8"/>
        <v>0</v>
      </c>
      <c r="AC112" s="6">
        <f>(L112-M112)*(W112+X112)+($W$2+$X$2-$W$112-$X$112)*(L112)</f>
        <v>198.49734720000001</v>
      </c>
      <c r="AD112" s="6">
        <f t="shared" si="9"/>
        <v>0</v>
      </c>
      <c r="AE112" s="6">
        <f ca="1">(L112-M112)*(Z112+AA112)+($Z$2+$AA$2-$Z$112-$AA$112)*(L112)</f>
        <v>233.41689301971297</v>
      </c>
      <c r="AF112" s="4" t="s">
        <v>706</v>
      </c>
    </row>
    <row r="113" spans="1:32" ht="11.25" customHeight="1" x14ac:dyDescent="0.25">
      <c r="A113" s="4" t="s">
        <v>21</v>
      </c>
      <c r="B113" s="4" t="s">
        <v>41</v>
      </c>
      <c r="C113" s="4" t="s">
        <v>23</v>
      </c>
      <c r="D113" s="4" t="s">
        <v>42</v>
      </c>
      <c r="E113" s="4" t="s">
        <v>50</v>
      </c>
      <c r="F113" s="4" t="s">
        <v>52</v>
      </c>
      <c r="G113" s="4" t="s">
        <v>25</v>
      </c>
      <c r="H113" s="4" t="s">
        <v>25</v>
      </c>
      <c r="I113" s="5">
        <v>44378</v>
      </c>
      <c r="J113" s="6">
        <v>0</v>
      </c>
      <c r="K113" s="6">
        <v>0</v>
      </c>
      <c r="L113" s="6">
        <v>0.56999999999999995</v>
      </c>
      <c r="M113" s="6">
        <v>0.15390000000000001</v>
      </c>
      <c r="N113" s="6">
        <v>0.56999999999999995</v>
      </c>
      <c r="O113" s="6">
        <v>0.15390000000000001</v>
      </c>
      <c r="P113" s="6">
        <v>0</v>
      </c>
      <c r="Q113" s="4" t="s">
        <v>26</v>
      </c>
      <c r="R113" s="4">
        <v>0</v>
      </c>
      <c r="S113" s="4">
        <v>0</v>
      </c>
      <c r="T113" s="4">
        <v>29</v>
      </c>
      <c r="U113" s="4">
        <v>66</v>
      </c>
      <c r="V113" s="6">
        <f>IF(ISERROR(VLOOKUP($S$113,'TAR FIN'!$A$1:$O$85,15,0)),0,VLOOKUP($S$113,'TAR FIN'!$A$1:$O$85,15,0))</f>
        <v>0</v>
      </c>
      <c r="W113" s="6">
        <f>IF(ISERROR(VLOOKUP($T$113,'TAR FIN'!$A$1:$O$85,15,0)),0,VLOOKUP($T$113,'TAR FIN'!$A$1:$O$85,15,0))</f>
        <v>448.29</v>
      </c>
      <c r="X113" s="6">
        <f>IF(ISERROR(VLOOKUP($U$113,'TAR FIN'!$A$1:$O$85,15,0)),0,VLOOKUP($U$113,'TAR FIN'!$A$1:$O$85,15,0))</f>
        <v>221.63</v>
      </c>
      <c r="Y113" s="6"/>
      <c r="Z113" s="6">
        <f ca="1">('TUSD BE'!$AM$33+'TUSD BF'!$AM$33+'TUSD CVA'!$AM$33)*(1-CUSTOS!$M$38)</f>
        <v>618.4724353141047</v>
      </c>
      <c r="AA113" s="6">
        <f>('TE BE'!$AA$24+'TE BF'!$AA$24+'TE CVA'!$AA$24)*(1-CUSTOS!$M$38)</f>
        <v>241.29063495745513</v>
      </c>
      <c r="AB113" s="6">
        <f t="shared" si="8"/>
        <v>0</v>
      </c>
      <c r="AC113" s="6">
        <f>(L113-M113)*(W113+X113)+($W$2+$X$2-$W$113-$X$113)*(L113)</f>
        <v>330.82891199999995</v>
      </c>
      <c r="AD113" s="6">
        <f t="shared" si="9"/>
        <v>0</v>
      </c>
      <c r="AE113" s="6">
        <f ca="1">(L113-M113)*(Z113+AA113)+($Z$2+$AA$2-$Z$113-$AA$113)*(L113)</f>
        <v>389.02815503285484</v>
      </c>
      <c r="AF113" s="4" t="s">
        <v>706</v>
      </c>
    </row>
    <row r="114" spans="1:32" ht="11.25" customHeight="1" x14ac:dyDescent="0.25">
      <c r="A114" s="4" t="s">
        <v>21</v>
      </c>
      <c r="B114" s="4" t="s">
        <v>41</v>
      </c>
      <c r="C114" s="4" t="s">
        <v>23</v>
      </c>
      <c r="D114" s="4" t="s">
        <v>42</v>
      </c>
      <c r="E114" s="4" t="s">
        <v>50</v>
      </c>
      <c r="F114" s="4" t="s">
        <v>52</v>
      </c>
      <c r="G114" s="4" t="s">
        <v>25</v>
      </c>
      <c r="H114" s="4" t="s">
        <v>25</v>
      </c>
      <c r="I114" s="5">
        <v>44409</v>
      </c>
      <c r="J114" s="6">
        <v>0</v>
      </c>
      <c r="K114" s="6">
        <v>0</v>
      </c>
      <c r="L114" s="6">
        <v>0.66600000000000004</v>
      </c>
      <c r="M114" s="6">
        <v>0.17982000000000001</v>
      </c>
      <c r="N114" s="6">
        <v>0.66600000000000004</v>
      </c>
      <c r="O114" s="6">
        <v>0.17982000000000001</v>
      </c>
      <c r="P114" s="6">
        <v>0</v>
      </c>
      <c r="Q114" s="4" t="s">
        <v>26</v>
      </c>
      <c r="R114" s="4">
        <v>0</v>
      </c>
      <c r="S114" s="4">
        <v>0</v>
      </c>
      <c r="T114" s="4">
        <v>29</v>
      </c>
      <c r="U114" s="4">
        <v>66</v>
      </c>
      <c r="V114" s="6">
        <f>IF(ISERROR(VLOOKUP($S$114,'TAR FIN'!$A$1:$O$85,15,0)),0,VLOOKUP($S$114,'TAR FIN'!$A$1:$O$85,15,0))</f>
        <v>0</v>
      </c>
      <c r="W114" s="6">
        <f>IF(ISERROR(VLOOKUP($T$114,'TAR FIN'!$A$1:$O$85,15,0)),0,VLOOKUP($T$114,'TAR FIN'!$A$1:$O$85,15,0))</f>
        <v>448.29</v>
      </c>
      <c r="X114" s="6">
        <f>IF(ISERROR(VLOOKUP($U$114,'TAR FIN'!$A$1:$O$85,15,0)),0,VLOOKUP($U$114,'TAR FIN'!$A$1:$O$85,15,0))</f>
        <v>221.63</v>
      </c>
      <c r="Y114" s="6"/>
      <c r="Z114" s="6">
        <f ca="1">('TUSD BE'!$AM$33+'TUSD BF'!$AM$33+'TUSD CVA'!$AM$33)*(1-CUSTOS!$M$38)</f>
        <v>618.4724353141047</v>
      </c>
      <c r="AA114" s="6">
        <f>('TE BE'!$AA$24+'TE BF'!$AA$24+'TE CVA'!$AA$24)*(1-CUSTOS!$M$38)</f>
        <v>241.29063495745513</v>
      </c>
      <c r="AB114" s="6">
        <f t="shared" si="8"/>
        <v>0</v>
      </c>
      <c r="AC114" s="6">
        <f>(L114-M114)*(W114+X114)+($W$2+$X$2-$W$114-$X$114)*(L114)</f>
        <v>386.54746560000007</v>
      </c>
      <c r="AD114" s="6">
        <f t="shared" si="9"/>
        <v>0</v>
      </c>
      <c r="AE114" s="6">
        <f ca="1">(L114-M114)*(Z114+AA114)+($Z$2+$AA$2-$Z$114-$AA$114)*(L114)</f>
        <v>454.54868640680951</v>
      </c>
      <c r="AF114" s="4" t="s">
        <v>706</v>
      </c>
    </row>
    <row r="115" spans="1:32" ht="11.25" customHeight="1" x14ac:dyDescent="0.25">
      <c r="A115" s="4" t="s">
        <v>21</v>
      </c>
      <c r="B115" s="4" t="s">
        <v>41</v>
      </c>
      <c r="C115" s="4" t="s">
        <v>23</v>
      </c>
      <c r="D115" s="4" t="s">
        <v>42</v>
      </c>
      <c r="E115" s="4" t="s">
        <v>50</v>
      </c>
      <c r="F115" s="4" t="s">
        <v>52</v>
      </c>
      <c r="G115" s="4" t="s">
        <v>25</v>
      </c>
      <c r="H115" s="4" t="s">
        <v>25</v>
      </c>
      <c r="I115" s="5">
        <v>44440</v>
      </c>
      <c r="J115" s="6">
        <v>0</v>
      </c>
      <c r="K115" s="6">
        <v>0</v>
      </c>
      <c r="L115" s="6">
        <v>1.4950000000000001</v>
      </c>
      <c r="M115" s="6">
        <v>0.40365000000000001</v>
      </c>
      <c r="N115" s="6">
        <v>1.4950000000000001</v>
      </c>
      <c r="O115" s="6">
        <v>0.40365000000000001</v>
      </c>
      <c r="P115" s="6">
        <v>0</v>
      </c>
      <c r="Q115" s="4" t="s">
        <v>26</v>
      </c>
      <c r="R115" s="4">
        <v>0</v>
      </c>
      <c r="S115" s="4">
        <v>0</v>
      </c>
      <c r="T115" s="4">
        <v>29</v>
      </c>
      <c r="U115" s="4">
        <v>66</v>
      </c>
      <c r="V115" s="6">
        <f>IF(ISERROR(VLOOKUP($S$115,'TAR FIN'!$A$1:$O$85,15,0)),0,VLOOKUP($S$115,'TAR FIN'!$A$1:$O$85,15,0))</f>
        <v>0</v>
      </c>
      <c r="W115" s="6">
        <f>IF(ISERROR(VLOOKUP($T$115,'TAR FIN'!$A$1:$O$85,15,0)),0,VLOOKUP($T$115,'TAR FIN'!$A$1:$O$85,15,0))</f>
        <v>448.29</v>
      </c>
      <c r="X115" s="6">
        <f>IF(ISERROR(VLOOKUP($U$115,'TAR FIN'!$A$1:$O$85,15,0)),0,VLOOKUP($U$115,'TAR FIN'!$A$1:$O$85,15,0))</f>
        <v>221.63</v>
      </c>
      <c r="Y115" s="6"/>
      <c r="Z115" s="6">
        <f ca="1">('TUSD BE'!$AM$33+'TUSD BF'!$AM$33+'TUSD CVA'!$AM$33)*(1-CUSTOS!$M$38)</f>
        <v>618.4724353141047</v>
      </c>
      <c r="AA115" s="6">
        <f>('TE BE'!$AA$24+'TE BF'!$AA$24+'TE CVA'!$AA$24)*(1-CUSTOS!$M$38)</f>
        <v>241.29063495745513</v>
      </c>
      <c r="AB115" s="6">
        <f t="shared" si="8"/>
        <v>0</v>
      </c>
      <c r="AC115" s="6">
        <f>(L115-M115)*(W115+X115)+($W$2+$X$2-$W$115-$X$115)*(L115)</f>
        <v>867.70039200000008</v>
      </c>
      <c r="AD115" s="6">
        <f t="shared" si="9"/>
        <v>0</v>
      </c>
      <c r="AE115" s="6">
        <f ca="1">(L115-M115)*(Z115+AA115)+($Z$2+$AA$2-$Z$115-$AA$115)*(L115)</f>
        <v>1020.3457750423125</v>
      </c>
      <c r="AF115" s="4" t="s">
        <v>706</v>
      </c>
    </row>
    <row r="116" spans="1:32" ht="11.25" customHeight="1" x14ac:dyDescent="0.25">
      <c r="A116" s="4" t="s">
        <v>21</v>
      </c>
      <c r="B116" s="4" t="s">
        <v>41</v>
      </c>
      <c r="C116" s="4" t="s">
        <v>23</v>
      </c>
      <c r="D116" s="4" t="s">
        <v>42</v>
      </c>
      <c r="E116" s="4" t="s">
        <v>50</v>
      </c>
      <c r="F116" s="4" t="s">
        <v>52</v>
      </c>
      <c r="G116" s="4" t="s">
        <v>25</v>
      </c>
      <c r="H116" s="4" t="s">
        <v>25</v>
      </c>
      <c r="I116" s="5">
        <v>44470</v>
      </c>
      <c r="J116" s="6">
        <v>0</v>
      </c>
      <c r="K116" s="6">
        <v>0</v>
      </c>
      <c r="L116" s="6">
        <v>7.0389999999999997</v>
      </c>
      <c r="M116" s="6">
        <v>1.9005300000000001</v>
      </c>
      <c r="N116" s="6">
        <v>7.0389999999999997</v>
      </c>
      <c r="O116" s="6">
        <v>1.9005300000000001</v>
      </c>
      <c r="P116" s="6">
        <v>0</v>
      </c>
      <c r="Q116" s="4" t="s">
        <v>26</v>
      </c>
      <c r="R116" s="4">
        <v>0</v>
      </c>
      <c r="S116" s="4">
        <v>0</v>
      </c>
      <c r="T116" s="4">
        <v>29</v>
      </c>
      <c r="U116" s="4">
        <v>66</v>
      </c>
      <c r="V116" s="6">
        <f>IF(ISERROR(VLOOKUP($S$116,'TAR FIN'!$A$1:$O$85,15,0)),0,VLOOKUP($S$116,'TAR FIN'!$A$1:$O$85,15,0))</f>
        <v>0</v>
      </c>
      <c r="W116" s="6">
        <f>IF(ISERROR(VLOOKUP($T$116,'TAR FIN'!$A$1:$O$85,15,0)),0,VLOOKUP($T$116,'TAR FIN'!$A$1:$O$85,15,0))</f>
        <v>448.29</v>
      </c>
      <c r="X116" s="6">
        <f>IF(ISERROR(VLOOKUP($U$116,'TAR FIN'!$A$1:$O$85,15,0)),0,VLOOKUP($U$116,'TAR FIN'!$A$1:$O$85,15,0))</f>
        <v>221.63</v>
      </c>
      <c r="Y116" s="6"/>
      <c r="Z116" s="6">
        <f ca="1">('TUSD BE'!$AM$33+'TUSD BF'!$AM$33+'TUSD CVA'!$AM$33)*(1-CUSTOS!$M$38)</f>
        <v>618.4724353141047</v>
      </c>
      <c r="AA116" s="6">
        <f>('TE BE'!$AA$24+'TE BF'!$AA$24+'TE CVA'!$AA$24)*(1-CUSTOS!$M$38)</f>
        <v>241.29063495745513</v>
      </c>
      <c r="AB116" s="6">
        <f t="shared" si="8"/>
        <v>0</v>
      </c>
      <c r="AC116" s="6">
        <f>(L116-M116)*(W116+X116)+($W$2+$X$2-$W$116-$X$116)*(L116)</f>
        <v>4085.4468623999996</v>
      </c>
      <c r="AD116" s="6">
        <f t="shared" si="9"/>
        <v>0</v>
      </c>
      <c r="AE116" s="6">
        <f ca="1">(L116-M116)*(Z116+AA116)+($Z$2+$AA$2-$Z$116-$AA$116)*(L116)</f>
        <v>4804.1564618881857</v>
      </c>
      <c r="AF116" s="4" t="s">
        <v>706</v>
      </c>
    </row>
    <row r="117" spans="1:32" ht="11.25" customHeight="1" x14ac:dyDescent="0.25">
      <c r="A117" s="4" t="s">
        <v>21</v>
      </c>
      <c r="B117" s="4" t="s">
        <v>41</v>
      </c>
      <c r="C117" s="4" t="s">
        <v>23</v>
      </c>
      <c r="D117" s="4" t="s">
        <v>42</v>
      </c>
      <c r="E117" s="4" t="s">
        <v>50</v>
      </c>
      <c r="F117" s="4" t="s">
        <v>52</v>
      </c>
      <c r="G117" s="4" t="s">
        <v>25</v>
      </c>
      <c r="H117" s="4" t="s">
        <v>25</v>
      </c>
      <c r="I117" s="5">
        <v>44501</v>
      </c>
      <c r="J117" s="6">
        <v>0</v>
      </c>
      <c r="K117" s="6">
        <v>0</v>
      </c>
      <c r="L117" s="6">
        <v>6.0309999999999997</v>
      </c>
      <c r="M117" s="6">
        <v>1.6283700000000001</v>
      </c>
      <c r="N117" s="6">
        <v>6.0309999999999997</v>
      </c>
      <c r="O117" s="6">
        <v>1.6283700000000001</v>
      </c>
      <c r="P117" s="6">
        <v>0</v>
      </c>
      <c r="Q117" s="4" t="s">
        <v>26</v>
      </c>
      <c r="R117" s="4">
        <v>0</v>
      </c>
      <c r="S117" s="4">
        <v>0</v>
      </c>
      <c r="T117" s="4">
        <v>29</v>
      </c>
      <c r="U117" s="4">
        <v>66</v>
      </c>
      <c r="V117" s="6">
        <f>IF(ISERROR(VLOOKUP($S$117,'TAR FIN'!$A$1:$O$85,15,0)),0,VLOOKUP($S$117,'TAR FIN'!$A$1:$O$85,15,0))</f>
        <v>0</v>
      </c>
      <c r="W117" s="6">
        <f>IF(ISERROR(VLOOKUP($T$117,'TAR FIN'!$A$1:$O$85,15,0)),0,VLOOKUP($T$117,'TAR FIN'!$A$1:$O$85,15,0))</f>
        <v>448.29</v>
      </c>
      <c r="X117" s="6">
        <f>IF(ISERROR(VLOOKUP($U$117,'TAR FIN'!$A$1:$O$85,15,0)),0,VLOOKUP($U$117,'TAR FIN'!$A$1:$O$85,15,0))</f>
        <v>221.63</v>
      </c>
      <c r="Y117" s="6"/>
      <c r="Z117" s="6">
        <f ca="1">('TUSD BE'!$AM$33+'TUSD BF'!$AM$33+'TUSD CVA'!$AM$33)*(1-CUSTOS!$M$38)</f>
        <v>618.4724353141047</v>
      </c>
      <c r="AA117" s="6">
        <f>('TE BE'!$AA$24+'TE BF'!$AA$24+'TE CVA'!$AA$24)*(1-CUSTOS!$M$38)</f>
        <v>241.29063495745513</v>
      </c>
      <c r="AB117" s="6">
        <f t="shared" si="8"/>
        <v>0</v>
      </c>
      <c r="AC117" s="6">
        <f>(L117-M117)*(W117+X117)+($W$2+$X$2-$W$117-$X$117)*(L117)</f>
        <v>3500.4020495999998</v>
      </c>
      <c r="AD117" s="6">
        <f t="shared" si="9"/>
        <v>0</v>
      </c>
      <c r="AE117" s="6">
        <f ca="1">(L117-M117)*(Z117+AA117)+($Z$2+$AA$2-$Z$117-$AA$117)*(L117)</f>
        <v>4116.190882461663</v>
      </c>
      <c r="AF117" s="4" t="s">
        <v>706</v>
      </c>
    </row>
    <row r="118" spans="1:32" ht="11.25" customHeight="1" x14ac:dyDescent="0.25">
      <c r="A118" s="4" t="s">
        <v>21</v>
      </c>
      <c r="B118" s="4" t="s">
        <v>41</v>
      </c>
      <c r="C118" s="4" t="s">
        <v>23</v>
      </c>
      <c r="D118" s="4" t="s">
        <v>42</v>
      </c>
      <c r="E118" s="4" t="s">
        <v>50</v>
      </c>
      <c r="F118" s="4" t="s">
        <v>52</v>
      </c>
      <c r="G118" s="4" t="s">
        <v>25</v>
      </c>
      <c r="H118" s="4" t="s">
        <v>25</v>
      </c>
      <c r="I118" s="5">
        <v>44531</v>
      </c>
      <c r="J118" s="6">
        <v>0</v>
      </c>
      <c r="K118" s="6">
        <v>0</v>
      </c>
      <c r="L118" s="6">
        <v>5.9320000000000004</v>
      </c>
      <c r="M118" s="6">
        <v>1.60164</v>
      </c>
      <c r="N118" s="6">
        <v>5.9320000000000004</v>
      </c>
      <c r="O118" s="6">
        <v>1.60164</v>
      </c>
      <c r="P118" s="6">
        <v>0</v>
      </c>
      <c r="Q118" s="4" t="s">
        <v>26</v>
      </c>
      <c r="R118" s="4">
        <v>0</v>
      </c>
      <c r="S118" s="4">
        <v>0</v>
      </c>
      <c r="T118" s="4">
        <v>29</v>
      </c>
      <c r="U118" s="4">
        <v>66</v>
      </c>
      <c r="V118" s="6">
        <f>IF(ISERROR(VLOOKUP($S$118,'TAR FIN'!$A$1:$O$85,15,0)),0,VLOOKUP($S$118,'TAR FIN'!$A$1:$O$85,15,0))</f>
        <v>0</v>
      </c>
      <c r="W118" s="6">
        <f>IF(ISERROR(VLOOKUP($T$118,'TAR FIN'!$A$1:$O$85,15,0)),0,VLOOKUP($T$118,'TAR FIN'!$A$1:$O$85,15,0))</f>
        <v>448.29</v>
      </c>
      <c r="X118" s="6">
        <f>IF(ISERROR(VLOOKUP($U$118,'TAR FIN'!$A$1:$O$85,15,0)),0,VLOOKUP($U$118,'TAR FIN'!$A$1:$O$85,15,0))</f>
        <v>221.63</v>
      </c>
      <c r="Y118" s="6"/>
      <c r="Z118" s="6">
        <f ca="1">('TUSD BE'!$AM$33+'TUSD BF'!$AM$33+'TUSD CVA'!$AM$33)*(1-CUSTOS!$M$38)</f>
        <v>618.4724353141047</v>
      </c>
      <c r="AA118" s="6">
        <f>('TE BE'!$AA$24+'TE BF'!$AA$24+'TE CVA'!$AA$24)*(1-CUSTOS!$M$38)</f>
        <v>241.29063495745513</v>
      </c>
      <c r="AB118" s="6">
        <f t="shared" si="8"/>
        <v>0</v>
      </c>
      <c r="AC118" s="6">
        <f>(L118-M118)*(W118+X118)+($W$2+$X$2-$W$118-$X$118)*(L118)</f>
        <v>3442.9422912000005</v>
      </c>
      <c r="AD118" s="6">
        <f t="shared" si="9"/>
        <v>0</v>
      </c>
      <c r="AE118" s="6">
        <f ca="1">(L118-M118)*(Z118+AA118)+($Z$2+$AA$2-$Z$118-$AA$118)*(L118)</f>
        <v>4048.622834482273</v>
      </c>
      <c r="AF118" s="4" t="s">
        <v>706</v>
      </c>
    </row>
    <row r="119" spans="1:32" ht="11.25" customHeight="1" x14ac:dyDescent="0.25">
      <c r="A119" s="4" t="s">
        <v>21</v>
      </c>
      <c r="B119" s="4" t="s">
        <v>41</v>
      </c>
      <c r="C119" s="4" t="s">
        <v>23</v>
      </c>
      <c r="D119" s="4" t="s">
        <v>42</v>
      </c>
      <c r="E119" s="4" t="s">
        <v>50</v>
      </c>
      <c r="F119" s="4" t="s">
        <v>52</v>
      </c>
      <c r="G119" s="4" t="s">
        <v>25</v>
      </c>
      <c r="H119" s="4" t="s">
        <v>25</v>
      </c>
      <c r="I119" s="5">
        <v>44562</v>
      </c>
      <c r="J119" s="6">
        <v>0</v>
      </c>
      <c r="K119" s="6">
        <v>0</v>
      </c>
      <c r="L119" s="6">
        <v>8.2620000000000005</v>
      </c>
      <c r="M119" s="6">
        <v>2.2307399999999999</v>
      </c>
      <c r="N119" s="6">
        <v>8.2620000000000005</v>
      </c>
      <c r="O119" s="6">
        <v>2.2307399999999999</v>
      </c>
      <c r="P119" s="6">
        <v>0</v>
      </c>
      <c r="Q119" s="4" t="s">
        <v>26</v>
      </c>
      <c r="R119" s="4">
        <v>0</v>
      </c>
      <c r="S119" s="4">
        <v>0</v>
      </c>
      <c r="T119" s="4">
        <v>29</v>
      </c>
      <c r="U119" s="4">
        <v>66</v>
      </c>
      <c r="V119" s="6">
        <f>IF(ISERROR(VLOOKUP($S$119,'TAR FIN'!$A$1:$O$85,15,0)),0,VLOOKUP($S$119,'TAR FIN'!$A$1:$O$85,15,0))</f>
        <v>0</v>
      </c>
      <c r="W119" s="6">
        <f>IF(ISERROR(VLOOKUP($T$119,'TAR FIN'!$A$1:$O$85,15,0)),0,VLOOKUP($T$119,'TAR FIN'!$A$1:$O$85,15,0))</f>
        <v>448.29</v>
      </c>
      <c r="X119" s="6">
        <f>IF(ISERROR(VLOOKUP($U$119,'TAR FIN'!$A$1:$O$85,15,0)),0,VLOOKUP($U$119,'TAR FIN'!$A$1:$O$85,15,0))</f>
        <v>221.63</v>
      </c>
      <c r="Y119" s="6"/>
      <c r="Z119" s="6">
        <f ca="1">('TUSD BE'!$AM$33+'TUSD BF'!$AM$33+'TUSD CVA'!$AM$33)*(1-CUSTOS!$M$38)</f>
        <v>618.4724353141047</v>
      </c>
      <c r="AA119" s="6">
        <f>('TE BE'!$AA$24+'TE BF'!$AA$24+'TE CVA'!$AA$24)*(1-CUSTOS!$M$38)</f>
        <v>241.29063495745513</v>
      </c>
      <c r="AB119" s="6">
        <f t="shared" si="8"/>
        <v>0</v>
      </c>
      <c r="AC119" s="6">
        <f>(L119-M119)*(W119+X119)+($W$2+$X$2-$W$119-$X$119)*(L119)</f>
        <v>4795.2780192</v>
      </c>
      <c r="AD119" s="6">
        <f t="shared" si="9"/>
        <v>0</v>
      </c>
      <c r="AE119" s="6">
        <f ca="1">(L119-M119)*(Z119+AA119)+($Z$2+$AA$2-$Z$119-$AA$119)*(L119)</f>
        <v>5638.8607313709608</v>
      </c>
      <c r="AF119" s="4" t="s">
        <v>706</v>
      </c>
    </row>
    <row r="120" spans="1:32" ht="11.25" customHeight="1" x14ac:dyDescent="0.25">
      <c r="A120" s="4" t="s">
        <v>21</v>
      </c>
      <c r="B120" s="4" t="s">
        <v>41</v>
      </c>
      <c r="C120" s="4" t="s">
        <v>23</v>
      </c>
      <c r="D120" s="4" t="s">
        <v>42</v>
      </c>
      <c r="E120" s="4" t="s">
        <v>50</v>
      </c>
      <c r="F120" s="4" t="s">
        <v>52</v>
      </c>
      <c r="G120" s="4" t="s">
        <v>25</v>
      </c>
      <c r="H120" s="4" t="s">
        <v>25</v>
      </c>
      <c r="I120" s="5">
        <v>44593</v>
      </c>
      <c r="J120" s="6">
        <v>0</v>
      </c>
      <c r="K120" s="6">
        <v>0</v>
      </c>
      <c r="L120" s="6">
        <v>5.62</v>
      </c>
      <c r="M120" s="6">
        <v>1.5174000000000001</v>
      </c>
      <c r="N120" s="6">
        <v>5.62</v>
      </c>
      <c r="O120" s="6">
        <v>1.5174000000000001</v>
      </c>
      <c r="P120" s="6">
        <v>0</v>
      </c>
      <c r="Q120" s="4" t="s">
        <v>26</v>
      </c>
      <c r="R120" s="4">
        <v>0</v>
      </c>
      <c r="S120" s="4">
        <v>0</v>
      </c>
      <c r="T120" s="4">
        <v>29</v>
      </c>
      <c r="U120" s="4">
        <v>66</v>
      </c>
      <c r="V120" s="6">
        <f>IF(ISERROR(VLOOKUP($S$120,'TAR FIN'!$A$1:$O$85,15,0)),0,VLOOKUP($S$120,'TAR FIN'!$A$1:$O$85,15,0))</f>
        <v>0</v>
      </c>
      <c r="W120" s="6">
        <f>IF(ISERROR(VLOOKUP($T$120,'TAR FIN'!$A$1:$O$85,15,0)),0,VLOOKUP($T$120,'TAR FIN'!$A$1:$O$85,15,0))</f>
        <v>448.29</v>
      </c>
      <c r="X120" s="6">
        <f>IF(ISERROR(VLOOKUP($U$120,'TAR FIN'!$A$1:$O$85,15,0)),0,VLOOKUP($U$120,'TAR FIN'!$A$1:$O$85,15,0))</f>
        <v>221.63</v>
      </c>
      <c r="Y120" s="6"/>
      <c r="Z120" s="6">
        <f ca="1">('TUSD BE'!$AM$33+'TUSD BF'!$AM$33+'TUSD CVA'!$AM$33)*(1-CUSTOS!$M$38)</f>
        <v>618.4724353141047</v>
      </c>
      <c r="AA120" s="6">
        <f>('TE BE'!$AA$24+'TE BF'!$AA$24+'TE CVA'!$AA$24)*(1-CUSTOS!$M$38)</f>
        <v>241.29063495745513</v>
      </c>
      <c r="AB120" s="6">
        <f t="shared" si="8"/>
        <v>0</v>
      </c>
      <c r="AC120" s="6">
        <f>(L120-M120)*(W120+X120)+($W$2+$X$2-$W$120-$X$120)*(L120)</f>
        <v>3261.856992</v>
      </c>
      <c r="AD120" s="6">
        <f t="shared" si="9"/>
        <v>0</v>
      </c>
      <c r="AE120" s="6">
        <f ca="1">(L120-M120)*(Z120+AA120)+($Z$2+$AA$2-$Z$120-$AA$120)*(L120)</f>
        <v>3835.6811075169207</v>
      </c>
      <c r="AF120" s="4" t="s">
        <v>706</v>
      </c>
    </row>
    <row r="121" spans="1:32" ht="11.25" customHeight="1" x14ac:dyDescent="0.25">
      <c r="A121" s="4" t="s">
        <v>21</v>
      </c>
      <c r="B121" s="4" t="s">
        <v>41</v>
      </c>
      <c r="C121" s="4" t="s">
        <v>23</v>
      </c>
      <c r="D121" s="4" t="s">
        <v>42</v>
      </c>
      <c r="E121" s="4" t="s">
        <v>50</v>
      </c>
      <c r="F121" s="4" t="s">
        <v>52</v>
      </c>
      <c r="G121" s="4" t="s">
        <v>25</v>
      </c>
      <c r="H121" s="4" t="s">
        <v>25</v>
      </c>
      <c r="I121" s="5">
        <v>44621</v>
      </c>
      <c r="J121" s="6">
        <v>0</v>
      </c>
      <c r="K121" s="6">
        <v>0</v>
      </c>
      <c r="L121" s="6">
        <v>6.157</v>
      </c>
      <c r="M121" s="6">
        <v>1.66239</v>
      </c>
      <c r="N121" s="6">
        <v>6.157</v>
      </c>
      <c r="O121" s="6">
        <v>1.66239</v>
      </c>
      <c r="P121" s="6">
        <v>0</v>
      </c>
      <c r="Q121" s="4" t="s">
        <v>26</v>
      </c>
      <c r="R121" s="4">
        <v>0</v>
      </c>
      <c r="S121" s="4">
        <v>0</v>
      </c>
      <c r="T121" s="4">
        <v>29</v>
      </c>
      <c r="U121" s="4">
        <v>66</v>
      </c>
      <c r="V121" s="6">
        <f>IF(ISERROR(VLOOKUP($S$121,'TAR FIN'!$A$1:$O$85,15,0)),0,VLOOKUP($S$121,'TAR FIN'!$A$1:$O$85,15,0))</f>
        <v>0</v>
      </c>
      <c r="W121" s="6">
        <f>IF(ISERROR(VLOOKUP($T$121,'TAR FIN'!$A$1:$O$85,15,0)),0,VLOOKUP($T$121,'TAR FIN'!$A$1:$O$85,15,0))</f>
        <v>448.29</v>
      </c>
      <c r="X121" s="6">
        <f>IF(ISERROR(VLOOKUP($U$121,'TAR FIN'!$A$1:$O$85,15,0)),0,VLOOKUP($U$121,'TAR FIN'!$A$1:$O$85,15,0))</f>
        <v>221.63</v>
      </c>
      <c r="Y121" s="6"/>
      <c r="Z121" s="6">
        <f ca="1">('TUSD BE'!$AM$33+'TUSD BF'!$AM$33+'TUSD CVA'!$AM$33)*(1-CUSTOS!$M$38)</f>
        <v>618.4724353141047</v>
      </c>
      <c r="AA121" s="6">
        <f>('TE BE'!$AA$24+'TE BF'!$AA$24+'TE CVA'!$AA$24)*(1-CUSTOS!$M$38)</f>
        <v>241.29063495745513</v>
      </c>
      <c r="AB121" s="6">
        <f t="shared" si="8"/>
        <v>0</v>
      </c>
      <c r="AC121" s="6">
        <f>(L121-M121)*(W121+X121)+($W$2+$X$2-$W$121-$X$121)*(L121)</f>
        <v>3573.5326512000001</v>
      </c>
      <c r="AD121" s="6">
        <f t="shared" si="9"/>
        <v>0</v>
      </c>
      <c r="AE121" s="6">
        <f ca="1">(L121-M121)*(Z121+AA121)+($Z$2+$AA$2-$Z$121-$AA$121)*(L121)</f>
        <v>4202.186579889978</v>
      </c>
      <c r="AF121" s="4" t="s">
        <v>706</v>
      </c>
    </row>
    <row r="122" spans="1:32" ht="11.25" customHeight="1" x14ac:dyDescent="0.25">
      <c r="A122" s="4" t="s">
        <v>21</v>
      </c>
      <c r="B122" s="4" t="s">
        <v>41</v>
      </c>
      <c r="C122" s="4" t="s">
        <v>23</v>
      </c>
      <c r="D122" s="4" t="s">
        <v>42</v>
      </c>
      <c r="E122" s="4" t="s">
        <v>50</v>
      </c>
      <c r="F122" s="4" t="s">
        <v>52</v>
      </c>
      <c r="G122" s="4" t="s">
        <v>25</v>
      </c>
      <c r="H122" s="4" t="s">
        <v>25</v>
      </c>
      <c r="I122" s="5">
        <v>44652</v>
      </c>
      <c r="J122" s="6">
        <v>0</v>
      </c>
      <c r="K122" s="6">
        <v>0</v>
      </c>
      <c r="L122" s="6">
        <v>3.532</v>
      </c>
      <c r="M122" s="6">
        <v>0.95364000000000004</v>
      </c>
      <c r="N122" s="6">
        <v>3.532</v>
      </c>
      <c r="O122" s="6">
        <v>0.95364000000000004</v>
      </c>
      <c r="P122" s="6">
        <v>0</v>
      </c>
      <c r="Q122" s="4" t="s">
        <v>26</v>
      </c>
      <c r="R122" s="4">
        <v>0</v>
      </c>
      <c r="S122" s="4">
        <v>0</v>
      </c>
      <c r="T122" s="4">
        <v>29</v>
      </c>
      <c r="U122" s="4">
        <v>66</v>
      </c>
      <c r="V122" s="6">
        <f>IF(ISERROR(VLOOKUP($S$122,'TAR FIN'!$A$1:$O$85,15,0)),0,VLOOKUP($S$122,'TAR FIN'!$A$1:$O$85,15,0))</f>
        <v>0</v>
      </c>
      <c r="W122" s="6">
        <f>IF(ISERROR(VLOOKUP($T$122,'TAR FIN'!$A$1:$O$85,15,0)),0,VLOOKUP($T$122,'TAR FIN'!$A$1:$O$85,15,0))</f>
        <v>448.29</v>
      </c>
      <c r="X122" s="6">
        <f>IF(ISERROR(VLOOKUP($U$122,'TAR FIN'!$A$1:$O$85,15,0)),0,VLOOKUP($U$122,'TAR FIN'!$A$1:$O$85,15,0))</f>
        <v>221.63</v>
      </c>
      <c r="Y122" s="6"/>
      <c r="Z122" s="6">
        <f ca="1">('TUSD BE'!$AM$33+'TUSD BF'!$AM$33+'TUSD CVA'!$AM$33)*(1-CUSTOS!$M$38)</f>
        <v>618.4724353141047</v>
      </c>
      <c r="AA122" s="6">
        <f>('TE BE'!$AA$24+'TE BF'!$AA$24+'TE CVA'!$AA$24)*(1-CUSTOS!$M$38)</f>
        <v>241.29063495745513</v>
      </c>
      <c r="AB122" s="6">
        <f t="shared" si="8"/>
        <v>0</v>
      </c>
      <c r="AC122" s="6">
        <f>(L122-M122)*(W122+X122)+($W$2+$X$2-$W$122-$X$122)*(L122)</f>
        <v>2049.9784512000001</v>
      </c>
      <c r="AD122" s="6">
        <f t="shared" si="9"/>
        <v>0</v>
      </c>
      <c r="AE122" s="6">
        <f ca="1">(L122-M122)*(Z122+AA122)+($Z$2+$AA$2-$Z$122-$AA$122)*(L122)</f>
        <v>2410.6095501334098</v>
      </c>
      <c r="AF122" s="4" t="s">
        <v>706</v>
      </c>
    </row>
    <row r="123" spans="1:32" ht="11.25" customHeight="1" x14ac:dyDescent="0.25">
      <c r="A123" s="4" t="s">
        <v>21</v>
      </c>
      <c r="B123" s="4" t="s">
        <v>41</v>
      </c>
      <c r="C123" s="4" t="s">
        <v>23</v>
      </c>
      <c r="D123" s="4" t="s">
        <v>42</v>
      </c>
      <c r="E123" s="4" t="s">
        <v>25</v>
      </c>
      <c r="F123" s="4" t="s">
        <v>25</v>
      </c>
      <c r="G123" s="4" t="s">
        <v>25</v>
      </c>
      <c r="H123" s="4" t="s">
        <v>25</v>
      </c>
      <c r="I123" s="5">
        <v>44317</v>
      </c>
      <c r="J123" s="6">
        <v>0</v>
      </c>
      <c r="K123" s="6">
        <v>0</v>
      </c>
      <c r="L123" s="6">
        <v>206.80799999999999</v>
      </c>
      <c r="M123" s="6">
        <v>206.80799999999999</v>
      </c>
      <c r="N123" s="6">
        <v>206.80799999999999</v>
      </c>
      <c r="O123" s="6">
        <v>206.80799999999999</v>
      </c>
      <c r="P123" s="6">
        <v>1819</v>
      </c>
      <c r="Q123" s="4" t="s">
        <v>26</v>
      </c>
      <c r="R123" s="4">
        <v>0</v>
      </c>
      <c r="S123" s="4">
        <v>0</v>
      </c>
      <c r="T123" s="4">
        <v>29</v>
      </c>
      <c r="U123" s="4">
        <v>66</v>
      </c>
      <c r="V123" s="6">
        <f>IF(ISERROR(VLOOKUP($S$123,'TAR FIN'!$A$1:$O$85,15,0)),0,VLOOKUP($S$123,'TAR FIN'!$A$1:$O$85,15,0))</f>
        <v>0</v>
      </c>
      <c r="W123" s="6">
        <f>IF(ISERROR(VLOOKUP($T$123,'TAR FIN'!$A$1:$O$85,15,0)),0,VLOOKUP($T$123,'TAR FIN'!$A$1:$O$85,15,0))</f>
        <v>448.29</v>
      </c>
      <c r="X123" s="6">
        <f>IF(ISERROR(VLOOKUP($U$123,'TAR FIN'!$A$1:$O$85,15,0)),0,VLOOKUP($U$123,'TAR FIN'!$A$1:$O$85,15,0))</f>
        <v>221.63</v>
      </c>
      <c r="Y123" s="6"/>
      <c r="Z123" s="6">
        <f ca="1">('TUSD BE'!$AM$33+'TUSD BF'!$AM$33+'TUSD CVA'!$AM$33)*(1-CUSTOS!$M$38)</f>
        <v>618.4724353141047</v>
      </c>
      <c r="AA123" s="6">
        <f>('TE BE'!$AA$24+'TE BF'!$AA$24+'TE CVA'!$AA$24)*(1-CUSTOS!$M$38)</f>
        <v>241.29063495745513</v>
      </c>
      <c r="AB123" s="6">
        <f t="shared" si="8"/>
        <v>0</v>
      </c>
      <c r="AC123" s="6">
        <f>(L123-M123)*(W123+X123)+($W$2+$X$2-$W$123-$X$123)*(L123)</f>
        <v>18893.978879999991</v>
      </c>
      <c r="AD123" s="6">
        <f t="shared" si="9"/>
        <v>0</v>
      </c>
      <c r="AE123" s="6">
        <f ca="1">(L123-M123)*(Z123+AA123)+($Z$2+$AA$2-$Z$123-$AA$123)*(L123)</f>
        <v>11349.311555535365</v>
      </c>
      <c r="AF123" s="4" t="s">
        <v>705</v>
      </c>
    </row>
    <row r="124" spans="1:32" ht="11.25" customHeight="1" x14ac:dyDescent="0.25">
      <c r="A124" s="4" t="s">
        <v>21</v>
      </c>
      <c r="B124" s="4" t="s">
        <v>41</v>
      </c>
      <c r="C124" s="4" t="s">
        <v>23</v>
      </c>
      <c r="D124" s="4" t="s">
        <v>42</v>
      </c>
      <c r="E124" s="4" t="s">
        <v>25</v>
      </c>
      <c r="F124" s="4" t="s">
        <v>25</v>
      </c>
      <c r="G124" s="4" t="s">
        <v>25</v>
      </c>
      <c r="H124" s="4" t="s">
        <v>25</v>
      </c>
      <c r="I124" s="5">
        <v>44348</v>
      </c>
      <c r="J124" s="6">
        <v>0</v>
      </c>
      <c r="K124" s="6">
        <v>0</v>
      </c>
      <c r="L124" s="6">
        <v>202.642</v>
      </c>
      <c r="M124" s="6">
        <v>202.642</v>
      </c>
      <c r="N124" s="6">
        <v>202.642</v>
      </c>
      <c r="O124" s="6">
        <v>202.642</v>
      </c>
      <c r="P124" s="6">
        <v>1812</v>
      </c>
      <c r="Q124" s="4" t="s">
        <v>26</v>
      </c>
      <c r="R124" s="4">
        <v>0</v>
      </c>
      <c r="S124" s="4">
        <v>0</v>
      </c>
      <c r="T124" s="4">
        <v>29</v>
      </c>
      <c r="U124" s="4">
        <v>66</v>
      </c>
      <c r="V124" s="6">
        <f>IF(ISERROR(VLOOKUP($S$124,'TAR FIN'!$A$1:$O$85,15,0)),0,VLOOKUP($S$124,'TAR FIN'!$A$1:$O$85,15,0))</f>
        <v>0</v>
      </c>
      <c r="W124" s="6">
        <f>IF(ISERROR(VLOOKUP($T$124,'TAR FIN'!$A$1:$O$85,15,0)),0,VLOOKUP($T$124,'TAR FIN'!$A$1:$O$85,15,0))</f>
        <v>448.29</v>
      </c>
      <c r="X124" s="6">
        <f>IF(ISERROR(VLOOKUP($U$124,'TAR FIN'!$A$1:$O$85,15,0)),0,VLOOKUP($U$124,'TAR FIN'!$A$1:$O$85,15,0))</f>
        <v>221.63</v>
      </c>
      <c r="Y124" s="6"/>
      <c r="Z124" s="6">
        <f ca="1">('TUSD BE'!$AM$33+'TUSD BF'!$AM$33+'TUSD CVA'!$AM$33)*(1-CUSTOS!$M$38)</f>
        <v>618.4724353141047</v>
      </c>
      <c r="AA124" s="6">
        <f>('TE BE'!$AA$24+'TE BF'!$AA$24+'TE CVA'!$AA$24)*(1-CUSTOS!$M$38)</f>
        <v>241.29063495745513</v>
      </c>
      <c r="AB124" s="6">
        <f t="shared" si="8"/>
        <v>0</v>
      </c>
      <c r="AC124" s="6">
        <f>(L124-M124)*(W124+X124)+($W$2+$X$2-$W$124-$X$124)*(L124)</f>
        <v>18513.373119999989</v>
      </c>
      <c r="AD124" s="6">
        <f t="shared" si="9"/>
        <v>0</v>
      </c>
      <c r="AE124" s="6">
        <f ca="1">(L124-M124)*(Z124+AA124)+($Z$2+$AA$2-$Z$124-$AA$124)*(L124)</f>
        <v>11120.687750168261</v>
      </c>
      <c r="AF124" s="4" t="s">
        <v>705</v>
      </c>
    </row>
    <row r="125" spans="1:32" ht="11.25" customHeight="1" x14ac:dyDescent="0.25">
      <c r="A125" s="4" t="s">
        <v>27</v>
      </c>
      <c r="B125" s="4" t="s">
        <v>41</v>
      </c>
      <c r="C125" s="4" t="s">
        <v>23</v>
      </c>
      <c r="D125" s="4" t="s">
        <v>42</v>
      </c>
      <c r="E125" s="4" t="s">
        <v>25</v>
      </c>
      <c r="F125" s="4" t="s">
        <v>25</v>
      </c>
      <c r="G125" s="4" t="s">
        <v>25</v>
      </c>
      <c r="H125" s="4" t="s">
        <v>25</v>
      </c>
      <c r="I125" s="5">
        <v>44348</v>
      </c>
      <c r="J125" s="6">
        <v>0</v>
      </c>
      <c r="K125" s="6">
        <v>0</v>
      </c>
      <c r="L125" s="6">
        <v>1.649</v>
      </c>
      <c r="M125" s="6">
        <v>1.649</v>
      </c>
      <c r="N125" s="6">
        <v>1.649</v>
      </c>
      <c r="O125" s="6">
        <v>1.649</v>
      </c>
      <c r="P125" s="6">
        <v>5</v>
      </c>
      <c r="Q125" s="4" t="s">
        <v>26</v>
      </c>
      <c r="R125" s="4">
        <v>0</v>
      </c>
      <c r="S125" s="4">
        <v>0</v>
      </c>
      <c r="T125" s="4">
        <v>29</v>
      </c>
      <c r="U125" s="4">
        <v>66</v>
      </c>
      <c r="V125" s="6">
        <f>IF(ISERROR(VLOOKUP($S$125,'TAR FIN'!$A$1:$O$85,15,0)),0,VLOOKUP($S$125,'TAR FIN'!$A$1:$O$85,15,0))</f>
        <v>0</v>
      </c>
      <c r="W125" s="6">
        <f>IF(ISERROR(VLOOKUP($T$125,'TAR FIN'!$A$1:$O$85,15,0)),0,VLOOKUP($T$125,'TAR FIN'!$A$1:$O$85,15,0))</f>
        <v>448.29</v>
      </c>
      <c r="X125" s="6">
        <f>IF(ISERROR(VLOOKUP($U$125,'TAR FIN'!$A$1:$O$85,15,0)),0,VLOOKUP($U$125,'TAR FIN'!$A$1:$O$85,15,0))</f>
        <v>221.63</v>
      </c>
      <c r="Y125" s="6"/>
      <c r="Z125" s="6">
        <f ca="1">('TUSD BE'!$AM$33+'TUSD BF'!$AM$33+'TUSD CVA'!$AM$33)*(1-CUSTOS!$M$38)</f>
        <v>618.4724353141047</v>
      </c>
      <c r="AA125" s="6">
        <f>('TE BE'!$AA$24+'TE BF'!$AA$24+'TE CVA'!$AA$24)*(1-CUSTOS!$M$38)</f>
        <v>241.29063495745513</v>
      </c>
      <c r="AB125" s="6">
        <f t="shared" si="8"/>
        <v>0</v>
      </c>
      <c r="AC125" s="6">
        <f>(L125-M125)*(W125+X125)+($W$2+$X$2-$W$125-$X$125)*(L125)</f>
        <v>150.65263999999993</v>
      </c>
      <c r="AD125" s="6">
        <f t="shared" si="9"/>
        <v>0</v>
      </c>
      <c r="AE125" s="6">
        <f ca="1">(L125-M125)*(Z125+AA125)+($Z$2+$AA$2-$Z$125-$AA$125)*(L125)</f>
        <v>90.494636353902266</v>
      </c>
      <c r="AF125" s="4" t="s">
        <v>705</v>
      </c>
    </row>
    <row r="126" spans="1:32" ht="11.25" customHeight="1" x14ac:dyDescent="0.25">
      <c r="A126" s="4" t="s">
        <v>21</v>
      </c>
      <c r="B126" s="4" t="s">
        <v>41</v>
      </c>
      <c r="C126" s="4" t="s">
        <v>23</v>
      </c>
      <c r="D126" s="4" t="s">
        <v>42</v>
      </c>
      <c r="E126" s="4" t="s">
        <v>25</v>
      </c>
      <c r="F126" s="4" t="s">
        <v>25</v>
      </c>
      <c r="G126" s="4" t="s">
        <v>25</v>
      </c>
      <c r="H126" s="4" t="s">
        <v>25</v>
      </c>
      <c r="I126" s="5">
        <v>44378</v>
      </c>
      <c r="J126" s="6">
        <v>0</v>
      </c>
      <c r="K126" s="6">
        <v>0</v>
      </c>
      <c r="L126" s="6">
        <v>182.971</v>
      </c>
      <c r="M126" s="6">
        <v>182.971</v>
      </c>
      <c r="N126" s="6">
        <v>182.971</v>
      </c>
      <c r="O126" s="6">
        <v>182.971</v>
      </c>
      <c r="P126" s="6">
        <v>1807</v>
      </c>
      <c r="Q126" s="4" t="s">
        <v>26</v>
      </c>
      <c r="R126" s="4">
        <v>0</v>
      </c>
      <c r="S126" s="4">
        <v>0</v>
      </c>
      <c r="T126" s="4">
        <v>29</v>
      </c>
      <c r="U126" s="4">
        <v>66</v>
      </c>
      <c r="V126" s="6">
        <f>IF(ISERROR(VLOOKUP($S$126,'TAR FIN'!$A$1:$O$85,15,0)),0,VLOOKUP($S$126,'TAR FIN'!$A$1:$O$85,15,0))</f>
        <v>0</v>
      </c>
      <c r="W126" s="6">
        <f>IF(ISERROR(VLOOKUP($T$126,'TAR FIN'!$A$1:$O$85,15,0)),0,VLOOKUP($T$126,'TAR FIN'!$A$1:$O$85,15,0))</f>
        <v>448.29</v>
      </c>
      <c r="X126" s="6">
        <f>IF(ISERROR(VLOOKUP($U$126,'TAR FIN'!$A$1:$O$85,15,0)),0,VLOOKUP($U$126,'TAR FIN'!$A$1:$O$85,15,0))</f>
        <v>221.63</v>
      </c>
      <c r="Y126" s="6"/>
      <c r="Z126" s="6">
        <f ca="1">('TUSD BE'!$AM$33+'TUSD BF'!$AM$33+'TUSD CVA'!$AM$33)*(1-CUSTOS!$M$38)</f>
        <v>618.4724353141047</v>
      </c>
      <c r="AA126" s="6">
        <f>('TE BE'!$AA$24+'TE BF'!$AA$24+'TE CVA'!$AA$24)*(1-CUSTOS!$M$38)</f>
        <v>241.29063495745513</v>
      </c>
      <c r="AB126" s="6">
        <f t="shared" si="8"/>
        <v>0</v>
      </c>
      <c r="AC126" s="6">
        <f>(L126-M126)*(W126+X126)+($W$2+$X$2-$W$126-$X$126)*(L126)</f>
        <v>16716.230559999993</v>
      </c>
      <c r="AD126" s="6">
        <f t="shared" si="9"/>
        <v>0</v>
      </c>
      <c r="AE126" s="6">
        <f ca="1">(L126-M126)*(Z126+AA126)+($Z$2+$AA$2-$Z$126-$AA$126)*(L126)</f>
        <v>10041.172897701546</v>
      </c>
      <c r="AF126" s="4" t="s">
        <v>705</v>
      </c>
    </row>
    <row r="127" spans="1:32" ht="11.25" customHeight="1" x14ac:dyDescent="0.25">
      <c r="A127" s="4" t="s">
        <v>27</v>
      </c>
      <c r="B127" s="4" t="s">
        <v>41</v>
      </c>
      <c r="C127" s="4" t="s">
        <v>23</v>
      </c>
      <c r="D127" s="4" t="s">
        <v>42</v>
      </c>
      <c r="E127" s="4" t="s">
        <v>25</v>
      </c>
      <c r="F127" s="4" t="s">
        <v>25</v>
      </c>
      <c r="G127" s="4" t="s">
        <v>25</v>
      </c>
      <c r="H127" s="4" t="s">
        <v>25</v>
      </c>
      <c r="I127" s="5">
        <v>44378</v>
      </c>
      <c r="J127" s="6">
        <v>0</v>
      </c>
      <c r="K127" s="6">
        <v>0</v>
      </c>
      <c r="L127" s="6">
        <v>1.875</v>
      </c>
      <c r="M127" s="6">
        <v>1.875</v>
      </c>
      <c r="N127" s="6">
        <v>1.875</v>
      </c>
      <c r="O127" s="6">
        <v>1.875</v>
      </c>
      <c r="P127" s="6">
        <v>6</v>
      </c>
      <c r="Q127" s="4" t="s">
        <v>26</v>
      </c>
      <c r="R127" s="4">
        <v>0</v>
      </c>
      <c r="S127" s="4">
        <v>0</v>
      </c>
      <c r="T127" s="4">
        <v>29</v>
      </c>
      <c r="U127" s="4">
        <v>66</v>
      </c>
      <c r="V127" s="6">
        <f>IF(ISERROR(VLOOKUP($S$127,'TAR FIN'!$A$1:$O$85,15,0)),0,VLOOKUP($S$127,'TAR FIN'!$A$1:$O$85,15,0))</f>
        <v>0</v>
      </c>
      <c r="W127" s="6">
        <f>IF(ISERROR(VLOOKUP($T$127,'TAR FIN'!$A$1:$O$85,15,0)),0,VLOOKUP($T$127,'TAR FIN'!$A$1:$O$85,15,0))</f>
        <v>448.29</v>
      </c>
      <c r="X127" s="6">
        <f>IF(ISERROR(VLOOKUP($U$127,'TAR FIN'!$A$1:$O$85,15,0)),0,VLOOKUP($U$127,'TAR FIN'!$A$1:$O$85,15,0))</f>
        <v>221.63</v>
      </c>
      <c r="Y127" s="6"/>
      <c r="Z127" s="6">
        <f ca="1">('TUSD BE'!$AM$33+'TUSD BF'!$AM$33+'TUSD CVA'!$AM$33)*(1-CUSTOS!$M$38)</f>
        <v>618.4724353141047</v>
      </c>
      <c r="AA127" s="6">
        <f>('TE BE'!$AA$24+'TE BF'!$AA$24+'TE CVA'!$AA$24)*(1-CUSTOS!$M$38)</f>
        <v>241.29063495745513</v>
      </c>
      <c r="AB127" s="6">
        <f t="shared" si="8"/>
        <v>0</v>
      </c>
      <c r="AC127" s="6">
        <f>(L127-M127)*(W127+X127)+($W$2+$X$2-$W$127-$X$127)*(L127)</f>
        <v>171.29999999999993</v>
      </c>
      <c r="AD127" s="6">
        <f t="shared" si="9"/>
        <v>0</v>
      </c>
      <c r="AE127" s="6">
        <f ca="1">(L127-M127)*(Z127+AA127)+($Z$2+$AA$2-$Z$127-$AA$127)*(L127)</f>
        <v>102.89717596335157</v>
      </c>
      <c r="AF127" s="4" t="s">
        <v>705</v>
      </c>
    </row>
    <row r="128" spans="1:32" ht="11.25" customHeight="1" x14ac:dyDescent="0.25">
      <c r="A128" s="4" t="s">
        <v>21</v>
      </c>
      <c r="B128" s="4" t="s">
        <v>41</v>
      </c>
      <c r="C128" s="4" t="s">
        <v>23</v>
      </c>
      <c r="D128" s="4" t="s">
        <v>42</v>
      </c>
      <c r="E128" s="4" t="s">
        <v>25</v>
      </c>
      <c r="F128" s="4" t="s">
        <v>25</v>
      </c>
      <c r="G128" s="4" t="s">
        <v>25</v>
      </c>
      <c r="H128" s="4" t="s">
        <v>25</v>
      </c>
      <c r="I128" s="5">
        <v>44409</v>
      </c>
      <c r="J128" s="6">
        <v>0</v>
      </c>
      <c r="K128" s="6">
        <v>0</v>
      </c>
      <c r="L128" s="6">
        <v>181.00299999999999</v>
      </c>
      <c r="M128" s="6">
        <v>181.00299999999999</v>
      </c>
      <c r="N128" s="6">
        <v>181.00299999999999</v>
      </c>
      <c r="O128" s="6">
        <v>181.00299999999999</v>
      </c>
      <c r="P128" s="6">
        <v>1792</v>
      </c>
      <c r="Q128" s="4" t="s">
        <v>26</v>
      </c>
      <c r="R128" s="4">
        <v>0</v>
      </c>
      <c r="S128" s="4">
        <v>0</v>
      </c>
      <c r="T128" s="4">
        <v>29</v>
      </c>
      <c r="U128" s="4">
        <v>66</v>
      </c>
      <c r="V128" s="6">
        <f>IF(ISERROR(VLOOKUP($S$128,'TAR FIN'!$A$1:$O$85,15,0)),0,VLOOKUP($S$128,'TAR FIN'!$A$1:$O$85,15,0))</f>
        <v>0</v>
      </c>
      <c r="W128" s="6">
        <f>IF(ISERROR(VLOOKUP($T$128,'TAR FIN'!$A$1:$O$85,15,0)),0,VLOOKUP($T$128,'TAR FIN'!$A$1:$O$85,15,0))</f>
        <v>448.29</v>
      </c>
      <c r="X128" s="6">
        <f>IF(ISERROR(VLOOKUP($U$128,'TAR FIN'!$A$1:$O$85,15,0)),0,VLOOKUP($U$128,'TAR FIN'!$A$1:$O$85,15,0))</f>
        <v>221.63</v>
      </c>
      <c r="Y128" s="6"/>
      <c r="Z128" s="6">
        <f ca="1">('TUSD BE'!$AM$33+'TUSD BF'!$AM$33+'TUSD CVA'!$AM$33)*(1-CUSTOS!$M$38)</f>
        <v>618.4724353141047</v>
      </c>
      <c r="AA128" s="6">
        <f>('TE BE'!$AA$24+'TE BF'!$AA$24+'TE CVA'!$AA$24)*(1-CUSTOS!$M$38)</f>
        <v>241.29063495745513</v>
      </c>
      <c r="AB128" s="6">
        <f t="shared" si="8"/>
        <v>0</v>
      </c>
      <c r="AC128" s="6">
        <f>(L128-M128)*(W128+X128)+($W$2+$X$2-$W$128-$X$128)*(L128)</f>
        <v>16536.434079999992</v>
      </c>
      <c r="AD128" s="6">
        <f t="shared" si="9"/>
        <v>0</v>
      </c>
      <c r="AE128" s="6">
        <f ca="1">(L128-M128)*(Z128+AA128)+($Z$2+$AA$2-$Z$128-$AA$128)*(L128)</f>
        <v>9933.1720218104128</v>
      </c>
      <c r="AF128" s="4" t="s">
        <v>705</v>
      </c>
    </row>
    <row r="129" spans="1:32" ht="11.25" customHeight="1" x14ac:dyDescent="0.25">
      <c r="A129" s="4" t="s">
        <v>27</v>
      </c>
      <c r="B129" s="4" t="s">
        <v>41</v>
      </c>
      <c r="C129" s="4" t="s">
        <v>23</v>
      </c>
      <c r="D129" s="4" t="s">
        <v>42</v>
      </c>
      <c r="E129" s="4" t="s">
        <v>25</v>
      </c>
      <c r="F129" s="4" t="s">
        <v>25</v>
      </c>
      <c r="G129" s="4" t="s">
        <v>25</v>
      </c>
      <c r="H129" s="4" t="s">
        <v>25</v>
      </c>
      <c r="I129" s="5">
        <v>44409</v>
      </c>
      <c r="J129" s="6">
        <v>0</v>
      </c>
      <c r="K129" s="6">
        <v>0</v>
      </c>
      <c r="L129" s="6">
        <v>3.98</v>
      </c>
      <c r="M129" s="6">
        <v>3.98</v>
      </c>
      <c r="N129" s="6">
        <v>3.98</v>
      </c>
      <c r="O129" s="6">
        <v>3.98</v>
      </c>
      <c r="P129" s="6">
        <v>6</v>
      </c>
      <c r="Q129" s="4" t="s">
        <v>26</v>
      </c>
      <c r="R129" s="4">
        <v>0</v>
      </c>
      <c r="S129" s="4">
        <v>0</v>
      </c>
      <c r="T129" s="4">
        <v>29</v>
      </c>
      <c r="U129" s="4">
        <v>66</v>
      </c>
      <c r="V129" s="6">
        <f>IF(ISERROR(VLOOKUP($S$129,'TAR FIN'!$A$1:$O$85,15,0)),0,VLOOKUP($S$129,'TAR FIN'!$A$1:$O$85,15,0))</f>
        <v>0</v>
      </c>
      <c r="W129" s="6">
        <f>IF(ISERROR(VLOOKUP($T$129,'TAR FIN'!$A$1:$O$85,15,0)),0,VLOOKUP($T$129,'TAR FIN'!$A$1:$O$85,15,0))</f>
        <v>448.29</v>
      </c>
      <c r="X129" s="6">
        <f>IF(ISERROR(VLOOKUP($U$129,'TAR FIN'!$A$1:$O$85,15,0)),0,VLOOKUP($U$129,'TAR FIN'!$A$1:$O$85,15,0))</f>
        <v>221.63</v>
      </c>
      <c r="Y129" s="6"/>
      <c r="Z129" s="6">
        <f ca="1">('TUSD BE'!$AM$33+'TUSD BF'!$AM$33+'TUSD CVA'!$AM$33)*(1-CUSTOS!$M$38)</f>
        <v>618.4724353141047</v>
      </c>
      <c r="AA129" s="6">
        <f>('TE BE'!$AA$24+'TE BF'!$AA$24+'TE CVA'!$AA$24)*(1-CUSTOS!$M$38)</f>
        <v>241.29063495745513</v>
      </c>
      <c r="AB129" s="6">
        <f t="shared" si="8"/>
        <v>0</v>
      </c>
      <c r="AC129" s="6">
        <f>(L129-M129)*(W129+X129)+($W$2+$X$2-$W$129-$X$129)*(L129)</f>
        <v>363.61279999999982</v>
      </c>
      <c r="AD129" s="6">
        <f t="shared" si="9"/>
        <v>0</v>
      </c>
      <c r="AE129" s="6">
        <f ca="1">(L129-M129)*(Z129+AA129)+($Z$2+$AA$2-$Z$129-$AA$129)*(L129)</f>
        <v>218.41640551154092</v>
      </c>
      <c r="AF129" s="4" t="s">
        <v>705</v>
      </c>
    </row>
    <row r="130" spans="1:32" ht="11.25" customHeight="1" x14ac:dyDescent="0.25">
      <c r="A130" s="4" t="s">
        <v>21</v>
      </c>
      <c r="B130" s="4" t="s">
        <v>41</v>
      </c>
      <c r="C130" s="4" t="s">
        <v>23</v>
      </c>
      <c r="D130" s="4" t="s">
        <v>42</v>
      </c>
      <c r="E130" s="4" t="s">
        <v>25</v>
      </c>
      <c r="F130" s="4" t="s">
        <v>25</v>
      </c>
      <c r="G130" s="4" t="s">
        <v>25</v>
      </c>
      <c r="H130" s="4" t="s">
        <v>25</v>
      </c>
      <c r="I130" s="5">
        <v>44440</v>
      </c>
      <c r="J130" s="6">
        <v>0</v>
      </c>
      <c r="K130" s="6">
        <v>0</v>
      </c>
      <c r="L130" s="6">
        <v>186.982</v>
      </c>
      <c r="M130" s="6">
        <v>186.982</v>
      </c>
      <c r="N130" s="6">
        <v>186.982</v>
      </c>
      <c r="O130" s="6">
        <v>186.982</v>
      </c>
      <c r="P130" s="6">
        <v>1778</v>
      </c>
      <c r="Q130" s="4" t="s">
        <v>26</v>
      </c>
      <c r="R130" s="4">
        <v>0</v>
      </c>
      <c r="S130" s="4">
        <v>0</v>
      </c>
      <c r="T130" s="4">
        <v>29</v>
      </c>
      <c r="U130" s="4">
        <v>66</v>
      </c>
      <c r="V130" s="6">
        <f>IF(ISERROR(VLOOKUP($S$130,'TAR FIN'!$A$1:$O$85,15,0)),0,VLOOKUP($S$130,'TAR FIN'!$A$1:$O$85,15,0))</f>
        <v>0</v>
      </c>
      <c r="W130" s="6">
        <f>IF(ISERROR(VLOOKUP($T$130,'TAR FIN'!$A$1:$O$85,15,0)),0,VLOOKUP($T$130,'TAR FIN'!$A$1:$O$85,15,0))</f>
        <v>448.29</v>
      </c>
      <c r="X130" s="6">
        <f>IF(ISERROR(VLOOKUP($U$130,'TAR FIN'!$A$1:$O$85,15,0)),0,VLOOKUP($U$130,'TAR FIN'!$A$1:$O$85,15,0))</f>
        <v>221.63</v>
      </c>
      <c r="Y130" s="6"/>
      <c r="Z130" s="6">
        <f ca="1">('TUSD BE'!$AM$33+'TUSD BF'!$AM$33+'TUSD CVA'!$AM$33)*(1-CUSTOS!$M$38)</f>
        <v>618.4724353141047</v>
      </c>
      <c r="AA130" s="6">
        <f>('TE BE'!$AA$24+'TE BF'!$AA$24+'TE CVA'!$AA$24)*(1-CUSTOS!$M$38)</f>
        <v>241.29063495745513</v>
      </c>
      <c r="AB130" s="6">
        <f t="shared" ref="AB130:AB145" si="10">(J130-K130)*V130</f>
        <v>0</v>
      </c>
      <c r="AC130" s="6">
        <f>(L130-M130)*(W130+X130)+($W$2+$X$2-$W$130-$X$130)*(L130)</f>
        <v>17082.675519999993</v>
      </c>
      <c r="AD130" s="6">
        <f t="shared" ref="AD130:AD145" si="11">(J130-K130)*Y130</f>
        <v>0</v>
      </c>
      <c r="AE130" s="6">
        <f ca="1">(L130-M130)*(Z130+AA130)+($Z$2+$AA$2-$Z$130-$AA$130)*(L130)</f>
        <v>10261.290536522349</v>
      </c>
      <c r="AF130" s="4" t="s">
        <v>705</v>
      </c>
    </row>
    <row r="131" spans="1:32" ht="11.25" customHeight="1" x14ac:dyDescent="0.25">
      <c r="A131" s="4" t="s">
        <v>27</v>
      </c>
      <c r="B131" s="4" t="s">
        <v>41</v>
      </c>
      <c r="C131" s="4" t="s">
        <v>23</v>
      </c>
      <c r="D131" s="4" t="s">
        <v>42</v>
      </c>
      <c r="E131" s="4" t="s">
        <v>25</v>
      </c>
      <c r="F131" s="4" t="s">
        <v>25</v>
      </c>
      <c r="G131" s="4" t="s">
        <v>25</v>
      </c>
      <c r="H131" s="4" t="s">
        <v>25</v>
      </c>
      <c r="I131" s="5">
        <v>44440</v>
      </c>
      <c r="J131" s="6">
        <v>0</v>
      </c>
      <c r="K131" s="6">
        <v>0</v>
      </c>
      <c r="L131" s="6">
        <v>3.367</v>
      </c>
      <c r="M131" s="6">
        <v>3.367</v>
      </c>
      <c r="N131" s="6">
        <v>3.367</v>
      </c>
      <c r="O131" s="6">
        <v>3.367</v>
      </c>
      <c r="P131" s="6">
        <v>7</v>
      </c>
      <c r="Q131" s="4" t="s">
        <v>26</v>
      </c>
      <c r="R131" s="4">
        <v>0</v>
      </c>
      <c r="S131" s="4">
        <v>0</v>
      </c>
      <c r="T131" s="4">
        <v>29</v>
      </c>
      <c r="U131" s="4">
        <v>66</v>
      </c>
      <c r="V131" s="6">
        <f>IF(ISERROR(VLOOKUP($S$131,'TAR FIN'!$A$1:$O$85,15,0)),0,VLOOKUP($S$131,'TAR FIN'!$A$1:$O$85,15,0))</f>
        <v>0</v>
      </c>
      <c r="W131" s="6">
        <f>IF(ISERROR(VLOOKUP($T$131,'TAR FIN'!$A$1:$O$85,15,0)),0,VLOOKUP($T$131,'TAR FIN'!$A$1:$O$85,15,0))</f>
        <v>448.29</v>
      </c>
      <c r="X131" s="6">
        <f>IF(ISERROR(VLOOKUP($U$131,'TAR FIN'!$A$1:$O$85,15,0)),0,VLOOKUP($U$131,'TAR FIN'!$A$1:$O$85,15,0))</f>
        <v>221.63</v>
      </c>
      <c r="Y131" s="6"/>
      <c r="Z131" s="6">
        <f ca="1">('TUSD BE'!$AM$33+'TUSD BF'!$AM$33+'TUSD CVA'!$AM$33)*(1-CUSTOS!$M$38)</f>
        <v>618.4724353141047</v>
      </c>
      <c r="AA131" s="6">
        <f>('TE BE'!$AA$24+'TE BF'!$AA$24+'TE CVA'!$AA$24)*(1-CUSTOS!$M$38)</f>
        <v>241.29063495745513</v>
      </c>
      <c r="AB131" s="6">
        <f t="shared" si="10"/>
        <v>0</v>
      </c>
      <c r="AC131" s="6">
        <f>(L131-M131)*(W131+X131)+($W$2+$X$2-$W$131-$X$131)*(L131)</f>
        <v>307.60911999999985</v>
      </c>
      <c r="AD131" s="6">
        <f t="shared" si="11"/>
        <v>0</v>
      </c>
      <c r="AE131" s="6">
        <f ca="1">(L131-M131)*(Z131+AA131)+($Z$2+$AA$2-$Z$131-$AA$131)*(L131)</f>
        <v>184.77588878325585</v>
      </c>
      <c r="AF131" s="4" t="s">
        <v>705</v>
      </c>
    </row>
    <row r="132" spans="1:32" ht="11.25" customHeight="1" x14ac:dyDescent="0.25">
      <c r="A132" s="4" t="s">
        <v>21</v>
      </c>
      <c r="B132" s="4" t="s">
        <v>41</v>
      </c>
      <c r="C132" s="4" t="s">
        <v>23</v>
      </c>
      <c r="D132" s="4" t="s">
        <v>42</v>
      </c>
      <c r="E132" s="4" t="s">
        <v>25</v>
      </c>
      <c r="F132" s="4" t="s">
        <v>25</v>
      </c>
      <c r="G132" s="4" t="s">
        <v>25</v>
      </c>
      <c r="H132" s="4" t="s">
        <v>25</v>
      </c>
      <c r="I132" s="5">
        <v>44470</v>
      </c>
      <c r="J132" s="6">
        <v>0</v>
      </c>
      <c r="K132" s="6">
        <v>0</v>
      </c>
      <c r="L132" s="6">
        <v>193.477</v>
      </c>
      <c r="M132" s="6">
        <v>193.477</v>
      </c>
      <c r="N132" s="6">
        <v>193.477</v>
      </c>
      <c r="O132" s="6">
        <v>193.477</v>
      </c>
      <c r="P132" s="6">
        <v>1761</v>
      </c>
      <c r="Q132" s="4" t="s">
        <v>26</v>
      </c>
      <c r="R132" s="4">
        <v>0</v>
      </c>
      <c r="S132" s="4">
        <v>0</v>
      </c>
      <c r="T132" s="4">
        <v>29</v>
      </c>
      <c r="U132" s="4">
        <v>66</v>
      </c>
      <c r="V132" s="6">
        <f>IF(ISERROR(VLOOKUP($S$132,'TAR FIN'!$A$1:$O$85,15,0)),0,VLOOKUP($S$132,'TAR FIN'!$A$1:$O$85,15,0))</f>
        <v>0</v>
      </c>
      <c r="W132" s="6">
        <f>IF(ISERROR(VLOOKUP($T$132,'TAR FIN'!$A$1:$O$85,15,0)),0,VLOOKUP($T$132,'TAR FIN'!$A$1:$O$85,15,0))</f>
        <v>448.29</v>
      </c>
      <c r="X132" s="6">
        <f>IF(ISERROR(VLOOKUP($U$132,'TAR FIN'!$A$1:$O$85,15,0)),0,VLOOKUP($U$132,'TAR FIN'!$A$1:$O$85,15,0))</f>
        <v>221.63</v>
      </c>
      <c r="Y132" s="6"/>
      <c r="Z132" s="6">
        <f ca="1">('TUSD BE'!$AM$33+'TUSD BF'!$AM$33+'TUSD CVA'!$AM$33)*(1-CUSTOS!$M$38)</f>
        <v>618.4724353141047</v>
      </c>
      <c r="AA132" s="6">
        <f>('TE BE'!$AA$24+'TE BF'!$AA$24+'TE CVA'!$AA$24)*(1-CUSTOS!$M$38)</f>
        <v>241.29063495745513</v>
      </c>
      <c r="AB132" s="6">
        <f t="shared" si="10"/>
        <v>0</v>
      </c>
      <c r="AC132" s="6">
        <f>(L132-M132)*(W132+X132)+($W$2+$X$2-$W$132-$X$132)*(L132)</f>
        <v>17676.058719999994</v>
      </c>
      <c r="AD132" s="6">
        <f t="shared" si="11"/>
        <v>0</v>
      </c>
      <c r="AE132" s="6">
        <f ca="1">(L132-M132)*(Z132+AA132)+($Z$2+$AA$2-$Z$132-$AA$132)*(L132)</f>
        <v>10617.726354059398</v>
      </c>
      <c r="AF132" s="4" t="s">
        <v>705</v>
      </c>
    </row>
    <row r="133" spans="1:32" ht="11.25" customHeight="1" x14ac:dyDescent="0.25">
      <c r="A133" s="4" t="s">
        <v>27</v>
      </c>
      <c r="B133" s="4" t="s">
        <v>41</v>
      </c>
      <c r="C133" s="4" t="s">
        <v>23</v>
      </c>
      <c r="D133" s="4" t="s">
        <v>42</v>
      </c>
      <c r="E133" s="4" t="s">
        <v>25</v>
      </c>
      <c r="F133" s="4" t="s">
        <v>25</v>
      </c>
      <c r="G133" s="4" t="s">
        <v>25</v>
      </c>
      <c r="H133" s="4" t="s">
        <v>25</v>
      </c>
      <c r="I133" s="5">
        <v>44470</v>
      </c>
      <c r="J133" s="6">
        <v>0</v>
      </c>
      <c r="K133" s="6">
        <v>0</v>
      </c>
      <c r="L133" s="6">
        <v>1.6419999999999999</v>
      </c>
      <c r="M133" s="6">
        <v>1.6419999999999999</v>
      </c>
      <c r="N133" s="6">
        <v>1.6419999999999999</v>
      </c>
      <c r="O133" s="6">
        <v>1.6419999999999999</v>
      </c>
      <c r="P133" s="6">
        <v>7</v>
      </c>
      <c r="Q133" s="4" t="s">
        <v>26</v>
      </c>
      <c r="R133" s="4">
        <v>0</v>
      </c>
      <c r="S133" s="4">
        <v>0</v>
      </c>
      <c r="T133" s="4">
        <v>29</v>
      </c>
      <c r="U133" s="4">
        <v>66</v>
      </c>
      <c r="V133" s="6">
        <f>IF(ISERROR(VLOOKUP($S$133,'TAR FIN'!$A$1:$O$85,15,0)),0,VLOOKUP($S$133,'TAR FIN'!$A$1:$O$85,15,0))</f>
        <v>0</v>
      </c>
      <c r="W133" s="6">
        <f>IF(ISERROR(VLOOKUP($T$133,'TAR FIN'!$A$1:$O$85,15,0)),0,VLOOKUP($T$133,'TAR FIN'!$A$1:$O$85,15,0))</f>
        <v>448.29</v>
      </c>
      <c r="X133" s="6">
        <f>IF(ISERROR(VLOOKUP($U$133,'TAR FIN'!$A$1:$O$85,15,0)),0,VLOOKUP($U$133,'TAR FIN'!$A$1:$O$85,15,0))</f>
        <v>221.63</v>
      </c>
      <c r="Y133" s="6"/>
      <c r="Z133" s="6">
        <f ca="1">('TUSD BE'!$AM$33+'TUSD BF'!$AM$33+'TUSD CVA'!$AM$33)*(1-CUSTOS!$M$38)</f>
        <v>618.4724353141047</v>
      </c>
      <c r="AA133" s="6">
        <f>('TE BE'!$AA$24+'TE BF'!$AA$24+'TE CVA'!$AA$24)*(1-CUSTOS!$M$38)</f>
        <v>241.29063495745513</v>
      </c>
      <c r="AB133" s="6">
        <f t="shared" si="10"/>
        <v>0</v>
      </c>
      <c r="AC133" s="6">
        <f>(L133-M133)*(W133+X133)+($W$2+$X$2-$W$133-$X$133)*(L133)</f>
        <v>150.01311999999993</v>
      </c>
      <c r="AD133" s="6">
        <f t="shared" si="11"/>
        <v>0</v>
      </c>
      <c r="AE133" s="6">
        <f ca="1">(L133-M133)*(Z133+AA133)+($Z$2+$AA$2-$Z$133-$AA$133)*(L133)</f>
        <v>90.110486896972404</v>
      </c>
      <c r="AF133" s="4" t="s">
        <v>705</v>
      </c>
    </row>
    <row r="134" spans="1:32" ht="11.25" customHeight="1" x14ac:dyDescent="0.25">
      <c r="A134" s="4" t="s">
        <v>21</v>
      </c>
      <c r="B134" s="4" t="s">
        <v>41</v>
      </c>
      <c r="C134" s="4" t="s">
        <v>23</v>
      </c>
      <c r="D134" s="4" t="s">
        <v>42</v>
      </c>
      <c r="E134" s="4" t="s">
        <v>25</v>
      </c>
      <c r="F134" s="4" t="s">
        <v>25</v>
      </c>
      <c r="G134" s="4" t="s">
        <v>25</v>
      </c>
      <c r="H134" s="4" t="s">
        <v>25</v>
      </c>
      <c r="I134" s="5">
        <v>44501</v>
      </c>
      <c r="J134" s="6">
        <v>0</v>
      </c>
      <c r="K134" s="6">
        <v>0</v>
      </c>
      <c r="L134" s="6">
        <v>233.98599999999999</v>
      </c>
      <c r="M134" s="6">
        <v>233.98599999999999</v>
      </c>
      <c r="N134" s="6">
        <v>233.98599999999999</v>
      </c>
      <c r="O134" s="6">
        <v>233.98599999999999</v>
      </c>
      <c r="P134" s="6">
        <v>1752</v>
      </c>
      <c r="Q134" s="4" t="s">
        <v>26</v>
      </c>
      <c r="R134" s="4">
        <v>0</v>
      </c>
      <c r="S134" s="4">
        <v>0</v>
      </c>
      <c r="T134" s="4">
        <v>29</v>
      </c>
      <c r="U134" s="4">
        <v>66</v>
      </c>
      <c r="V134" s="6">
        <f>IF(ISERROR(VLOOKUP($S$134,'TAR FIN'!$A$1:$O$85,15,0)),0,VLOOKUP($S$134,'TAR FIN'!$A$1:$O$85,15,0))</f>
        <v>0</v>
      </c>
      <c r="W134" s="6">
        <f>IF(ISERROR(VLOOKUP($T$134,'TAR FIN'!$A$1:$O$85,15,0)),0,VLOOKUP($T$134,'TAR FIN'!$A$1:$O$85,15,0))</f>
        <v>448.29</v>
      </c>
      <c r="X134" s="6">
        <f>IF(ISERROR(VLOOKUP($U$134,'TAR FIN'!$A$1:$O$85,15,0)),0,VLOOKUP($U$134,'TAR FIN'!$A$1:$O$85,15,0))</f>
        <v>221.63</v>
      </c>
      <c r="Y134" s="6"/>
      <c r="Z134" s="6">
        <f ca="1">('TUSD BE'!$AM$33+'TUSD BF'!$AM$33+'TUSD CVA'!$AM$33)*(1-CUSTOS!$M$38)</f>
        <v>618.4724353141047</v>
      </c>
      <c r="AA134" s="6">
        <f>('TE BE'!$AA$24+'TE BF'!$AA$24+'TE CVA'!$AA$24)*(1-CUSTOS!$M$38)</f>
        <v>241.29063495745513</v>
      </c>
      <c r="AB134" s="6">
        <f t="shared" si="10"/>
        <v>0</v>
      </c>
      <c r="AC134" s="6">
        <f>(L134-M134)*(W134+X134)+($W$2+$X$2-$W$134-$X$134)*(L134)</f>
        <v>21376.960959999989</v>
      </c>
      <c r="AD134" s="6">
        <f t="shared" si="11"/>
        <v>0</v>
      </c>
      <c r="AE134" s="6">
        <f ca="1">(L134-M134)*(Z134+AA134)+($Z$2+$AA$2-$Z$134-$AA$134)*(L134)</f>
        <v>12840.799261312415</v>
      </c>
      <c r="AF134" s="4" t="s">
        <v>705</v>
      </c>
    </row>
    <row r="135" spans="1:32" ht="11.25" customHeight="1" x14ac:dyDescent="0.25">
      <c r="A135" s="4" t="s">
        <v>27</v>
      </c>
      <c r="B135" s="4" t="s">
        <v>41</v>
      </c>
      <c r="C135" s="4" t="s">
        <v>23</v>
      </c>
      <c r="D135" s="4" t="s">
        <v>42</v>
      </c>
      <c r="E135" s="4" t="s">
        <v>25</v>
      </c>
      <c r="F135" s="4" t="s">
        <v>25</v>
      </c>
      <c r="G135" s="4" t="s">
        <v>25</v>
      </c>
      <c r="H135" s="4" t="s">
        <v>25</v>
      </c>
      <c r="I135" s="5">
        <v>44501</v>
      </c>
      <c r="J135" s="6">
        <v>0</v>
      </c>
      <c r="K135" s="6">
        <v>0</v>
      </c>
      <c r="L135" s="6">
        <v>5.5339999999999998</v>
      </c>
      <c r="M135" s="6">
        <v>5.5339999999999998</v>
      </c>
      <c r="N135" s="6">
        <v>5.5339999999999998</v>
      </c>
      <c r="O135" s="6">
        <v>5.5339999999999998</v>
      </c>
      <c r="P135" s="6">
        <v>7</v>
      </c>
      <c r="Q135" s="4" t="s">
        <v>26</v>
      </c>
      <c r="R135" s="4">
        <v>0</v>
      </c>
      <c r="S135" s="4">
        <v>0</v>
      </c>
      <c r="T135" s="4">
        <v>29</v>
      </c>
      <c r="U135" s="4">
        <v>66</v>
      </c>
      <c r="V135" s="6">
        <f>IF(ISERROR(VLOOKUP($S$135,'TAR FIN'!$A$1:$O$85,15,0)),0,VLOOKUP($S$135,'TAR FIN'!$A$1:$O$85,15,0))</f>
        <v>0</v>
      </c>
      <c r="W135" s="6">
        <f>IF(ISERROR(VLOOKUP($T$135,'TAR FIN'!$A$1:$O$85,15,0)),0,VLOOKUP($T$135,'TAR FIN'!$A$1:$O$85,15,0))</f>
        <v>448.29</v>
      </c>
      <c r="X135" s="6">
        <f>IF(ISERROR(VLOOKUP($U$135,'TAR FIN'!$A$1:$O$85,15,0)),0,VLOOKUP($U$135,'TAR FIN'!$A$1:$O$85,15,0))</f>
        <v>221.63</v>
      </c>
      <c r="Y135" s="6"/>
      <c r="Z135" s="6">
        <f ca="1">('TUSD BE'!$AM$33+'TUSD BF'!$AM$33+'TUSD CVA'!$AM$33)*(1-CUSTOS!$M$38)</f>
        <v>618.4724353141047</v>
      </c>
      <c r="AA135" s="6">
        <f>('TE BE'!$AA$24+'TE BF'!$AA$24+'TE CVA'!$AA$24)*(1-CUSTOS!$M$38)</f>
        <v>241.29063495745513</v>
      </c>
      <c r="AB135" s="6">
        <f t="shared" si="10"/>
        <v>0</v>
      </c>
      <c r="AC135" s="6">
        <f>(L135-M135)*(W135+X135)+($W$2+$X$2-$W$135-$X$135)*(L135)</f>
        <v>505.58623999999975</v>
      </c>
      <c r="AD135" s="6">
        <f t="shared" si="11"/>
        <v>0</v>
      </c>
      <c r="AE135" s="6">
        <f ca="1">(L135-M135)*(Z135+AA135)+($Z$2+$AA$2-$Z$135-$AA$135)*(L135)</f>
        <v>303.69758494996671</v>
      </c>
      <c r="AF135" s="4" t="s">
        <v>705</v>
      </c>
    </row>
    <row r="136" spans="1:32" ht="11.25" customHeight="1" x14ac:dyDescent="0.25">
      <c r="A136" s="4" t="s">
        <v>21</v>
      </c>
      <c r="B136" s="4" t="s">
        <v>41</v>
      </c>
      <c r="C136" s="4" t="s">
        <v>23</v>
      </c>
      <c r="D136" s="4" t="s">
        <v>42</v>
      </c>
      <c r="E136" s="4" t="s">
        <v>25</v>
      </c>
      <c r="F136" s="4" t="s">
        <v>25</v>
      </c>
      <c r="G136" s="4" t="s">
        <v>25</v>
      </c>
      <c r="H136" s="4" t="s">
        <v>25</v>
      </c>
      <c r="I136" s="5">
        <v>44531</v>
      </c>
      <c r="J136" s="6">
        <v>0</v>
      </c>
      <c r="K136" s="6">
        <v>0</v>
      </c>
      <c r="L136" s="6">
        <v>212.27</v>
      </c>
      <c r="M136" s="6">
        <v>212.27</v>
      </c>
      <c r="N136" s="6">
        <v>212.27</v>
      </c>
      <c r="O136" s="6">
        <v>212.27</v>
      </c>
      <c r="P136" s="6">
        <v>1736</v>
      </c>
      <c r="Q136" s="4" t="s">
        <v>26</v>
      </c>
      <c r="R136" s="4">
        <v>0</v>
      </c>
      <c r="S136" s="4">
        <v>0</v>
      </c>
      <c r="T136" s="4">
        <v>29</v>
      </c>
      <c r="U136" s="4">
        <v>66</v>
      </c>
      <c r="V136" s="6">
        <f>IF(ISERROR(VLOOKUP($S$136,'TAR FIN'!$A$1:$O$85,15,0)),0,VLOOKUP($S$136,'TAR FIN'!$A$1:$O$85,15,0))</f>
        <v>0</v>
      </c>
      <c r="W136" s="6">
        <f>IF(ISERROR(VLOOKUP($T$136,'TAR FIN'!$A$1:$O$85,15,0)),0,VLOOKUP($T$136,'TAR FIN'!$A$1:$O$85,15,0))</f>
        <v>448.29</v>
      </c>
      <c r="X136" s="6">
        <f>IF(ISERROR(VLOOKUP($U$136,'TAR FIN'!$A$1:$O$85,15,0)),0,VLOOKUP($U$136,'TAR FIN'!$A$1:$O$85,15,0))</f>
        <v>221.63</v>
      </c>
      <c r="Y136" s="6"/>
      <c r="Z136" s="6">
        <f ca="1">('TUSD BE'!$AM$33+'TUSD BF'!$AM$33+'TUSD CVA'!$AM$33)*(1-CUSTOS!$M$38)</f>
        <v>618.4724353141047</v>
      </c>
      <c r="AA136" s="6">
        <f>('TE BE'!$AA$24+'TE BF'!$AA$24+'TE CVA'!$AA$24)*(1-CUSTOS!$M$38)</f>
        <v>241.29063495745513</v>
      </c>
      <c r="AB136" s="6">
        <f t="shared" si="10"/>
        <v>0</v>
      </c>
      <c r="AC136" s="6">
        <f>(L136-M136)*(W136+X136)+($W$2+$X$2-$W$136-$X$136)*(L136)</f>
        <v>19392.987199999992</v>
      </c>
      <c r="AD136" s="6">
        <f t="shared" si="11"/>
        <v>0</v>
      </c>
      <c r="AE136" s="6">
        <f ca="1">(L136-M136)*(Z136+AA136)+($Z$2+$AA$2-$Z$136-$AA$136)*(L136)</f>
        <v>11649.057888928341</v>
      </c>
      <c r="AF136" s="4" t="s">
        <v>705</v>
      </c>
    </row>
    <row r="137" spans="1:32" ht="11.25" customHeight="1" x14ac:dyDescent="0.25">
      <c r="A137" s="4" t="s">
        <v>27</v>
      </c>
      <c r="B137" s="4" t="s">
        <v>41</v>
      </c>
      <c r="C137" s="4" t="s">
        <v>23</v>
      </c>
      <c r="D137" s="4" t="s">
        <v>42</v>
      </c>
      <c r="E137" s="4" t="s">
        <v>25</v>
      </c>
      <c r="F137" s="4" t="s">
        <v>25</v>
      </c>
      <c r="G137" s="4" t="s">
        <v>25</v>
      </c>
      <c r="H137" s="4" t="s">
        <v>25</v>
      </c>
      <c r="I137" s="5">
        <v>44531</v>
      </c>
      <c r="J137" s="6">
        <v>0</v>
      </c>
      <c r="K137" s="6">
        <v>0</v>
      </c>
      <c r="L137" s="6">
        <v>0.88800000000000001</v>
      </c>
      <c r="M137" s="6">
        <v>0.88800000000000001</v>
      </c>
      <c r="N137" s="6">
        <v>0.88800000000000001</v>
      </c>
      <c r="O137" s="6">
        <v>0.88800000000000001</v>
      </c>
      <c r="P137" s="6">
        <v>8</v>
      </c>
      <c r="Q137" s="4" t="s">
        <v>26</v>
      </c>
      <c r="R137" s="4">
        <v>0</v>
      </c>
      <c r="S137" s="4">
        <v>0</v>
      </c>
      <c r="T137" s="4">
        <v>29</v>
      </c>
      <c r="U137" s="4">
        <v>66</v>
      </c>
      <c r="V137" s="6">
        <f>IF(ISERROR(VLOOKUP($S$137,'TAR FIN'!$A$1:$O$85,15,0)),0,VLOOKUP($S$137,'TAR FIN'!$A$1:$O$85,15,0))</f>
        <v>0</v>
      </c>
      <c r="W137" s="6">
        <f>IF(ISERROR(VLOOKUP($T$137,'TAR FIN'!$A$1:$O$85,15,0)),0,VLOOKUP($T$137,'TAR FIN'!$A$1:$O$85,15,0))</f>
        <v>448.29</v>
      </c>
      <c r="X137" s="6">
        <f>IF(ISERROR(VLOOKUP($U$137,'TAR FIN'!$A$1:$O$85,15,0)),0,VLOOKUP($U$137,'TAR FIN'!$A$1:$O$85,15,0))</f>
        <v>221.63</v>
      </c>
      <c r="Y137" s="6"/>
      <c r="Z137" s="6">
        <f ca="1">('TUSD BE'!$AM$33+'TUSD BF'!$AM$33+'TUSD CVA'!$AM$33)*(1-CUSTOS!$M$38)</f>
        <v>618.4724353141047</v>
      </c>
      <c r="AA137" s="6">
        <f>('TE BE'!$AA$24+'TE BF'!$AA$24+'TE CVA'!$AA$24)*(1-CUSTOS!$M$38)</f>
        <v>241.29063495745513</v>
      </c>
      <c r="AB137" s="6">
        <f t="shared" si="10"/>
        <v>0</v>
      </c>
      <c r="AC137" s="6">
        <f>(L137-M137)*(W137+X137)+($W$2+$X$2-$W$137-$X$137)*(L137)</f>
        <v>81.12767999999997</v>
      </c>
      <c r="AD137" s="6">
        <f t="shared" si="11"/>
        <v>0</v>
      </c>
      <c r="AE137" s="6">
        <f ca="1">(L137-M137)*(Z137+AA137)+($Z$2+$AA$2-$Z$137-$AA$137)*(L137)</f>
        <v>48.732102536243303</v>
      </c>
      <c r="AF137" s="4" t="s">
        <v>705</v>
      </c>
    </row>
    <row r="138" spans="1:32" ht="11.25" customHeight="1" x14ac:dyDescent="0.25">
      <c r="A138" s="4" t="s">
        <v>21</v>
      </c>
      <c r="B138" s="4" t="s">
        <v>41</v>
      </c>
      <c r="C138" s="4" t="s">
        <v>23</v>
      </c>
      <c r="D138" s="4" t="s">
        <v>42</v>
      </c>
      <c r="E138" s="4" t="s">
        <v>25</v>
      </c>
      <c r="F138" s="4" t="s">
        <v>25</v>
      </c>
      <c r="G138" s="4" t="s">
        <v>25</v>
      </c>
      <c r="H138" s="4" t="s">
        <v>25</v>
      </c>
      <c r="I138" s="5">
        <v>44562</v>
      </c>
      <c r="J138" s="6">
        <v>0</v>
      </c>
      <c r="K138" s="6">
        <v>0</v>
      </c>
      <c r="L138" s="6">
        <v>196.99100000000001</v>
      </c>
      <c r="M138" s="6">
        <v>196.99100000000001</v>
      </c>
      <c r="N138" s="6">
        <v>196.99100000000001</v>
      </c>
      <c r="O138" s="6">
        <v>196.99100000000001</v>
      </c>
      <c r="P138" s="6">
        <v>1715</v>
      </c>
      <c r="Q138" s="4" t="s">
        <v>26</v>
      </c>
      <c r="R138" s="4">
        <v>0</v>
      </c>
      <c r="S138" s="4">
        <v>0</v>
      </c>
      <c r="T138" s="4">
        <v>29</v>
      </c>
      <c r="U138" s="4">
        <v>66</v>
      </c>
      <c r="V138" s="6">
        <f>IF(ISERROR(VLOOKUP($S$138,'TAR FIN'!$A$1:$O$85,15,0)),0,VLOOKUP($S$138,'TAR FIN'!$A$1:$O$85,15,0))</f>
        <v>0</v>
      </c>
      <c r="W138" s="6">
        <f>IF(ISERROR(VLOOKUP($T$138,'TAR FIN'!$A$1:$O$85,15,0)),0,VLOOKUP($T$138,'TAR FIN'!$A$1:$O$85,15,0))</f>
        <v>448.29</v>
      </c>
      <c r="X138" s="6">
        <f>IF(ISERROR(VLOOKUP($U$138,'TAR FIN'!$A$1:$O$85,15,0)),0,VLOOKUP($U$138,'TAR FIN'!$A$1:$O$85,15,0))</f>
        <v>221.63</v>
      </c>
      <c r="Y138" s="6"/>
      <c r="Z138" s="6">
        <f ca="1">('TUSD BE'!$AM$33+'TUSD BF'!$AM$33+'TUSD CVA'!$AM$33)*(1-CUSTOS!$M$38)</f>
        <v>618.4724353141047</v>
      </c>
      <c r="AA138" s="6">
        <f>('TE BE'!$AA$24+'TE BF'!$AA$24+'TE CVA'!$AA$24)*(1-CUSTOS!$M$38)</f>
        <v>241.29063495745513</v>
      </c>
      <c r="AB138" s="6">
        <f t="shared" si="10"/>
        <v>0</v>
      </c>
      <c r="AC138" s="6">
        <f>(L138-M138)*(W138+X138)+($W$2+$X$2-$W$138-$X$138)*(L138)</f>
        <v>17997.097759999993</v>
      </c>
      <c r="AD138" s="6">
        <f t="shared" si="11"/>
        <v>0</v>
      </c>
      <c r="AE138" s="6">
        <f ca="1">(L138-M138)*(Z138+AA138)+($Z$2+$AA$2-$Z$138-$AA$138)*(L138)</f>
        <v>10810.569381438181</v>
      </c>
      <c r="AF138" s="4" t="s">
        <v>705</v>
      </c>
    </row>
    <row r="139" spans="1:32" ht="11.25" customHeight="1" x14ac:dyDescent="0.25">
      <c r="A139" s="4" t="s">
        <v>27</v>
      </c>
      <c r="B139" s="4" t="s">
        <v>41</v>
      </c>
      <c r="C139" s="4" t="s">
        <v>23</v>
      </c>
      <c r="D139" s="4" t="s">
        <v>42</v>
      </c>
      <c r="E139" s="4" t="s">
        <v>25</v>
      </c>
      <c r="F139" s="4" t="s">
        <v>25</v>
      </c>
      <c r="G139" s="4" t="s">
        <v>25</v>
      </c>
      <c r="H139" s="4" t="s">
        <v>25</v>
      </c>
      <c r="I139" s="5">
        <v>44562</v>
      </c>
      <c r="J139" s="6">
        <v>0</v>
      </c>
      <c r="K139" s="6">
        <v>0</v>
      </c>
      <c r="L139" s="6">
        <v>8.8620000000000001</v>
      </c>
      <c r="M139" s="6">
        <v>8.8620000000000001</v>
      </c>
      <c r="N139" s="6">
        <v>8.8620000000000001</v>
      </c>
      <c r="O139" s="6">
        <v>8.8620000000000001</v>
      </c>
      <c r="P139" s="6">
        <v>8</v>
      </c>
      <c r="Q139" s="4" t="s">
        <v>26</v>
      </c>
      <c r="R139" s="4">
        <v>0</v>
      </c>
      <c r="S139" s="4">
        <v>0</v>
      </c>
      <c r="T139" s="4">
        <v>29</v>
      </c>
      <c r="U139" s="4">
        <v>66</v>
      </c>
      <c r="V139" s="6">
        <f>IF(ISERROR(VLOOKUP($S$139,'TAR FIN'!$A$1:$O$85,15,0)),0,VLOOKUP($S$139,'TAR FIN'!$A$1:$O$85,15,0))</f>
        <v>0</v>
      </c>
      <c r="W139" s="6">
        <f>IF(ISERROR(VLOOKUP($T$139,'TAR FIN'!$A$1:$O$85,15,0)),0,VLOOKUP($T$139,'TAR FIN'!$A$1:$O$85,15,0))</f>
        <v>448.29</v>
      </c>
      <c r="X139" s="6">
        <f>IF(ISERROR(VLOOKUP($U$139,'TAR FIN'!$A$1:$O$85,15,0)),0,VLOOKUP($U$139,'TAR FIN'!$A$1:$O$85,15,0))</f>
        <v>221.63</v>
      </c>
      <c r="Y139" s="6"/>
      <c r="Z139" s="6">
        <f ca="1">('TUSD BE'!$AM$33+'TUSD BF'!$AM$33+'TUSD CVA'!$AM$33)*(1-CUSTOS!$M$38)</f>
        <v>618.4724353141047</v>
      </c>
      <c r="AA139" s="6">
        <f>('TE BE'!$AA$24+'TE BF'!$AA$24+'TE CVA'!$AA$24)*(1-CUSTOS!$M$38)</f>
        <v>241.29063495745513</v>
      </c>
      <c r="AB139" s="6">
        <f t="shared" si="10"/>
        <v>0</v>
      </c>
      <c r="AC139" s="6">
        <f>(L139-M139)*(W139+X139)+($W$2+$X$2-$W$139-$X$139)*(L139)</f>
        <v>809.63231999999959</v>
      </c>
      <c r="AD139" s="6">
        <f t="shared" si="11"/>
        <v>0</v>
      </c>
      <c r="AE139" s="6">
        <f ca="1">(L139-M139)*(Z139+AA139)+($Z$2+$AA$2-$Z$139-$AA$139)*(L139)</f>
        <v>486.33321247318486</v>
      </c>
      <c r="AF139" s="4" t="s">
        <v>705</v>
      </c>
    </row>
    <row r="140" spans="1:32" ht="11.25" customHeight="1" x14ac:dyDescent="0.25">
      <c r="A140" s="4" t="s">
        <v>21</v>
      </c>
      <c r="B140" s="4" t="s">
        <v>41</v>
      </c>
      <c r="C140" s="4" t="s">
        <v>23</v>
      </c>
      <c r="D140" s="4" t="s">
        <v>42</v>
      </c>
      <c r="E140" s="4" t="s">
        <v>25</v>
      </c>
      <c r="F140" s="4" t="s">
        <v>25</v>
      </c>
      <c r="G140" s="4" t="s">
        <v>25</v>
      </c>
      <c r="H140" s="4" t="s">
        <v>25</v>
      </c>
      <c r="I140" s="5">
        <v>44593</v>
      </c>
      <c r="J140" s="6">
        <v>0</v>
      </c>
      <c r="K140" s="6">
        <v>0</v>
      </c>
      <c r="L140" s="6">
        <v>194.405</v>
      </c>
      <c r="M140" s="6">
        <v>194.405</v>
      </c>
      <c r="N140" s="6">
        <v>194.405</v>
      </c>
      <c r="O140" s="6">
        <v>194.405</v>
      </c>
      <c r="P140" s="6">
        <v>1596</v>
      </c>
      <c r="Q140" s="4" t="s">
        <v>26</v>
      </c>
      <c r="R140" s="4">
        <v>0</v>
      </c>
      <c r="S140" s="4">
        <v>0</v>
      </c>
      <c r="T140" s="4">
        <v>29</v>
      </c>
      <c r="U140" s="4">
        <v>66</v>
      </c>
      <c r="V140" s="6">
        <f>IF(ISERROR(VLOOKUP($S$140,'TAR FIN'!$A$1:$O$85,15,0)),0,VLOOKUP($S$140,'TAR FIN'!$A$1:$O$85,15,0))</f>
        <v>0</v>
      </c>
      <c r="W140" s="6">
        <f>IF(ISERROR(VLOOKUP($T$140,'TAR FIN'!$A$1:$O$85,15,0)),0,VLOOKUP($T$140,'TAR FIN'!$A$1:$O$85,15,0))</f>
        <v>448.29</v>
      </c>
      <c r="X140" s="6">
        <f>IF(ISERROR(VLOOKUP($U$140,'TAR FIN'!$A$1:$O$85,15,0)),0,VLOOKUP($U$140,'TAR FIN'!$A$1:$O$85,15,0))</f>
        <v>221.63</v>
      </c>
      <c r="Y140" s="6"/>
      <c r="Z140" s="6">
        <f ca="1">('TUSD BE'!$AM$33+'TUSD BF'!$AM$33+'TUSD CVA'!$AM$33)*(1-CUSTOS!$M$38)</f>
        <v>618.4724353141047</v>
      </c>
      <c r="AA140" s="6">
        <f>('TE BE'!$AA$24+'TE BF'!$AA$24+'TE CVA'!$AA$24)*(1-CUSTOS!$M$38)</f>
        <v>241.29063495745513</v>
      </c>
      <c r="AB140" s="6">
        <f t="shared" si="10"/>
        <v>0</v>
      </c>
      <c r="AC140" s="6">
        <f>(L140-M140)*(W140+X140)+($W$2+$X$2-$W$140-$X$140)*(L140)</f>
        <v>17760.840799999991</v>
      </c>
      <c r="AD140" s="6">
        <f t="shared" si="11"/>
        <v>0</v>
      </c>
      <c r="AE140" s="6">
        <f ca="1">(L140-M140)*(Z140+AA140)+($Z$2+$AA$2-$Z$140-$AA$140)*(L140)</f>
        <v>10668.653596349526</v>
      </c>
      <c r="AF140" s="4" t="s">
        <v>705</v>
      </c>
    </row>
    <row r="141" spans="1:32" ht="11.25" customHeight="1" x14ac:dyDescent="0.25">
      <c r="A141" s="4" t="s">
        <v>27</v>
      </c>
      <c r="B141" s="4" t="s">
        <v>41</v>
      </c>
      <c r="C141" s="4" t="s">
        <v>23</v>
      </c>
      <c r="D141" s="4" t="s">
        <v>42</v>
      </c>
      <c r="E141" s="4" t="s">
        <v>25</v>
      </c>
      <c r="F141" s="4" t="s">
        <v>25</v>
      </c>
      <c r="G141" s="4" t="s">
        <v>25</v>
      </c>
      <c r="H141" s="4" t="s">
        <v>25</v>
      </c>
      <c r="I141" s="5">
        <v>44593</v>
      </c>
      <c r="J141" s="6">
        <v>0</v>
      </c>
      <c r="K141" s="6">
        <v>0</v>
      </c>
      <c r="L141" s="6">
        <v>10.568</v>
      </c>
      <c r="M141" s="6">
        <v>10.568</v>
      </c>
      <c r="N141" s="6">
        <v>10.568</v>
      </c>
      <c r="O141" s="6">
        <v>10.568</v>
      </c>
      <c r="P141" s="6">
        <v>8</v>
      </c>
      <c r="Q141" s="4" t="s">
        <v>26</v>
      </c>
      <c r="R141" s="4">
        <v>0</v>
      </c>
      <c r="S141" s="4">
        <v>0</v>
      </c>
      <c r="T141" s="4">
        <v>29</v>
      </c>
      <c r="U141" s="4">
        <v>66</v>
      </c>
      <c r="V141" s="6">
        <f>IF(ISERROR(VLOOKUP($S$141,'TAR FIN'!$A$1:$O$85,15,0)),0,VLOOKUP($S$141,'TAR FIN'!$A$1:$O$85,15,0))</f>
        <v>0</v>
      </c>
      <c r="W141" s="6">
        <f>IF(ISERROR(VLOOKUP($T$141,'TAR FIN'!$A$1:$O$85,15,0)),0,VLOOKUP($T$141,'TAR FIN'!$A$1:$O$85,15,0))</f>
        <v>448.29</v>
      </c>
      <c r="X141" s="6">
        <f>IF(ISERROR(VLOOKUP($U$141,'TAR FIN'!$A$1:$O$85,15,0)),0,VLOOKUP($U$141,'TAR FIN'!$A$1:$O$85,15,0))</f>
        <v>221.63</v>
      </c>
      <c r="Y141" s="6"/>
      <c r="Z141" s="6">
        <f ca="1">('TUSD BE'!$AM$33+'TUSD BF'!$AM$33+'TUSD CVA'!$AM$33)*(1-CUSTOS!$M$38)</f>
        <v>618.4724353141047</v>
      </c>
      <c r="AA141" s="6">
        <f>('TE BE'!$AA$24+'TE BF'!$AA$24+'TE CVA'!$AA$24)*(1-CUSTOS!$M$38)</f>
        <v>241.29063495745513</v>
      </c>
      <c r="AB141" s="6">
        <f t="shared" si="10"/>
        <v>0</v>
      </c>
      <c r="AC141" s="6">
        <f>(L141-M141)*(W141+X141)+($W$2+$X$2-$W$141-$X$141)*(L141)</f>
        <v>965.49247999999955</v>
      </c>
      <c r="AD141" s="6">
        <f t="shared" si="11"/>
        <v>0</v>
      </c>
      <c r="AE141" s="6">
        <f ca="1">(L141-M141)*(Z141+AA141)+($Z$2+$AA$2-$Z$141-$AA$141)*(L141)</f>
        <v>579.95592297637302</v>
      </c>
      <c r="AF141" s="4" t="s">
        <v>705</v>
      </c>
    </row>
    <row r="142" spans="1:32" ht="11.25" customHeight="1" x14ac:dyDescent="0.25">
      <c r="A142" s="4" t="s">
        <v>21</v>
      </c>
      <c r="B142" s="4" t="s">
        <v>41</v>
      </c>
      <c r="C142" s="4" t="s">
        <v>23</v>
      </c>
      <c r="D142" s="4" t="s">
        <v>42</v>
      </c>
      <c r="E142" s="4" t="s">
        <v>25</v>
      </c>
      <c r="F142" s="4" t="s">
        <v>25</v>
      </c>
      <c r="G142" s="4" t="s">
        <v>25</v>
      </c>
      <c r="H142" s="4" t="s">
        <v>25</v>
      </c>
      <c r="I142" s="5">
        <v>44621</v>
      </c>
      <c r="J142" s="6">
        <v>0</v>
      </c>
      <c r="K142" s="6">
        <v>0</v>
      </c>
      <c r="L142" s="6">
        <v>211.785</v>
      </c>
      <c r="M142" s="6">
        <v>211.785</v>
      </c>
      <c r="N142" s="6">
        <v>211.785</v>
      </c>
      <c r="O142" s="6">
        <v>211.785</v>
      </c>
      <c r="P142" s="6">
        <v>1573</v>
      </c>
      <c r="Q142" s="4" t="s">
        <v>26</v>
      </c>
      <c r="R142" s="4">
        <v>0</v>
      </c>
      <c r="S142" s="4">
        <v>0</v>
      </c>
      <c r="T142" s="4">
        <v>29</v>
      </c>
      <c r="U142" s="4">
        <v>66</v>
      </c>
      <c r="V142" s="6">
        <f>IF(ISERROR(VLOOKUP($S$142,'TAR FIN'!$A$1:$O$85,15,0)),0,VLOOKUP($S$142,'TAR FIN'!$A$1:$O$85,15,0))</f>
        <v>0</v>
      </c>
      <c r="W142" s="6">
        <f>IF(ISERROR(VLOOKUP($T$142,'TAR FIN'!$A$1:$O$85,15,0)),0,VLOOKUP($T$142,'TAR FIN'!$A$1:$O$85,15,0))</f>
        <v>448.29</v>
      </c>
      <c r="X142" s="6">
        <f>IF(ISERROR(VLOOKUP($U$142,'TAR FIN'!$A$1:$O$85,15,0)),0,VLOOKUP($U$142,'TAR FIN'!$A$1:$O$85,15,0))</f>
        <v>221.63</v>
      </c>
      <c r="Y142" s="6"/>
      <c r="Z142" s="6">
        <f ca="1">('TUSD BE'!$AM$33+'TUSD BF'!$AM$33+'TUSD CVA'!$AM$33)*(1-CUSTOS!$M$38)</f>
        <v>618.4724353141047</v>
      </c>
      <c r="AA142" s="6">
        <f>('TE BE'!$AA$24+'TE BF'!$AA$24+'TE CVA'!$AA$24)*(1-CUSTOS!$M$38)</f>
        <v>241.29063495745513</v>
      </c>
      <c r="AB142" s="6">
        <f t="shared" si="10"/>
        <v>0</v>
      </c>
      <c r="AC142" s="6">
        <f>(L142-M142)*(W142+X142)+($W$2+$X$2-$W$142-$X$142)*(L142)</f>
        <v>19348.677599999992</v>
      </c>
      <c r="AD142" s="6">
        <f t="shared" si="11"/>
        <v>0</v>
      </c>
      <c r="AE142" s="6">
        <f ca="1">(L142-M142)*(Z142+AA142)+($Z$2+$AA$2-$Z$142-$AA$142)*(L142)</f>
        <v>11622.441819412486</v>
      </c>
      <c r="AF142" s="4" t="s">
        <v>705</v>
      </c>
    </row>
    <row r="143" spans="1:32" ht="11.25" customHeight="1" x14ac:dyDescent="0.25">
      <c r="A143" s="4" t="s">
        <v>27</v>
      </c>
      <c r="B143" s="4" t="s">
        <v>41</v>
      </c>
      <c r="C143" s="4" t="s">
        <v>23</v>
      </c>
      <c r="D143" s="4" t="s">
        <v>42</v>
      </c>
      <c r="E143" s="4" t="s">
        <v>25</v>
      </c>
      <c r="F143" s="4" t="s">
        <v>25</v>
      </c>
      <c r="G143" s="4" t="s">
        <v>25</v>
      </c>
      <c r="H143" s="4" t="s">
        <v>25</v>
      </c>
      <c r="I143" s="5">
        <v>44621</v>
      </c>
      <c r="J143" s="6">
        <v>0</v>
      </c>
      <c r="K143" s="6">
        <v>0</v>
      </c>
      <c r="L143" s="6">
        <v>1.1879999999999999</v>
      </c>
      <c r="M143" s="6">
        <v>1.1879999999999999</v>
      </c>
      <c r="N143" s="6">
        <v>1.1879999999999999</v>
      </c>
      <c r="O143" s="6">
        <v>1.1879999999999999</v>
      </c>
      <c r="P143" s="6">
        <v>8</v>
      </c>
      <c r="Q143" s="4" t="s">
        <v>26</v>
      </c>
      <c r="R143" s="4">
        <v>0</v>
      </c>
      <c r="S143" s="4">
        <v>0</v>
      </c>
      <c r="T143" s="4">
        <v>29</v>
      </c>
      <c r="U143" s="4">
        <v>66</v>
      </c>
      <c r="V143" s="6">
        <f>IF(ISERROR(VLOOKUP($S$143,'TAR FIN'!$A$1:$O$85,15,0)),0,VLOOKUP($S$143,'TAR FIN'!$A$1:$O$85,15,0))</f>
        <v>0</v>
      </c>
      <c r="W143" s="6">
        <f>IF(ISERROR(VLOOKUP($T$143,'TAR FIN'!$A$1:$O$85,15,0)),0,VLOOKUP($T$143,'TAR FIN'!$A$1:$O$85,15,0))</f>
        <v>448.29</v>
      </c>
      <c r="X143" s="6">
        <f>IF(ISERROR(VLOOKUP($U$143,'TAR FIN'!$A$1:$O$85,15,0)),0,VLOOKUP($U$143,'TAR FIN'!$A$1:$O$85,15,0))</f>
        <v>221.63</v>
      </c>
      <c r="Y143" s="6"/>
      <c r="Z143" s="6">
        <f ca="1">('TUSD BE'!$AM$33+'TUSD BF'!$AM$33+'TUSD CVA'!$AM$33)*(1-CUSTOS!$M$38)</f>
        <v>618.4724353141047</v>
      </c>
      <c r="AA143" s="6">
        <f>('TE BE'!$AA$24+'TE BF'!$AA$24+'TE CVA'!$AA$24)*(1-CUSTOS!$M$38)</f>
        <v>241.29063495745513</v>
      </c>
      <c r="AB143" s="6">
        <f t="shared" si="10"/>
        <v>0</v>
      </c>
      <c r="AC143" s="6">
        <f>(L143-M143)*(W143+X143)+($W$2+$X$2-$W$143-$X$143)*(L143)</f>
        <v>108.53567999999994</v>
      </c>
      <c r="AD143" s="6">
        <f t="shared" si="11"/>
        <v>0</v>
      </c>
      <c r="AE143" s="6">
        <f ca="1">(L143-M143)*(Z143+AA143)+($Z$2+$AA$2-$Z$143-$AA$143)*(L143)</f>
        <v>65.195650690379551</v>
      </c>
      <c r="AF143" s="4" t="s">
        <v>705</v>
      </c>
    </row>
    <row r="144" spans="1:32" ht="11.25" customHeight="1" x14ac:dyDescent="0.25">
      <c r="A144" s="4" t="s">
        <v>21</v>
      </c>
      <c r="B144" s="4" t="s">
        <v>41</v>
      </c>
      <c r="C144" s="4" t="s">
        <v>23</v>
      </c>
      <c r="D144" s="4" t="s">
        <v>42</v>
      </c>
      <c r="E144" s="4" t="s">
        <v>25</v>
      </c>
      <c r="F144" s="4" t="s">
        <v>25</v>
      </c>
      <c r="G144" s="4" t="s">
        <v>25</v>
      </c>
      <c r="H144" s="4" t="s">
        <v>25</v>
      </c>
      <c r="I144" s="5">
        <v>44652</v>
      </c>
      <c r="J144" s="6">
        <v>0</v>
      </c>
      <c r="K144" s="6">
        <v>0</v>
      </c>
      <c r="L144" s="6">
        <v>184.376</v>
      </c>
      <c r="M144" s="6">
        <v>184.376</v>
      </c>
      <c r="N144" s="6">
        <v>184.376</v>
      </c>
      <c r="O144" s="6">
        <v>184.376</v>
      </c>
      <c r="P144" s="6">
        <v>1537</v>
      </c>
      <c r="Q144" s="4" t="s">
        <v>26</v>
      </c>
      <c r="R144" s="4">
        <v>0</v>
      </c>
      <c r="S144" s="4">
        <v>0</v>
      </c>
      <c r="T144" s="4">
        <v>29</v>
      </c>
      <c r="U144" s="4">
        <v>66</v>
      </c>
      <c r="V144" s="6">
        <f>IF(ISERROR(VLOOKUP($S$144,'TAR FIN'!$A$1:$O$85,15,0)),0,VLOOKUP($S$144,'TAR FIN'!$A$1:$O$85,15,0))</f>
        <v>0</v>
      </c>
      <c r="W144" s="6">
        <f>IF(ISERROR(VLOOKUP($T$144,'TAR FIN'!$A$1:$O$85,15,0)),0,VLOOKUP($T$144,'TAR FIN'!$A$1:$O$85,15,0))</f>
        <v>448.29</v>
      </c>
      <c r="X144" s="6">
        <f>IF(ISERROR(VLOOKUP($U$144,'TAR FIN'!$A$1:$O$85,15,0)),0,VLOOKUP($U$144,'TAR FIN'!$A$1:$O$85,15,0))</f>
        <v>221.63</v>
      </c>
      <c r="Y144" s="6"/>
      <c r="Z144" s="6">
        <f ca="1">('TUSD BE'!$AM$33+'TUSD BF'!$AM$33+'TUSD CVA'!$AM$33)*(1-CUSTOS!$M$38)</f>
        <v>618.4724353141047</v>
      </c>
      <c r="AA144" s="6">
        <f>('TE BE'!$AA$24+'TE BF'!$AA$24+'TE CVA'!$AA$24)*(1-CUSTOS!$M$38)</f>
        <v>241.29063495745513</v>
      </c>
      <c r="AB144" s="6">
        <f t="shared" si="10"/>
        <v>0</v>
      </c>
      <c r="AC144" s="6">
        <f>(L144-M144)*(W144+X144)+($W$2+$X$2-$W$144-$X$144)*(L144)</f>
        <v>16844.591359999991</v>
      </c>
      <c r="AD144" s="6">
        <f t="shared" si="11"/>
        <v>0</v>
      </c>
      <c r="AE144" s="6">
        <f ca="1">(L144-M144)*(Z144+AA144)+($Z$2+$AA$2-$Z$144-$AA$144)*(L144)</f>
        <v>10118.277181556752</v>
      </c>
      <c r="AF144" s="4" t="s">
        <v>705</v>
      </c>
    </row>
    <row r="145" spans="1:32" ht="11.25" customHeight="1" x14ac:dyDescent="0.25">
      <c r="A145" s="4" t="s">
        <v>27</v>
      </c>
      <c r="B145" s="4" t="s">
        <v>41</v>
      </c>
      <c r="C145" s="4" t="s">
        <v>23</v>
      </c>
      <c r="D145" s="4" t="s">
        <v>42</v>
      </c>
      <c r="E145" s="4" t="s">
        <v>25</v>
      </c>
      <c r="F145" s="4" t="s">
        <v>25</v>
      </c>
      <c r="G145" s="4" t="s">
        <v>25</v>
      </c>
      <c r="H145" s="4" t="s">
        <v>25</v>
      </c>
      <c r="I145" s="5">
        <v>44652</v>
      </c>
      <c r="J145" s="6">
        <v>0</v>
      </c>
      <c r="K145" s="6">
        <v>0</v>
      </c>
      <c r="L145" s="6">
        <v>12.340999999999999</v>
      </c>
      <c r="M145" s="6">
        <v>12.340999999999999</v>
      </c>
      <c r="N145" s="6">
        <v>12.340999999999999</v>
      </c>
      <c r="O145" s="6">
        <v>12.340999999999999</v>
      </c>
      <c r="P145" s="6">
        <v>7</v>
      </c>
      <c r="Q145" s="4" t="s">
        <v>26</v>
      </c>
      <c r="R145" s="4">
        <v>0</v>
      </c>
      <c r="S145" s="4">
        <v>0</v>
      </c>
      <c r="T145" s="4">
        <v>29</v>
      </c>
      <c r="U145" s="4">
        <v>66</v>
      </c>
      <c r="V145" s="6">
        <f>IF(ISERROR(VLOOKUP($S$145,'TAR FIN'!$A$1:$O$85,15,0)),0,VLOOKUP($S$145,'TAR FIN'!$A$1:$O$85,15,0))</f>
        <v>0</v>
      </c>
      <c r="W145" s="6">
        <f>IF(ISERROR(VLOOKUP($T$145,'TAR FIN'!$A$1:$O$85,15,0)),0,VLOOKUP($T$145,'TAR FIN'!$A$1:$O$85,15,0))</f>
        <v>448.29</v>
      </c>
      <c r="X145" s="6">
        <f>IF(ISERROR(VLOOKUP($U$145,'TAR FIN'!$A$1:$O$85,15,0)),0,VLOOKUP($U$145,'TAR FIN'!$A$1:$O$85,15,0))</f>
        <v>221.63</v>
      </c>
      <c r="Y145" s="6"/>
      <c r="Z145" s="6">
        <f ca="1">('TUSD BE'!$AM$33+'TUSD BF'!$AM$33+'TUSD CVA'!$AM$33)*(1-CUSTOS!$M$38)</f>
        <v>618.4724353141047</v>
      </c>
      <c r="AA145" s="6">
        <f>('TE BE'!$AA$24+'TE BF'!$AA$24+'TE CVA'!$AA$24)*(1-CUSTOS!$M$38)</f>
        <v>241.29063495745513</v>
      </c>
      <c r="AB145" s="6">
        <f t="shared" si="10"/>
        <v>0</v>
      </c>
      <c r="AC145" s="6">
        <f>(L145-M145)*(W145+X145)+($W$2+$X$2-$W$145-$X$145)*(L145)</f>
        <v>1127.4737599999994</v>
      </c>
      <c r="AD145" s="6">
        <f t="shared" si="11"/>
        <v>0</v>
      </c>
      <c r="AE145" s="6">
        <f ca="1">(L145-M145)*(Z145+AA145)+($Z$2+$AA$2-$Z$145-$AA$145)*(L145)</f>
        <v>677.25549256731824</v>
      </c>
      <c r="AF145" s="4" t="s">
        <v>705</v>
      </c>
    </row>
    <row r="146" spans="1:32" ht="11.25" customHeight="1" x14ac:dyDescent="0.25">
      <c r="A146" s="4" t="s">
        <v>21</v>
      </c>
      <c r="B146" s="4" t="s">
        <v>32</v>
      </c>
      <c r="C146" s="4" t="s">
        <v>23</v>
      </c>
      <c r="D146" s="4" t="s">
        <v>47</v>
      </c>
      <c r="E146" s="4" t="s">
        <v>48</v>
      </c>
      <c r="F146" s="4" t="s">
        <v>25</v>
      </c>
      <c r="G146" s="4" t="s">
        <v>25</v>
      </c>
      <c r="H146" s="4" t="s">
        <v>25</v>
      </c>
      <c r="I146" s="5">
        <v>44317</v>
      </c>
      <c r="J146" s="6">
        <v>0</v>
      </c>
      <c r="K146" s="70">
        <v>0</v>
      </c>
      <c r="L146" s="6">
        <v>60.37</v>
      </c>
      <c r="M146" s="70">
        <v>60.37</v>
      </c>
      <c r="N146" s="6">
        <v>60.37</v>
      </c>
      <c r="O146" s="70">
        <v>60.37</v>
      </c>
      <c r="P146" s="6">
        <v>9</v>
      </c>
      <c r="Q146" s="4" t="s">
        <v>26</v>
      </c>
      <c r="R146" s="4">
        <v>0</v>
      </c>
      <c r="S146" s="4">
        <v>0</v>
      </c>
      <c r="T146" s="4">
        <v>44</v>
      </c>
      <c r="U146" s="4">
        <v>81</v>
      </c>
      <c r="V146" s="70">
        <f>IF(ISERROR(VLOOKUP($S$146,'TAR FIN'!$A$1:$O$85,15,0)),0,VLOOKUP($S$146,'TAR FIN'!$A$1:$O$85,15,0))</f>
        <v>0</v>
      </c>
      <c r="W146" s="70">
        <f>IF(ISERROR(VLOOKUP($T$146,'TAR FIN'!$A$1:$O$85,15,0)),0,VLOOKUP($T$146,'TAR FIN'!$A$1:$O$85,15,0))*(1-0.06)</f>
        <v>478.86419999999998</v>
      </c>
      <c r="X146" s="70">
        <f>IF(ISERROR(VLOOKUP($U$146,'TAR FIN'!$A$1:$O$85,15,0)),0,VLOOKUP($U$146,'TAR FIN'!$A$1:$O$85,15,0))*(1-0.06)</f>
        <v>236.73899999999998</v>
      </c>
      <c r="Y146" s="70"/>
      <c r="Z146" s="70">
        <f ca="1">('TUSD BE'!$AM$48+'TUSD BF'!$AM$48+'TUSD CVA'!$AM$48)*1*(1-0.03)</f>
        <v>638.2109172922145</v>
      </c>
      <c r="AA146" s="70">
        <f>('TE BE'!$AA$39+'TE BF'!$AA$39+'TE CVA'!$AA$39)*1*(1-0.03)</f>
        <v>248.99139990290581</v>
      </c>
      <c r="AB146" s="70">
        <f>(SUBSIDIO!$J$146*SUBSIDIO!$V$146)*(0.06)/(1-0.06)</f>
        <v>0</v>
      </c>
      <c r="AC146" s="70">
        <f>((SUBSIDIO!$L$146*SUBSIDIO!$W$146)+(SUBSIDIO!$N$146*SUBSIDIO!$X$146))*(0.06)/(1-0.06)</f>
        <v>2757.5084159999997</v>
      </c>
      <c r="AD146" s="70">
        <f>(SUBSIDIO!$J$146*SUBSIDIO!$Y$146)*(0.03)/(1-0.03)</f>
        <v>0</v>
      </c>
      <c r="AE146" s="70">
        <f ca="1">((SUBSIDIO!$L$146*SUBSIDIO!$Z$146)+(SUBSIDIO!$N$146*SUBSIDIO!$AA$146))*(0.03)/(1-0.03)</f>
        <v>1656.5073367753425</v>
      </c>
      <c r="AF146" s="4" t="s">
        <v>707</v>
      </c>
    </row>
    <row r="147" spans="1:32" ht="11.25" customHeight="1" x14ac:dyDescent="0.25">
      <c r="A147" s="4" t="s">
        <v>21</v>
      </c>
      <c r="B147" s="4" t="s">
        <v>32</v>
      </c>
      <c r="C147" s="4" t="s">
        <v>23</v>
      </c>
      <c r="D147" s="4" t="s">
        <v>47</v>
      </c>
      <c r="E147" s="4" t="s">
        <v>48</v>
      </c>
      <c r="F147" s="4" t="s">
        <v>25</v>
      </c>
      <c r="G147" s="4" t="s">
        <v>25</v>
      </c>
      <c r="H147" s="4" t="s">
        <v>25</v>
      </c>
      <c r="I147" s="5">
        <v>44348</v>
      </c>
      <c r="J147" s="6">
        <v>0</v>
      </c>
      <c r="K147" s="70">
        <v>0</v>
      </c>
      <c r="L147" s="6">
        <v>66.103999999999999</v>
      </c>
      <c r="M147" s="70">
        <v>66.103999999999999</v>
      </c>
      <c r="N147" s="6">
        <v>66.103999999999999</v>
      </c>
      <c r="O147" s="70">
        <v>66.103999999999999</v>
      </c>
      <c r="P147" s="6">
        <v>9</v>
      </c>
      <c r="Q147" s="4" t="s">
        <v>26</v>
      </c>
      <c r="R147" s="4">
        <v>0</v>
      </c>
      <c r="S147" s="4">
        <v>0</v>
      </c>
      <c r="T147" s="4">
        <v>44</v>
      </c>
      <c r="U147" s="4">
        <v>81</v>
      </c>
      <c r="V147" s="70">
        <f>IF(ISERROR(VLOOKUP($S$147,'TAR FIN'!$A$1:$O$85,15,0)),0,VLOOKUP($S$147,'TAR FIN'!$A$1:$O$85,15,0))</f>
        <v>0</v>
      </c>
      <c r="W147" s="70">
        <f>IF(ISERROR(VLOOKUP($T$147,'TAR FIN'!$A$1:$O$85,15,0)),0,VLOOKUP($T$147,'TAR FIN'!$A$1:$O$85,15,0))*(1-0.06)</f>
        <v>478.86419999999998</v>
      </c>
      <c r="X147" s="70">
        <f>IF(ISERROR(VLOOKUP($U$147,'TAR FIN'!$A$1:$O$85,15,0)),0,VLOOKUP($U$147,'TAR FIN'!$A$1:$O$85,15,0))*(1-0.06)</f>
        <v>236.73899999999998</v>
      </c>
      <c r="Y147" s="70"/>
      <c r="Z147" s="70">
        <f ca="1">('TUSD BE'!$AM$48+'TUSD BF'!$AM$48+'TUSD CVA'!$AM$48)*1*(1-0.03)</f>
        <v>638.2109172922145</v>
      </c>
      <c r="AA147" s="70">
        <f>('TE BE'!$AA$39+'TE BF'!$AA$39+'TE CVA'!$AA$39)*1*(1-0.03)</f>
        <v>248.99139990290581</v>
      </c>
      <c r="AB147" s="70">
        <f>(SUBSIDIO!$J$147*SUBSIDIO!$V$147)*(0.06)/(1-0.06)</f>
        <v>0</v>
      </c>
      <c r="AC147" s="70">
        <f>((SUBSIDIO!$L$147*SUBSIDIO!$W$147)+(SUBSIDIO!$N$147*SUBSIDIO!$X$147))*(0.06)/(1-0.06)</f>
        <v>3019.4191871999997</v>
      </c>
      <c r="AD147" s="70">
        <f>(SUBSIDIO!$J$147*SUBSIDIO!$Y$147)*(0.03)/(1-0.03)</f>
        <v>0</v>
      </c>
      <c r="AE147" s="70">
        <f ca="1">((SUBSIDIO!$L$147*SUBSIDIO!$Z$147)+(SUBSIDIO!$N$147*SUBSIDIO!$AA$147))*(0.03)/(1-0.03)</f>
        <v>1813.8439786350382</v>
      </c>
      <c r="AF147" s="4" t="s">
        <v>707</v>
      </c>
    </row>
    <row r="148" spans="1:32" ht="11.25" customHeight="1" x14ac:dyDescent="0.25">
      <c r="A148" s="4" t="s">
        <v>21</v>
      </c>
      <c r="B148" s="4" t="s">
        <v>32</v>
      </c>
      <c r="C148" s="4" t="s">
        <v>23</v>
      </c>
      <c r="D148" s="4" t="s">
        <v>47</v>
      </c>
      <c r="E148" s="4" t="s">
        <v>48</v>
      </c>
      <c r="F148" s="4" t="s">
        <v>25</v>
      </c>
      <c r="G148" s="4" t="s">
        <v>25</v>
      </c>
      <c r="H148" s="4" t="s">
        <v>25</v>
      </c>
      <c r="I148" s="5">
        <v>44378</v>
      </c>
      <c r="J148" s="6">
        <v>0</v>
      </c>
      <c r="K148" s="70">
        <v>0</v>
      </c>
      <c r="L148" s="6">
        <v>64.19</v>
      </c>
      <c r="M148" s="70">
        <v>64.19</v>
      </c>
      <c r="N148" s="6">
        <v>64.19</v>
      </c>
      <c r="O148" s="70">
        <v>64.19</v>
      </c>
      <c r="P148" s="6">
        <v>9</v>
      </c>
      <c r="Q148" s="4" t="s">
        <v>26</v>
      </c>
      <c r="R148" s="4">
        <v>0</v>
      </c>
      <c r="S148" s="4">
        <v>0</v>
      </c>
      <c r="T148" s="4">
        <v>44</v>
      </c>
      <c r="U148" s="4">
        <v>81</v>
      </c>
      <c r="V148" s="70">
        <f>IF(ISERROR(VLOOKUP($S$148,'TAR FIN'!$A$1:$O$85,15,0)),0,VLOOKUP($S$148,'TAR FIN'!$A$1:$O$85,15,0))</f>
        <v>0</v>
      </c>
      <c r="W148" s="70">
        <f>IF(ISERROR(VLOOKUP($T$148,'TAR FIN'!$A$1:$O$85,15,0)),0,VLOOKUP($T$148,'TAR FIN'!$A$1:$O$85,15,0))*(1-0.06)</f>
        <v>478.86419999999998</v>
      </c>
      <c r="X148" s="70">
        <f>IF(ISERROR(VLOOKUP($U$148,'TAR FIN'!$A$1:$O$85,15,0)),0,VLOOKUP($U$148,'TAR FIN'!$A$1:$O$85,15,0))*(1-0.06)</f>
        <v>236.73899999999998</v>
      </c>
      <c r="Y148" s="70"/>
      <c r="Z148" s="70">
        <f ca="1">('TUSD BE'!$AM$48+'TUSD BF'!$AM$48+'TUSD CVA'!$AM$48)*1*(1-0.03)</f>
        <v>638.2109172922145</v>
      </c>
      <c r="AA148" s="70">
        <f>('TE BE'!$AA$39+'TE BF'!$AA$39+'TE CVA'!$AA$39)*1*(1-0.03)</f>
        <v>248.99139990290581</v>
      </c>
      <c r="AB148" s="70">
        <f>(SUBSIDIO!$J$148*SUBSIDIO!$V$148)*(0.06)/(1-0.06)</f>
        <v>0</v>
      </c>
      <c r="AC148" s="70">
        <f>((SUBSIDIO!$L$148*SUBSIDIO!$W$148)+(SUBSIDIO!$N$148*SUBSIDIO!$X$148))*(0.06)/(1-0.06)</f>
        <v>2931.9937919999998</v>
      </c>
      <c r="AD148" s="70">
        <f>(SUBSIDIO!$J$148*SUBSIDIO!$Y$148)*(0.03)/(1-0.03)</f>
        <v>0</v>
      </c>
      <c r="AE148" s="70">
        <f ca="1">((SUBSIDIO!$L$148*SUBSIDIO!$Z$148)+(SUBSIDIO!$N$148*SUBSIDIO!$AA$148))*(0.03)/(1-0.03)</f>
        <v>1761.3252600233436</v>
      </c>
      <c r="AF148" s="4" t="s">
        <v>707</v>
      </c>
    </row>
    <row r="149" spans="1:32" ht="11.25" customHeight="1" x14ac:dyDescent="0.25">
      <c r="A149" s="4" t="s">
        <v>21</v>
      </c>
      <c r="B149" s="4" t="s">
        <v>32</v>
      </c>
      <c r="C149" s="4" t="s">
        <v>23</v>
      </c>
      <c r="D149" s="4" t="s">
        <v>47</v>
      </c>
      <c r="E149" s="4" t="s">
        <v>48</v>
      </c>
      <c r="F149" s="4" t="s">
        <v>25</v>
      </c>
      <c r="G149" s="4" t="s">
        <v>25</v>
      </c>
      <c r="H149" s="4" t="s">
        <v>25</v>
      </c>
      <c r="I149" s="5">
        <v>44409</v>
      </c>
      <c r="J149" s="6">
        <v>0</v>
      </c>
      <c r="K149" s="70">
        <v>0</v>
      </c>
      <c r="L149" s="6">
        <v>55.654000000000003</v>
      </c>
      <c r="M149" s="70">
        <v>55.654000000000003</v>
      </c>
      <c r="N149" s="6">
        <v>55.654000000000003</v>
      </c>
      <c r="O149" s="70">
        <v>55.654000000000003</v>
      </c>
      <c r="P149" s="6">
        <v>9</v>
      </c>
      <c r="Q149" s="4" t="s">
        <v>26</v>
      </c>
      <c r="R149" s="4">
        <v>0</v>
      </c>
      <c r="S149" s="4">
        <v>0</v>
      </c>
      <c r="T149" s="4">
        <v>44</v>
      </c>
      <c r="U149" s="4">
        <v>81</v>
      </c>
      <c r="V149" s="70">
        <f>IF(ISERROR(VLOOKUP($S$149,'TAR FIN'!$A$1:$O$85,15,0)),0,VLOOKUP($S$149,'TAR FIN'!$A$1:$O$85,15,0))</f>
        <v>0</v>
      </c>
      <c r="W149" s="70">
        <f>IF(ISERROR(VLOOKUP($T$149,'TAR FIN'!$A$1:$O$85,15,0)),0,VLOOKUP($T$149,'TAR FIN'!$A$1:$O$85,15,0))*(1-0.06)</f>
        <v>478.86419999999998</v>
      </c>
      <c r="X149" s="70">
        <f>IF(ISERROR(VLOOKUP($U$149,'TAR FIN'!$A$1:$O$85,15,0)),0,VLOOKUP($U$149,'TAR FIN'!$A$1:$O$85,15,0))*(1-0.06)</f>
        <v>236.73899999999998</v>
      </c>
      <c r="Y149" s="70"/>
      <c r="Z149" s="70">
        <f ca="1">('TUSD BE'!$AM$48+'TUSD BF'!$AM$48+'TUSD CVA'!$AM$48)*1*(1-0.03)</f>
        <v>638.2109172922145</v>
      </c>
      <c r="AA149" s="70">
        <f>('TE BE'!$AA$39+'TE BF'!$AA$39+'TE CVA'!$AA$39)*1*(1-0.03)</f>
        <v>248.99139990290581</v>
      </c>
      <c r="AB149" s="70">
        <f>(SUBSIDIO!$J$149*SUBSIDIO!$V$149)*(0.06)/(1-0.06)</f>
        <v>0</v>
      </c>
      <c r="AC149" s="70">
        <f>((SUBSIDIO!$L$149*SUBSIDIO!$W$149)+(SUBSIDIO!$N$149*SUBSIDIO!$X$149))*(0.06)/(1-0.06)</f>
        <v>2542.0966272000005</v>
      </c>
      <c r="AD149" s="70">
        <f>(SUBSIDIO!$J$149*SUBSIDIO!$Y$149)*(0.03)/(1-0.03)</f>
        <v>0</v>
      </c>
      <c r="AE149" s="70">
        <f ca="1">((SUBSIDIO!$L$149*SUBSIDIO!$Z$149)+(SUBSIDIO!$N$149*SUBSIDIO!$AA$149))*(0.03)/(1-0.03)</f>
        <v>1527.1038482838317</v>
      </c>
      <c r="AF149" s="4" t="s">
        <v>707</v>
      </c>
    </row>
    <row r="150" spans="1:32" ht="11.25" customHeight="1" x14ac:dyDescent="0.25">
      <c r="A150" s="4" t="s">
        <v>21</v>
      </c>
      <c r="B150" s="4" t="s">
        <v>32</v>
      </c>
      <c r="C150" s="4" t="s">
        <v>23</v>
      </c>
      <c r="D150" s="4" t="s">
        <v>47</v>
      </c>
      <c r="E150" s="4" t="s">
        <v>48</v>
      </c>
      <c r="F150" s="4" t="s">
        <v>25</v>
      </c>
      <c r="G150" s="4" t="s">
        <v>25</v>
      </c>
      <c r="H150" s="4" t="s">
        <v>25</v>
      </c>
      <c r="I150" s="5">
        <v>44440</v>
      </c>
      <c r="J150" s="6">
        <v>0</v>
      </c>
      <c r="K150" s="70">
        <v>0</v>
      </c>
      <c r="L150" s="6">
        <v>65.501999999999995</v>
      </c>
      <c r="M150" s="70">
        <v>65.501999999999995</v>
      </c>
      <c r="N150" s="6">
        <v>65.501999999999995</v>
      </c>
      <c r="O150" s="70">
        <v>65.501999999999995</v>
      </c>
      <c r="P150" s="6">
        <v>9</v>
      </c>
      <c r="Q150" s="4" t="s">
        <v>26</v>
      </c>
      <c r="R150" s="4">
        <v>0</v>
      </c>
      <c r="S150" s="4">
        <v>0</v>
      </c>
      <c r="T150" s="4">
        <v>44</v>
      </c>
      <c r="U150" s="4">
        <v>81</v>
      </c>
      <c r="V150" s="70">
        <f>IF(ISERROR(VLOOKUP($S$150,'TAR FIN'!$A$1:$O$85,15,0)),0,VLOOKUP($S$150,'TAR FIN'!$A$1:$O$85,15,0))</f>
        <v>0</v>
      </c>
      <c r="W150" s="70">
        <f>IF(ISERROR(VLOOKUP($T$150,'TAR FIN'!$A$1:$O$85,15,0)),0,VLOOKUP($T$150,'TAR FIN'!$A$1:$O$85,15,0))*(1-0.06)</f>
        <v>478.86419999999998</v>
      </c>
      <c r="X150" s="70">
        <f>IF(ISERROR(VLOOKUP($U$150,'TAR FIN'!$A$1:$O$85,15,0)),0,VLOOKUP($U$150,'TAR FIN'!$A$1:$O$85,15,0))*(1-0.06)</f>
        <v>236.73899999999998</v>
      </c>
      <c r="Y150" s="70"/>
      <c r="Z150" s="70">
        <f ca="1">('TUSD BE'!$AM$48+'TUSD BF'!$AM$48+'TUSD CVA'!$AM$48)*1*(1-0.03)</f>
        <v>638.2109172922145</v>
      </c>
      <c r="AA150" s="70">
        <f>('TE BE'!$AA$39+'TE BF'!$AA$39+'TE CVA'!$AA$39)*1*(1-0.03)</f>
        <v>248.99139990290581</v>
      </c>
      <c r="AB150" s="70">
        <f>(SUBSIDIO!$J$150*SUBSIDIO!$V$150)*(0.06)/(1-0.06)</f>
        <v>0</v>
      </c>
      <c r="AC150" s="70">
        <f>((SUBSIDIO!$L$150*SUBSIDIO!$W$150)+(SUBSIDIO!$N$150*SUBSIDIO!$X$150))*(0.06)/(1-0.06)</f>
        <v>2991.9217536000001</v>
      </c>
      <c r="AD150" s="70">
        <f>(SUBSIDIO!$J$150*SUBSIDIO!$Y$150)*(0.03)/(1-0.03)</f>
        <v>0</v>
      </c>
      <c r="AE150" s="70">
        <f ca="1">((SUBSIDIO!$L$150*SUBSIDIO!$Z$150)+(SUBSIDIO!$N$150*SUBSIDIO!$AA$150))*(0.03)/(1-0.03)</f>
        <v>1797.3255519870545</v>
      </c>
      <c r="AF150" s="4" t="s">
        <v>707</v>
      </c>
    </row>
    <row r="151" spans="1:32" ht="11.25" customHeight="1" x14ac:dyDescent="0.25">
      <c r="A151" s="4" t="s">
        <v>21</v>
      </c>
      <c r="B151" s="4" t="s">
        <v>32</v>
      </c>
      <c r="C151" s="4" t="s">
        <v>23</v>
      </c>
      <c r="D151" s="4" t="s">
        <v>47</v>
      </c>
      <c r="E151" s="4" t="s">
        <v>48</v>
      </c>
      <c r="F151" s="4" t="s">
        <v>25</v>
      </c>
      <c r="G151" s="4" t="s">
        <v>25</v>
      </c>
      <c r="H151" s="4" t="s">
        <v>25</v>
      </c>
      <c r="I151" s="5">
        <v>44470</v>
      </c>
      <c r="J151" s="6">
        <v>0</v>
      </c>
      <c r="K151" s="70">
        <v>0</v>
      </c>
      <c r="L151" s="6">
        <v>57.7</v>
      </c>
      <c r="M151" s="70">
        <v>57.7</v>
      </c>
      <c r="N151" s="6">
        <v>57.7</v>
      </c>
      <c r="O151" s="70">
        <v>57.7</v>
      </c>
      <c r="P151" s="6">
        <v>9</v>
      </c>
      <c r="Q151" s="4" t="s">
        <v>26</v>
      </c>
      <c r="R151" s="4">
        <v>0</v>
      </c>
      <c r="S151" s="4">
        <v>0</v>
      </c>
      <c r="T151" s="4">
        <v>44</v>
      </c>
      <c r="U151" s="4">
        <v>81</v>
      </c>
      <c r="V151" s="70">
        <f>IF(ISERROR(VLOOKUP($S$151,'TAR FIN'!$A$1:$O$85,15,0)),0,VLOOKUP($S$151,'TAR FIN'!$A$1:$O$85,15,0))</f>
        <v>0</v>
      </c>
      <c r="W151" s="70">
        <f>IF(ISERROR(VLOOKUP($T$151,'TAR FIN'!$A$1:$O$85,15,0)),0,VLOOKUP($T$151,'TAR FIN'!$A$1:$O$85,15,0))*(1-0.06)</f>
        <v>478.86419999999998</v>
      </c>
      <c r="X151" s="70">
        <f>IF(ISERROR(VLOOKUP($U$151,'TAR FIN'!$A$1:$O$85,15,0)),0,VLOOKUP($U$151,'TAR FIN'!$A$1:$O$85,15,0))*(1-0.06)</f>
        <v>236.73899999999998</v>
      </c>
      <c r="Y151" s="70"/>
      <c r="Z151" s="70">
        <f ca="1">('TUSD BE'!$AM$48+'TUSD BF'!$AM$48+'TUSD CVA'!$AM$48)*1*(1-0.03)</f>
        <v>638.2109172922145</v>
      </c>
      <c r="AA151" s="70">
        <f>('TE BE'!$AA$39+'TE BF'!$AA$39+'TE CVA'!$AA$39)*1*(1-0.03)</f>
        <v>248.99139990290581</v>
      </c>
      <c r="AB151" s="70">
        <f>(SUBSIDIO!$J$151*SUBSIDIO!$V$151)*(0.06)/(1-0.06)</f>
        <v>0</v>
      </c>
      <c r="AC151" s="70">
        <f>((SUBSIDIO!$L$151*SUBSIDIO!$W$151)+(SUBSIDIO!$N$151*SUBSIDIO!$X$151))*(0.06)/(1-0.06)</f>
        <v>2635.5513599999999</v>
      </c>
      <c r="AD151" s="70">
        <f>(SUBSIDIO!$J$151*SUBSIDIO!$Y$151)*(0.03)/(1-0.03)</f>
        <v>0</v>
      </c>
      <c r="AE151" s="70">
        <f ca="1">((SUBSIDIO!$L$151*SUBSIDIO!$Z$151)+(SUBSIDIO!$N$151*SUBSIDIO!$AA$151))*(0.03)/(1-0.03)</f>
        <v>1583.2445474894364</v>
      </c>
      <c r="AF151" s="4" t="s">
        <v>707</v>
      </c>
    </row>
    <row r="152" spans="1:32" ht="11.25" customHeight="1" x14ac:dyDescent="0.25">
      <c r="A152" s="4" t="s">
        <v>21</v>
      </c>
      <c r="B152" s="4" t="s">
        <v>32</v>
      </c>
      <c r="C152" s="4" t="s">
        <v>23</v>
      </c>
      <c r="D152" s="4" t="s">
        <v>47</v>
      </c>
      <c r="E152" s="4" t="s">
        <v>48</v>
      </c>
      <c r="F152" s="4" t="s">
        <v>25</v>
      </c>
      <c r="G152" s="4" t="s">
        <v>25</v>
      </c>
      <c r="H152" s="4" t="s">
        <v>25</v>
      </c>
      <c r="I152" s="5">
        <v>44501</v>
      </c>
      <c r="J152" s="6">
        <v>0</v>
      </c>
      <c r="K152" s="70">
        <v>0</v>
      </c>
      <c r="L152" s="6">
        <v>66.826999999999998</v>
      </c>
      <c r="M152" s="70">
        <v>66.826999999999998</v>
      </c>
      <c r="N152" s="6">
        <v>66.826999999999998</v>
      </c>
      <c r="O152" s="70">
        <v>66.826999999999998</v>
      </c>
      <c r="P152" s="6">
        <v>9</v>
      </c>
      <c r="Q152" s="4" t="s">
        <v>26</v>
      </c>
      <c r="R152" s="4">
        <v>0</v>
      </c>
      <c r="S152" s="4">
        <v>0</v>
      </c>
      <c r="T152" s="4">
        <v>44</v>
      </c>
      <c r="U152" s="4">
        <v>81</v>
      </c>
      <c r="V152" s="70">
        <f>IF(ISERROR(VLOOKUP($S$152,'TAR FIN'!$A$1:$O$85,15,0)),0,VLOOKUP($S$152,'TAR FIN'!$A$1:$O$85,15,0))</f>
        <v>0</v>
      </c>
      <c r="W152" s="70">
        <f>IF(ISERROR(VLOOKUP($T$152,'TAR FIN'!$A$1:$O$85,15,0)),0,VLOOKUP($T$152,'TAR FIN'!$A$1:$O$85,15,0))*(1-0.06)</f>
        <v>478.86419999999998</v>
      </c>
      <c r="X152" s="70">
        <f>IF(ISERROR(VLOOKUP($U$152,'TAR FIN'!$A$1:$O$85,15,0)),0,VLOOKUP($U$152,'TAR FIN'!$A$1:$O$85,15,0))*(1-0.06)</f>
        <v>236.73899999999998</v>
      </c>
      <c r="Y152" s="70"/>
      <c r="Z152" s="70">
        <f ca="1">('TUSD BE'!$AM$48+'TUSD BF'!$AM$48+'TUSD CVA'!$AM$48)*1*(1-0.03)</f>
        <v>638.2109172922145</v>
      </c>
      <c r="AA152" s="70">
        <f>('TE BE'!$AA$39+'TE BF'!$AA$39+'TE CVA'!$AA$39)*1*(1-0.03)</f>
        <v>248.99139990290581</v>
      </c>
      <c r="AB152" s="70">
        <f>(SUBSIDIO!$J$152*SUBSIDIO!$V$152)*(0.06)/(1-0.06)</f>
        <v>0</v>
      </c>
      <c r="AC152" s="70">
        <f>((SUBSIDIO!$L$152*SUBSIDIO!$W$152)+(SUBSIDIO!$N$152*SUBSIDIO!$X$152))*(0.06)/(1-0.06)</f>
        <v>3052.4435135999997</v>
      </c>
      <c r="AD152" s="70">
        <f>(SUBSIDIO!$J$152*SUBSIDIO!$Y$152)*(0.03)/(1-0.03)</f>
        <v>0</v>
      </c>
      <c r="AE152" s="70">
        <f ca="1">((SUBSIDIO!$L$152*SUBSIDIO!$Z$152)+(SUBSIDIO!$N$152*SUBSIDIO!$AA$152))*(0.03)/(1-0.03)</f>
        <v>1833.6825541607725</v>
      </c>
      <c r="AF152" s="4" t="s">
        <v>707</v>
      </c>
    </row>
    <row r="153" spans="1:32" ht="11.25" customHeight="1" x14ac:dyDescent="0.25">
      <c r="A153" s="4" t="s">
        <v>21</v>
      </c>
      <c r="B153" s="4" t="s">
        <v>32</v>
      </c>
      <c r="C153" s="4" t="s">
        <v>23</v>
      </c>
      <c r="D153" s="4" t="s">
        <v>47</v>
      </c>
      <c r="E153" s="4" t="s">
        <v>48</v>
      </c>
      <c r="F153" s="4" t="s">
        <v>25</v>
      </c>
      <c r="G153" s="4" t="s">
        <v>25</v>
      </c>
      <c r="H153" s="4" t="s">
        <v>25</v>
      </c>
      <c r="I153" s="5">
        <v>44531</v>
      </c>
      <c r="J153" s="6">
        <v>0</v>
      </c>
      <c r="K153" s="70">
        <v>0</v>
      </c>
      <c r="L153" s="6">
        <v>65.108999999999995</v>
      </c>
      <c r="M153" s="70">
        <v>65.108999999999995</v>
      </c>
      <c r="N153" s="6">
        <v>65.108999999999995</v>
      </c>
      <c r="O153" s="70">
        <v>65.108999999999995</v>
      </c>
      <c r="P153" s="6">
        <v>9</v>
      </c>
      <c r="Q153" s="4" t="s">
        <v>26</v>
      </c>
      <c r="R153" s="4">
        <v>0</v>
      </c>
      <c r="S153" s="4">
        <v>0</v>
      </c>
      <c r="T153" s="4">
        <v>44</v>
      </c>
      <c r="U153" s="4">
        <v>81</v>
      </c>
      <c r="V153" s="70">
        <f>IF(ISERROR(VLOOKUP($S$153,'TAR FIN'!$A$1:$O$85,15,0)),0,VLOOKUP($S$153,'TAR FIN'!$A$1:$O$85,15,0))</f>
        <v>0</v>
      </c>
      <c r="W153" s="70">
        <f>IF(ISERROR(VLOOKUP($T$153,'TAR FIN'!$A$1:$O$85,15,0)),0,VLOOKUP($T$153,'TAR FIN'!$A$1:$O$85,15,0))*(1-0.06)</f>
        <v>478.86419999999998</v>
      </c>
      <c r="X153" s="70">
        <f>IF(ISERROR(VLOOKUP($U$153,'TAR FIN'!$A$1:$O$85,15,0)),0,VLOOKUP($U$153,'TAR FIN'!$A$1:$O$85,15,0))*(1-0.06)</f>
        <v>236.73899999999998</v>
      </c>
      <c r="Y153" s="70"/>
      <c r="Z153" s="70">
        <f ca="1">('TUSD BE'!$AM$48+'TUSD BF'!$AM$48+'TUSD CVA'!$AM$48)*1*(1-0.03)</f>
        <v>638.2109172922145</v>
      </c>
      <c r="AA153" s="70">
        <f>('TE BE'!$AA$39+'TE BF'!$AA$39+'TE CVA'!$AA$39)*1*(1-0.03)</f>
        <v>248.99139990290581</v>
      </c>
      <c r="AB153" s="70">
        <f>(SUBSIDIO!$J$153*SUBSIDIO!$V$153)*(0.06)/(1-0.06)</f>
        <v>0</v>
      </c>
      <c r="AC153" s="70">
        <f>((SUBSIDIO!$L$153*SUBSIDIO!$W$153)+(SUBSIDIO!$N$153*SUBSIDIO!$X$153))*(0.06)/(1-0.06)</f>
        <v>2973.9707711999995</v>
      </c>
      <c r="AD153" s="70">
        <f>(SUBSIDIO!$J$153*SUBSIDIO!$Y$153)*(0.03)/(1-0.03)</f>
        <v>0</v>
      </c>
      <c r="AE153" s="70">
        <f ca="1">((SUBSIDIO!$L$153*SUBSIDIO!$Z$153)+(SUBSIDIO!$N$153*SUBSIDIO!$AA$153))*(0.03)/(1-0.03)</f>
        <v>1786.5419279460953</v>
      </c>
      <c r="AF153" s="4" t="s">
        <v>707</v>
      </c>
    </row>
    <row r="154" spans="1:32" ht="11.25" customHeight="1" x14ac:dyDescent="0.25">
      <c r="A154" s="4" t="s">
        <v>21</v>
      </c>
      <c r="B154" s="4" t="s">
        <v>32</v>
      </c>
      <c r="C154" s="4" t="s">
        <v>23</v>
      </c>
      <c r="D154" s="4" t="s">
        <v>47</v>
      </c>
      <c r="E154" s="4" t="s">
        <v>48</v>
      </c>
      <c r="F154" s="4" t="s">
        <v>25</v>
      </c>
      <c r="G154" s="4" t="s">
        <v>25</v>
      </c>
      <c r="H154" s="4" t="s">
        <v>25</v>
      </c>
      <c r="I154" s="5">
        <v>44562</v>
      </c>
      <c r="J154" s="6">
        <v>0</v>
      </c>
      <c r="K154" s="70">
        <v>0</v>
      </c>
      <c r="L154" s="6">
        <v>55.542000000000002</v>
      </c>
      <c r="M154" s="70">
        <v>55.542000000000002</v>
      </c>
      <c r="N154" s="6">
        <v>55.542000000000002</v>
      </c>
      <c r="O154" s="70">
        <v>55.542000000000002</v>
      </c>
      <c r="P154" s="6">
        <v>9</v>
      </c>
      <c r="Q154" s="4" t="s">
        <v>26</v>
      </c>
      <c r="R154" s="4">
        <v>0</v>
      </c>
      <c r="S154" s="4">
        <v>0</v>
      </c>
      <c r="T154" s="4">
        <v>44</v>
      </c>
      <c r="U154" s="4">
        <v>81</v>
      </c>
      <c r="V154" s="70">
        <f>IF(ISERROR(VLOOKUP($S$154,'TAR FIN'!$A$1:$O$85,15,0)),0,VLOOKUP($S$154,'TAR FIN'!$A$1:$O$85,15,0))</f>
        <v>0</v>
      </c>
      <c r="W154" s="70">
        <f>IF(ISERROR(VLOOKUP($T$154,'TAR FIN'!$A$1:$O$85,15,0)),0,VLOOKUP($T$154,'TAR FIN'!$A$1:$O$85,15,0))*(1-0.06)</f>
        <v>478.86419999999998</v>
      </c>
      <c r="X154" s="70">
        <f>IF(ISERROR(VLOOKUP($U$154,'TAR FIN'!$A$1:$O$85,15,0)),0,VLOOKUP($U$154,'TAR FIN'!$A$1:$O$85,15,0))*(1-0.06)</f>
        <v>236.73899999999998</v>
      </c>
      <c r="Y154" s="70"/>
      <c r="Z154" s="70">
        <f ca="1">('TUSD BE'!$AM$48+'TUSD BF'!$AM$48+'TUSD CVA'!$AM$48)*1*(1-0.03)</f>
        <v>638.2109172922145</v>
      </c>
      <c r="AA154" s="70">
        <f>('TE BE'!$AA$39+'TE BF'!$AA$39+'TE CVA'!$AA$39)*1*(1-0.03)</f>
        <v>248.99139990290581</v>
      </c>
      <c r="AB154" s="70">
        <f>(SUBSIDIO!$J$154*SUBSIDIO!$V$154)*(0.06)/(1-0.06)</f>
        <v>0</v>
      </c>
      <c r="AC154" s="70">
        <f>((SUBSIDIO!$L$154*SUBSIDIO!$W$154)+(SUBSIDIO!$N$154*SUBSIDIO!$X$154))*(0.06)/(1-0.06)</f>
        <v>2536.9808256000001</v>
      </c>
      <c r="AD154" s="70">
        <f>(SUBSIDIO!$J$154*SUBSIDIO!$Y$154)*(0.03)/(1-0.03)</f>
        <v>0</v>
      </c>
      <c r="AE154" s="70">
        <f ca="1">((SUBSIDIO!$L$154*SUBSIDIO!$Z$154)+(SUBSIDIO!$N$154*SUBSIDIO!$AA$154))*(0.03)/(1-0.03)</f>
        <v>1524.0306526283932</v>
      </c>
      <c r="AF154" s="4" t="s">
        <v>707</v>
      </c>
    </row>
    <row r="155" spans="1:32" ht="11.25" customHeight="1" x14ac:dyDescent="0.25">
      <c r="A155" s="4" t="s">
        <v>21</v>
      </c>
      <c r="B155" s="4" t="s">
        <v>32</v>
      </c>
      <c r="C155" s="4" t="s">
        <v>23</v>
      </c>
      <c r="D155" s="4" t="s">
        <v>47</v>
      </c>
      <c r="E155" s="4" t="s">
        <v>48</v>
      </c>
      <c r="F155" s="4" t="s">
        <v>25</v>
      </c>
      <c r="G155" s="4" t="s">
        <v>25</v>
      </c>
      <c r="H155" s="4" t="s">
        <v>25</v>
      </c>
      <c r="I155" s="5">
        <v>44593</v>
      </c>
      <c r="J155" s="6">
        <v>0</v>
      </c>
      <c r="K155" s="70">
        <v>0</v>
      </c>
      <c r="L155" s="6">
        <v>56.944000000000003</v>
      </c>
      <c r="M155" s="70">
        <v>56.944000000000003</v>
      </c>
      <c r="N155" s="6">
        <v>56.944000000000003</v>
      </c>
      <c r="O155" s="70">
        <v>56.944000000000003</v>
      </c>
      <c r="P155" s="6">
        <v>9</v>
      </c>
      <c r="Q155" s="4" t="s">
        <v>26</v>
      </c>
      <c r="R155" s="4">
        <v>0</v>
      </c>
      <c r="S155" s="4">
        <v>0</v>
      </c>
      <c r="T155" s="4">
        <v>44</v>
      </c>
      <c r="U155" s="4">
        <v>81</v>
      </c>
      <c r="V155" s="70">
        <f>IF(ISERROR(VLOOKUP($S$155,'TAR FIN'!$A$1:$O$85,15,0)),0,VLOOKUP($S$155,'TAR FIN'!$A$1:$O$85,15,0))</f>
        <v>0</v>
      </c>
      <c r="W155" s="70">
        <f>IF(ISERROR(VLOOKUP($T$155,'TAR FIN'!$A$1:$O$85,15,0)),0,VLOOKUP($T$155,'TAR FIN'!$A$1:$O$85,15,0))*(1-0.06)</f>
        <v>478.86419999999998</v>
      </c>
      <c r="X155" s="70">
        <f>IF(ISERROR(VLOOKUP($U$155,'TAR FIN'!$A$1:$O$85,15,0)),0,VLOOKUP($U$155,'TAR FIN'!$A$1:$O$85,15,0))*(1-0.06)</f>
        <v>236.73899999999998</v>
      </c>
      <c r="Y155" s="70"/>
      <c r="Z155" s="70">
        <f ca="1">('TUSD BE'!$AM$48+'TUSD BF'!$AM$48+'TUSD CVA'!$AM$48)*1*(1-0.03)</f>
        <v>638.2109172922145</v>
      </c>
      <c r="AA155" s="70">
        <f>('TE BE'!$AA$39+'TE BF'!$AA$39+'TE CVA'!$AA$39)*1*(1-0.03)</f>
        <v>248.99139990290581</v>
      </c>
      <c r="AB155" s="70">
        <f>(SUBSIDIO!$J$155*SUBSIDIO!$V$155)*(0.06)/(1-0.06)</f>
        <v>0</v>
      </c>
      <c r="AC155" s="70">
        <f>((SUBSIDIO!$L$155*SUBSIDIO!$W$155)+(SUBSIDIO!$N$155*SUBSIDIO!$X$155))*(0.06)/(1-0.06)</f>
        <v>2601.0196992000001</v>
      </c>
      <c r="AD155" s="70">
        <f>(SUBSIDIO!$J$155*SUBSIDIO!$Y$155)*(0.03)/(1-0.03)</f>
        <v>0</v>
      </c>
      <c r="AE155" s="70">
        <f ca="1">((SUBSIDIO!$L$155*SUBSIDIO!$Z$155)+(SUBSIDIO!$N$155*SUBSIDIO!$AA$155))*(0.03)/(1-0.03)</f>
        <v>1562.5004768152248</v>
      </c>
      <c r="AF155" s="4" t="s">
        <v>707</v>
      </c>
    </row>
    <row r="156" spans="1:32" ht="11.25" customHeight="1" x14ac:dyDescent="0.25">
      <c r="A156" s="4" t="s">
        <v>21</v>
      </c>
      <c r="B156" s="4" t="s">
        <v>32</v>
      </c>
      <c r="C156" s="4" t="s">
        <v>23</v>
      </c>
      <c r="D156" s="4" t="s">
        <v>47</v>
      </c>
      <c r="E156" s="4" t="s">
        <v>48</v>
      </c>
      <c r="F156" s="4" t="s">
        <v>25</v>
      </c>
      <c r="G156" s="4" t="s">
        <v>25</v>
      </c>
      <c r="H156" s="4" t="s">
        <v>25</v>
      </c>
      <c r="I156" s="5">
        <v>44621</v>
      </c>
      <c r="J156" s="6">
        <v>0</v>
      </c>
      <c r="K156" s="70">
        <v>0</v>
      </c>
      <c r="L156" s="6">
        <v>61.503999999999998</v>
      </c>
      <c r="M156" s="70">
        <v>61.503999999999998</v>
      </c>
      <c r="N156" s="6">
        <v>61.503999999999998</v>
      </c>
      <c r="O156" s="70">
        <v>61.503999999999998</v>
      </c>
      <c r="P156" s="6">
        <v>9</v>
      </c>
      <c r="Q156" s="4" t="s">
        <v>26</v>
      </c>
      <c r="R156" s="4">
        <v>0</v>
      </c>
      <c r="S156" s="4">
        <v>0</v>
      </c>
      <c r="T156" s="4">
        <v>44</v>
      </c>
      <c r="U156" s="4">
        <v>81</v>
      </c>
      <c r="V156" s="70">
        <f>IF(ISERROR(VLOOKUP($S$156,'TAR FIN'!$A$1:$O$85,15,0)),0,VLOOKUP($S$156,'TAR FIN'!$A$1:$O$85,15,0))</f>
        <v>0</v>
      </c>
      <c r="W156" s="70">
        <f>IF(ISERROR(VLOOKUP($T$156,'TAR FIN'!$A$1:$O$85,15,0)),0,VLOOKUP($T$156,'TAR FIN'!$A$1:$O$85,15,0))*(1-0.06)</f>
        <v>478.86419999999998</v>
      </c>
      <c r="X156" s="70">
        <f>IF(ISERROR(VLOOKUP($U$156,'TAR FIN'!$A$1:$O$85,15,0)),0,VLOOKUP($U$156,'TAR FIN'!$A$1:$O$85,15,0))*(1-0.06)</f>
        <v>236.73899999999998</v>
      </c>
      <c r="Y156" s="70"/>
      <c r="Z156" s="70">
        <f ca="1">('TUSD BE'!$AM$48+'TUSD BF'!$AM$48+'TUSD CVA'!$AM$48)*1*(1-0.03)</f>
        <v>638.2109172922145</v>
      </c>
      <c r="AA156" s="70">
        <f>('TE BE'!$AA$39+'TE BF'!$AA$39+'TE CVA'!$AA$39)*1*(1-0.03)</f>
        <v>248.99139990290581</v>
      </c>
      <c r="AB156" s="70">
        <f>(SUBSIDIO!$J$156*SUBSIDIO!$V$156)*(0.06)/(1-0.06)</f>
        <v>0</v>
      </c>
      <c r="AC156" s="70">
        <f>((SUBSIDIO!$L$156*SUBSIDIO!$W$156)+(SUBSIDIO!$N$156*SUBSIDIO!$X$156))*(0.06)/(1-0.06)</f>
        <v>2809.3059071999996</v>
      </c>
      <c r="AD156" s="70">
        <f>(SUBSIDIO!$J$156*SUBSIDIO!$Y$156)*(0.03)/(1-0.03)</f>
        <v>0</v>
      </c>
      <c r="AE156" s="70">
        <f ca="1">((SUBSIDIO!$L$156*SUBSIDIO!$Z$156)+(SUBSIDIO!$N$156*SUBSIDIO!$AA$156))*(0.03)/(1-0.03)</f>
        <v>1687.62344278666</v>
      </c>
      <c r="AF156" s="4" t="s">
        <v>707</v>
      </c>
    </row>
    <row r="157" spans="1:32" ht="11.25" customHeight="1" x14ac:dyDescent="0.25">
      <c r="A157" s="4" t="s">
        <v>21</v>
      </c>
      <c r="B157" s="4" t="s">
        <v>32</v>
      </c>
      <c r="C157" s="4" t="s">
        <v>23</v>
      </c>
      <c r="D157" s="4" t="s">
        <v>47</v>
      </c>
      <c r="E157" s="4" t="s">
        <v>48</v>
      </c>
      <c r="F157" s="4" t="s">
        <v>25</v>
      </c>
      <c r="G157" s="4" t="s">
        <v>25</v>
      </c>
      <c r="H157" s="4" t="s">
        <v>25</v>
      </c>
      <c r="I157" s="5">
        <v>44652</v>
      </c>
      <c r="J157" s="6">
        <v>0</v>
      </c>
      <c r="K157" s="70">
        <v>0</v>
      </c>
      <c r="L157" s="6">
        <v>74.944000000000003</v>
      </c>
      <c r="M157" s="70">
        <v>74.944000000000003</v>
      </c>
      <c r="N157" s="6">
        <v>74.944000000000003</v>
      </c>
      <c r="O157" s="70">
        <v>74.944000000000003</v>
      </c>
      <c r="P157" s="6">
        <v>9</v>
      </c>
      <c r="Q157" s="4" t="s">
        <v>26</v>
      </c>
      <c r="R157" s="4">
        <v>0</v>
      </c>
      <c r="S157" s="4">
        <v>0</v>
      </c>
      <c r="T157" s="4">
        <v>44</v>
      </c>
      <c r="U157" s="4">
        <v>81</v>
      </c>
      <c r="V157" s="70">
        <f>IF(ISERROR(VLOOKUP($S$157,'TAR FIN'!$A$1:$O$85,15,0)),0,VLOOKUP($S$157,'TAR FIN'!$A$1:$O$85,15,0))</f>
        <v>0</v>
      </c>
      <c r="W157" s="70">
        <f>IF(ISERROR(VLOOKUP($T$157,'TAR FIN'!$A$1:$O$85,15,0)),0,VLOOKUP($T$157,'TAR FIN'!$A$1:$O$85,15,0))*(1-0.06)</f>
        <v>478.86419999999998</v>
      </c>
      <c r="X157" s="70">
        <f>IF(ISERROR(VLOOKUP($U$157,'TAR FIN'!$A$1:$O$85,15,0)),0,VLOOKUP($U$157,'TAR FIN'!$A$1:$O$85,15,0))*(1-0.06)</f>
        <v>236.73899999999998</v>
      </c>
      <c r="Y157" s="70"/>
      <c r="Z157" s="70">
        <f ca="1">('TUSD BE'!$AM$48+'TUSD BF'!$AM$48+'TUSD CVA'!$AM$48)*1*(1-0.03)</f>
        <v>638.2109172922145</v>
      </c>
      <c r="AA157" s="70">
        <f>('TE BE'!$AA$39+'TE BF'!$AA$39+'TE CVA'!$AA$39)*1*(1-0.03)</f>
        <v>248.99139990290581</v>
      </c>
      <c r="AB157" s="70">
        <f>(SUBSIDIO!$J$157*SUBSIDIO!$V$157)*(0.06)/(1-0.06)</f>
        <v>0</v>
      </c>
      <c r="AC157" s="70">
        <f>((SUBSIDIO!$L$157*SUBSIDIO!$W$157)+(SUBSIDIO!$N$157*SUBSIDIO!$X$157))*(0.06)/(1-0.06)</f>
        <v>3423.2020991999998</v>
      </c>
      <c r="AD157" s="70">
        <f>(SUBSIDIO!$J$157*SUBSIDIO!$Y$157)*(0.03)/(1-0.03)</f>
        <v>0</v>
      </c>
      <c r="AE157" s="70">
        <f ca="1">((SUBSIDIO!$L$157*SUBSIDIO!$Z$157)+(SUBSIDIO!$N$157*SUBSIDIO!$AA$157))*(0.03)/(1-0.03)</f>
        <v>2056.4069214393121</v>
      </c>
      <c r="AF157" s="4" t="s">
        <v>707</v>
      </c>
    </row>
    <row r="158" spans="1:32" ht="11.25" customHeight="1" x14ac:dyDescent="0.25"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 spans="1:32" ht="11.25" customHeight="1" x14ac:dyDescent="0.25"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 spans="1:32" ht="11.25" customHeight="1" x14ac:dyDescent="0.25"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 spans="22:31" ht="11.25" customHeight="1" x14ac:dyDescent="0.25"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 spans="22:31" ht="11.25" customHeight="1" x14ac:dyDescent="0.25"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 spans="22:31" ht="11.25" customHeight="1" x14ac:dyDescent="0.25"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 spans="22:31" ht="11.25" customHeight="1" x14ac:dyDescent="0.25"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 spans="22:31" ht="11.25" customHeight="1" x14ac:dyDescent="0.25">
      <c r="V165" s="6"/>
      <c r="W165" s="6"/>
      <c r="X165" s="6"/>
      <c r="Y165" s="6"/>
      <c r="Z165" s="6"/>
      <c r="AA165" s="6"/>
      <c r="AB165" s="6"/>
      <c r="AC165" s="6"/>
      <c r="AD165" s="6"/>
      <c r="AE165" s="6"/>
    </row>
    <row r="166" spans="22:31" ht="11.25" customHeight="1" x14ac:dyDescent="0.25"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 spans="22:31" ht="11.25" customHeight="1" x14ac:dyDescent="0.25">
      <c r="V167" s="6"/>
      <c r="W167" s="6"/>
      <c r="X167" s="6"/>
      <c r="Y167" s="6"/>
      <c r="Z167" s="6"/>
      <c r="AA167" s="6"/>
      <c r="AB167" s="6"/>
      <c r="AC167" s="6"/>
      <c r="AD167" s="6"/>
      <c r="AE167" s="6"/>
    </row>
    <row r="168" spans="22:31" ht="11.25" customHeight="1" x14ac:dyDescent="0.25"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 spans="22:31" ht="11.25" customHeight="1" x14ac:dyDescent="0.25"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 spans="22:31" ht="11.25" customHeight="1" x14ac:dyDescent="0.25"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 spans="22:31" ht="11.25" customHeight="1" x14ac:dyDescent="0.25"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 spans="22:31" ht="11.25" customHeight="1" x14ac:dyDescent="0.25"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 spans="22:31" ht="11.25" customHeight="1" x14ac:dyDescent="0.25"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 spans="22:31" ht="11.25" customHeight="1" x14ac:dyDescent="0.25"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 spans="22:31" ht="11.25" customHeight="1" x14ac:dyDescent="0.25"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 spans="22:31" ht="11.25" customHeight="1" x14ac:dyDescent="0.25"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spans="22:31" ht="11.25" customHeight="1" x14ac:dyDescent="0.25"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spans="22:31" ht="11.25" customHeight="1" x14ac:dyDescent="0.25"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spans="22:31" ht="11.25" customHeight="1" x14ac:dyDescent="0.25"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22:31" ht="11.25" customHeight="1" x14ac:dyDescent="0.25"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spans="22:31" ht="11.25" customHeight="1" x14ac:dyDescent="0.25"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22:31" ht="11.25" customHeight="1" x14ac:dyDescent="0.25"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spans="22:31" ht="11.25" customHeight="1" x14ac:dyDescent="0.25"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spans="22:31" ht="11.25" customHeight="1" x14ac:dyDescent="0.25"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 spans="22:31" ht="11.25" customHeight="1" x14ac:dyDescent="0.25"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 spans="22:31" ht="11.25" customHeight="1" x14ac:dyDescent="0.25"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 spans="22:31" ht="11.25" customHeight="1" x14ac:dyDescent="0.25"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 spans="22:31" ht="11.25" customHeight="1" x14ac:dyDescent="0.25"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 spans="22:31" ht="11.25" customHeight="1" x14ac:dyDescent="0.25"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 spans="22:31" ht="11.25" customHeight="1" x14ac:dyDescent="0.25"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 spans="22:31" ht="11.25" customHeight="1" x14ac:dyDescent="0.25"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 spans="22:31" ht="11.25" customHeight="1" x14ac:dyDescent="0.25"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 spans="22:31" ht="11.25" customHeight="1" x14ac:dyDescent="0.25"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 spans="22:31" ht="11.25" customHeight="1" x14ac:dyDescent="0.25"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 spans="22:31" ht="11.25" customHeight="1" x14ac:dyDescent="0.25"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 spans="22:31" ht="11.25" customHeight="1" x14ac:dyDescent="0.25"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 spans="22:31" ht="11.25" customHeight="1" x14ac:dyDescent="0.25"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 spans="22:31" ht="11.25" customHeight="1" x14ac:dyDescent="0.25"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 spans="22:31" ht="11.25" customHeight="1" x14ac:dyDescent="0.25"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 spans="22:31" ht="11.25" customHeight="1" x14ac:dyDescent="0.25"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 spans="22:31" ht="11.25" customHeight="1" x14ac:dyDescent="0.25"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 spans="22:31" ht="11.25" customHeight="1" x14ac:dyDescent="0.25"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 spans="22:31" ht="11.25" customHeight="1" x14ac:dyDescent="0.25"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 spans="22:31" ht="11.25" customHeight="1" x14ac:dyDescent="0.25"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 spans="22:31" ht="11.25" customHeight="1" x14ac:dyDescent="0.25"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 spans="22:31" ht="11.25" customHeight="1" x14ac:dyDescent="0.25"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 spans="22:31" ht="11.25" customHeight="1" x14ac:dyDescent="0.25"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 spans="22:31" ht="11.25" customHeight="1" x14ac:dyDescent="0.25"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 spans="22:31" ht="11.25" customHeight="1" x14ac:dyDescent="0.25"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 spans="22:31" ht="11.25" customHeight="1" x14ac:dyDescent="0.25"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 spans="22:31" ht="11.25" customHeight="1" x14ac:dyDescent="0.25"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 spans="22:31" ht="11.25" customHeight="1" x14ac:dyDescent="0.25"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 spans="22:31" ht="11.25" customHeight="1" x14ac:dyDescent="0.25"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 spans="22:31" ht="11.25" customHeight="1" x14ac:dyDescent="0.25"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 spans="22:31" ht="11.25" customHeight="1" x14ac:dyDescent="0.25"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 spans="22:31" ht="11.25" customHeight="1" x14ac:dyDescent="0.25"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 spans="22:31" ht="11.25" customHeight="1" x14ac:dyDescent="0.25"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 spans="22:31" ht="11.25" customHeight="1" x14ac:dyDescent="0.25"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 spans="22:31" ht="11.25" customHeight="1" x14ac:dyDescent="0.25"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 spans="22:31" ht="11.25" customHeight="1" x14ac:dyDescent="0.25"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 spans="22:31" ht="11.25" customHeight="1" x14ac:dyDescent="0.25"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 spans="22:31" ht="11.25" customHeight="1" x14ac:dyDescent="0.25"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 spans="22:31" ht="11.25" customHeight="1" x14ac:dyDescent="0.25"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 spans="22:31" ht="11.25" customHeight="1" x14ac:dyDescent="0.25"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 spans="22:31" ht="11.25" customHeight="1" x14ac:dyDescent="0.25"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 spans="22:31" ht="11.25" customHeight="1" x14ac:dyDescent="0.25"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 spans="22:31" ht="11.25" customHeight="1" x14ac:dyDescent="0.25"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 spans="22:31" ht="11.25" customHeight="1" x14ac:dyDescent="0.25"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 spans="22:31" ht="11.25" customHeight="1" x14ac:dyDescent="0.25"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 spans="22:31" ht="11.25" customHeight="1" x14ac:dyDescent="0.25"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 spans="22:31" ht="11.25" customHeight="1" x14ac:dyDescent="0.25"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 spans="22:31" ht="11.25" customHeight="1" x14ac:dyDescent="0.25"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 spans="22:31" ht="11.25" customHeight="1" x14ac:dyDescent="0.25"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 spans="22:31" ht="11.25" customHeight="1" x14ac:dyDescent="0.25"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 spans="22:31" ht="11.25" customHeight="1" x14ac:dyDescent="0.25"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 spans="22:31" ht="11.25" customHeight="1" x14ac:dyDescent="0.25"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 spans="22:31" ht="11.25" customHeight="1" x14ac:dyDescent="0.25"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 spans="22:31" ht="11.25" customHeight="1" x14ac:dyDescent="0.25"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 spans="22:31" ht="11.25" customHeight="1" x14ac:dyDescent="0.25"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 spans="22:31" ht="11.25" customHeight="1" x14ac:dyDescent="0.25"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 spans="22:31" ht="11.25" customHeight="1" x14ac:dyDescent="0.25"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 spans="22:31" ht="11.25" customHeight="1" x14ac:dyDescent="0.25"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 spans="22:31" ht="11.25" customHeight="1" x14ac:dyDescent="0.25"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 spans="22:31" ht="11.25" customHeight="1" x14ac:dyDescent="0.25"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 spans="22:31" ht="11.25" customHeight="1" x14ac:dyDescent="0.25"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 spans="22:31" ht="11.25" customHeight="1" x14ac:dyDescent="0.25"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 spans="22:31" ht="11.25" customHeight="1" x14ac:dyDescent="0.25"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 spans="22:31" ht="11.25" customHeight="1" x14ac:dyDescent="0.25"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 spans="22:31" ht="11.25" customHeight="1" x14ac:dyDescent="0.25"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 spans="22:31" ht="11.25" customHeight="1" x14ac:dyDescent="0.25"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 spans="22:31" ht="11.25" customHeight="1" x14ac:dyDescent="0.25"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 spans="22:31" ht="11.25" customHeight="1" x14ac:dyDescent="0.25"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 spans="22:31" ht="11.25" customHeight="1" x14ac:dyDescent="0.25"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 spans="22:31" ht="11.25" customHeight="1" x14ac:dyDescent="0.25"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 spans="22:31" ht="11.25" customHeight="1" x14ac:dyDescent="0.25"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 spans="22:31" ht="11.25" customHeight="1" x14ac:dyDescent="0.25"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 spans="22:31" ht="11.25" customHeight="1" x14ac:dyDescent="0.25"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 spans="22:31" ht="11.25" customHeight="1" x14ac:dyDescent="0.25"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 spans="22:31" ht="11.25" customHeight="1" x14ac:dyDescent="0.25"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 spans="22:31" ht="11.25" customHeight="1" x14ac:dyDescent="0.25"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 spans="22:31" ht="11.25" customHeight="1" x14ac:dyDescent="0.25"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 spans="22:31" ht="11.25" customHeight="1" x14ac:dyDescent="0.25"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 spans="22:31" ht="11.25" customHeight="1" x14ac:dyDescent="0.25"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 spans="22:31" ht="11.25" customHeight="1" x14ac:dyDescent="0.25"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 spans="22:31" ht="11.25" customHeight="1" x14ac:dyDescent="0.25"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 spans="22:31" ht="11.25" customHeight="1" x14ac:dyDescent="0.25"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 spans="22:31" ht="11.25" customHeight="1" x14ac:dyDescent="0.25"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 spans="22:31" ht="11.25" customHeight="1" x14ac:dyDescent="0.25"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 spans="22:31" ht="11.25" customHeight="1" x14ac:dyDescent="0.25"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 spans="22:31" ht="11.25" customHeight="1" x14ac:dyDescent="0.25"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 spans="22:31" ht="11.25" customHeight="1" x14ac:dyDescent="0.25"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 spans="22:31" ht="11.25" customHeight="1" x14ac:dyDescent="0.25"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 spans="22:31" ht="11.25" customHeight="1" x14ac:dyDescent="0.25"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 spans="22:31" ht="11.25" customHeight="1" x14ac:dyDescent="0.25"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 spans="22:31" ht="11.25" customHeight="1" x14ac:dyDescent="0.25"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 spans="22:31" ht="11.25" customHeight="1" x14ac:dyDescent="0.25"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 spans="22:31" ht="11.25" customHeight="1" x14ac:dyDescent="0.25"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 spans="22:31" ht="11.25" customHeight="1" x14ac:dyDescent="0.25"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 spans="22:31" ht="11.25" customHeight="1" x14ac:dyDescent="0.25"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 spans="22:31" ht="11.25" customHeight="1" x14ac:dyDescent="0.25"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 spans="22:31" ht="11.25" customHeight="1" x14ac:dyDescent="0.25"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 spans="22:31" ht="11.25" customHeight="1" x14ac:dyDescent="0.25"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 spans="22:31" ht="11.25" customHeight="1" x14ac:dyDescent="0.25"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 spans="22:31" ht="11.25" customHeight="1" x14ac:dyDescent="0.25"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 spans="22:31" ht="11.25" customHeight="1" x14ac:dyDescent="0.25"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 spans="22:31" ht="11.25" customHeight="1" x14ac:dyDescent="0.25"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 spans="22:31" ht="11.25" customHeight="1" x14ac:dyDescent="0.25"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 spans="22:31" ht="11.25" customHeight="1" x14ac:dyDescent="0.25"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 spans="22:31" ht="11.25" customHeight="1" x14ac:dyDescent="0.25"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 spans="22:31" ht="11.25" customHeight="1" x14ac:dyDescent="0.25"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 spans="22:31" ht="11.25" customHeight="1" x14ac:dyDescent="0.25"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 spans="22:31" ht="11.25" customHeight="1" x14ac:dyDescent="0.25"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 spans="22:31" ht="11.25" customHeight="1" x14ac:dyDescent="0.25"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 spans="22:31" ht="11.25" customHeight="1" x14ac:dyDescent="0.25"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 spans="22:31" ht="11.25" customHeight="1" x14ac:dyDescent="0.25"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 spans="22:31" ht="11.25" customHeight="1" x14ac:dyDescent="0.25"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 spans="22:31" ht="11.25" customHeight="1" x14ac:dyDescent="0.25"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 spans="22:31" ht="11.25" customHeight="1" x14ac:dyDescent="0.25"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 spans="22:31" ht="11.25" customHeight="1" x14ac:dyDescent="0.25"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 spans="22:31" ht="11.25" customHeight="1" x14ac:dyDescent="0.25"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 spans="22:31" ht="11.25" customHeight="1" x14ac:dyDescent="0.25"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 spans="22:31" ht="11.25" customHeight="1" x14ac:dyDescent="0.25"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 spans="22:31" ht="11.25" customHeight="1" x14ac:dyDescent="0.25"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 spans="22:31" ht="11.25" customHeight="1" x14ac:dyDescent="0.25"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 spans="22:31" ht="11.25" customHeight="1" x14ac:dyDescent="0.25"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 spans="22:31" ht="11.25" customHeight="1" x14ac:dyDescent="0.25"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 spans="22:31" ht="11.25" customHeight="1" x14ac:dyDescent="0.25"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 spans="22:31" ht="11.25" customHeight="1" x14ac:dyDescent="0.25"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 spans="22:31" ht="11.25" customHeight="1" x14ac:dyDescent="0.25"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 spans="22:31" ht="11.25" customHeight="1" x14ac:dyDescent="0.25"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 spans="22:31" ht="11.25" customHeight="1" x14ac:dyDescent="0.25"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 spans="22:31" ht="11.25" customHeight="1" x14ac:dyDescent="0.25"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 spans="22:31" ht="11.25" customHeight="1" x14ac:dyDescent="0.25"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 spans="22:31" ht="11.25" customHeight="1" x14ac:dyDescent="0.25"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 spans="22:31" ht="11.25" customHeight="1" x14ac:dyDescent="0.25"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 spans="22:31" ht="11.25" customHeight="1" x14ac:dyDescent="0.25"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 spans="22:31" ht="11.25" customHeight="1" x14ac:dyDescent="0.25"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 spans="22:31" ht="11.25" customHeight="1" x14ac:dyDescent="0.25"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 spans="22:31" ht="11.25" customHeight="1" x14ac:dyDescent="0.25"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 spans="22:31" ht="11.25" customHeight="1" x14ac:dyDescent="0.25"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 spans="22:31" ht="11.25" customHeight="1" x14ac:dyDescent="0.25"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 spans="22:31" ht="11.25" customHeight="1" x14ac:dyDescent="0.25"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 spans="22:31" ht="11.25" customHeight="1" x14ac:dyDescent="0.25"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 spans="22:31" ht="11.25" customHeight="1" x14ac:dyDescent="0.25"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 spans="22:31" ht="11.25" customHeight="1" x14ac:dyDescent="0.25"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 spans="22:31" ht="11.25" customHeight="1" x14ac:dyDescent="0.25"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 spans="22:31" ht="11.25" customHeight="1" x14ac:dyDescent="0.25"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 spans="22:31" ht="11.25" customHeight="1" x14ac:dyDescent="0.25"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 spans="22:31" ht="11.25" customHeight="1" x14ac:dyDescent="0.25"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  <row r="330" spans="22:31" ht="11.25" customHeight="1" x14ac:dyDescent="0.25"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  <row r="331" spans="22:31" ht="11.25" customHeight="1" x14ac:dyDescent="0.25">
      <c r="V331" s="6"/>
      <c r="W331" s="6"/>
      <c r="X331" s="6"/>
      <c r="Y331" s="6"/>
      <c r="Z331" s="6"/>
      <c r="AA331" s="6"/>
      <c r="AB331" s="6"/>
      <c r="AC331" s="6"/>
      <c r="AD331" s="6"/>
      <c r="AE331" s="6"/>
    </row>
    <row r="332" spans="22:31" ht="11.25" customHeight="1" x14ac:dyDescent="0.25">
      <c r="V332" s="6"/>
      <c r="W332" s="6"/>
      <c r="X332" s="6"/>
      <c r="Y332" s="6"/>
      <c r="Z332" s="6"/>
      <c r="AA332" s="6"/>
      <c r="AB332" s="6"/>
      <c r="AC332" s="6"/>
      <c r="AD332" s="6"/>
      <c r="AE332" s="6"/>
    </row>
    <row r="333" spans="22:31" ht="11.25" customHeight="1" x14ac:dyDescent="0.25"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40FB7-69AC-4641-963C-21C4E5269795}">
  <dimension ref="A1:J402"/>
  <sheetViews>
    <sheetView showGridLines="0" workbookViewId="0"/>
  </sheetViews>
  <sheetFormatPr defaultRowHeight="11.25" customHeight="1" x14ac:dyDescent="0.2"/>
  <cols>
    <col min="1" max="1" width="34.7109375" style="16" bestFit="1" customWidth="1"/>
    <col min="2" max="2" width="24.5703125" style="57" bestFit="1" customWidth="1"/>
    <col min="3" max="3" width="25.5703125" style="57" bestFit="1" customWidth="1"/>
    <col min="4" max="4" width="26" style="57" bestFit="1" customWidth="1"/>
    <col min="5" max="5" width="26.85546875" style="57" bestFit="1" customWidth="1"/>
    <col min="6" max="6" width="23.7109375" style="57" bestFit="1" customWidth="1"/>
    <col min="7" max="7" width="24.5703125" style="57" bestFit="1" customWidth="1"/>
    <col min="8" max="8" width="18.28515625" style="58" bestFit="1" customWidth="1"/>
    <col min="9" max="9" width="16" style="58" bestFit="1" customWidth="1"/>
    <col min="10" max="10" width="13.85546875" style="58" bestFit="1" customWidth="1"/>
    <col min="11" max="16384" width="9.140625" style="16"/>
  </cols>
  <sheetData>
    <row r="1" spans="1:10" ht="11.25" customHeight="1" x14ac:dyDescent="0.2">
      <c r="A1" s="56" t="s">
        <v>689</v>
      </c>
      <c r="B1" s="57" t="s">
        <v>690</v>
      </c>
      <c r="C1" s="57" t="s">
        <v>691</v>
      </c>
      <c r="D1" s="57" t="s">
        <v>692</v>
      </c>
      <c r="E1" s="57" t="s">
        <v>693</v>
      </c>
      <c r="F1" s="57" t="s">
        <v>694</v>
      </c>
      <c r="G1" s="57" t="s">
        <v>695</v>
      </c>
      <c r="H1" s="58" t="s">
        <v>696</v>
      </c>
      <c r="I1" s="58" t="s">
        <v>697</v>
      </c>
      <c r="J1" s="58" t="s">
        <v>698</v>
      </c>
    </row>
    <row r="2" spans="1:10" ht="11.25" customHeight="1" x14ac:dyDescent="0.2">
      <c r="A2" s="59" t="s">
        <v>26</v>
      </c>
      <c r="B2" s="57">
        <v>65314</v>
      </c>
      <c r="C2" s="57">
        <v>81146.993603881871</v>
      </c>
      <c r="D2" s="57">
        <v>4452532.8510949984</v>
      </c>
      <c r="E2" s="57">
        <v>5843159.6151953498</v>
      </c>
      <c r="F2" s="57">
        <v>2296985.8248389978</v>
      </c>
      <c r="G2" s="57">
        <v>2372471.5236263722</v>
      </c>
      <c r="H2" s="58">
        <v>0.31131195989154503</v>
      </c>
      <c r="I2" s="58">
        <v>3.28629362754842E-2</v>
      </c>
      <c r="J2" s="58">
        <v>0.21745881769408193</v>
      </c>
    </row>
    <row r="3" spans="1:10" ht="11.25" customHeight="1" x14ac:dyDescent="0.2">
      <c r="A3" s="60" t="s">
        <v>34</v>
      </c>
      <c r="B3" s="57">
        <v>65314</v>
      </c>
      <c r="C3" s="57">
        <v>81146.993603881871</v>
      </c>
      <c r="D3" s="57">
        <v>20333.969260000002</v>
      </c>
      <c r="E3" s="57">
        <v>27722.214684846622</v>
      </c>
      <c r="F3" s="57">
        <v>78783.213299999974</v>
      </c>
      <c r="G3" s="57">
        <v>80038.708564579327</v>
      </c>
      <c r="H3" s="58">
        <v>0.27112422196767083</v>
      </c>
      <c r="I3" s="58">
        <v>1.5936075871880506E-2</v>
      </c>
      <c r="J3" s="58">
        <v>0.14885701064867307</v>
      </c>
    </row>
    <row r="4" spans="1:10" ht="11.25" customHeight="1" x14ac:dyDescent="0.2">
      <c r="A4" s="61" t="s">
        <v>35</v>
      </c>
      <c r="B4" s="57">
        <v>65314</v>
      </c>
      <c r="C4" s="57">
        <v>81146.993603881871</v>
      </c>
      <c r="D4" s="57">
        <v>20333.969260000002</v>
      </c>
      <c r="E4" s="57">
        <v>27722.214684846622</v>
      </c>
      <c r="F4" s="57">
        <v>78783.213299999974</v>
      </c>
      <c r="G4" s="57">
        <v>80038.708564579327</v>
      </c>
      <c r="H4" s="58">
        <v>0.27112422196767083</v>
      </c>
      <c r="I4" s="58">
        <v>1.5936075871880506E-2</v>
      </c>
      <c r="J4" s="58">
        <v>0.14885701064867307</v>
      </c>
    </row>
    <row r="5" spans="1:10" ht="11.25" customHeight="1" x14ac:dyDescent="0.2">
      <c r="A5" s="62" t="s">
        <v>33</v>
      </c>
      <c r="B5" s="57">
        <v>65314</v>
      </c>
      <c r="C5" s="57">
        <v>81146.993603881871</v>
      </c>
      <c r="D5" s="57">
        <v>20333.969260000002</v>
      </c>
      <c r="E5" s="57">
        <v>27722.214684846622</v>
      </c>
      <c r="F5" s="57">
        <v>78783.213299999974</v>
      </c>
      <c r="G5" s="57">
        <v>80038.708564579327</v>
      </c>
      <c r="H5" s="58">
        <v>0.27112422196767083</v>
      </c>
      <c r="I5" s="58">
        <v>1.5936075871880506E-2</v>
      </c>
      <c r="J5" s="58">
        <v>0.14885701064867307</v>
      </c>
    </row>
    <row r="6" spans="1:10" ht="11.25" customHeight="1" x14ac:dyDescent="0.2">
      <c r="A6" s="63" t="s">
        <v>25</v>
      </c>
      <c r="B6" s="57">
        <v>65314</v>
      </c>
      <c r="C6" s="57">
        <v>81146.993603881871</v>
      </c>
      <c r="D6" s="57">
        <v>20333.969260000002</v>
      </c>
      <c r="E6" s="57">
        <v>27722.214684846622</v>
      </c>
      <c r="F6" s="57">
        <v>78783.213299999974</v>
      </c>
      <c r="G6" s="57">
        <v>80038.708564579327</v>
      </c>
      <c r="H6" s="58">
        <v>0.27112422196767083</v>
      </c>
      <c r="I6" s="58">
        <v>1.5936075871880506E-2</v>
      </c>
      <c r="J6" s="58">
        <v>0.14885701064867307</v>
      </c>
    </row>
    <row r="7" spans="1:10" ht="11.25" customHeight="1" x14ac:dyDescent="0.2">
      <c r="A7" s="64" t="s">
        <v>25</v>
      </c>
      <c r="B7" s="57">
        <v>65314</v>
      </c>
      <c r="C7" s="57">
        <v>81146.993603881871</v>
      </c>
      <c r="D7" s="57">
        <v>20333.969260000002</v>
      </c>
      <c r="E7" s="57">
        <v>27722.214684846622</v>
      </c>
      <c r="F7" s="57">
        <v>78783.213299999974</v>
      </c>
      <c r="G7" s="57">
        <v>80038.708564579327</v>
      </c>
      <c r="H7" s="58">
        <v>0.27112422196767083</v>
      </c>
      <c r="I7" s="58">
        <v>1.5936075871880506E-2</v>
      </c>
      <c r="J7" s="58">
        <v>0.14885701064867307</v>
      </c>
    </row>
    <row r="8" spans="1:10" ht="11.25" customHeight="1" x14ac:dyDescent="0.2">
      <c r="A8" s="65" t="s">
        <v>25</v>
      </c>
      <c r="B8" s="57">
        <v>65314</v>
      </c>
      <c r="C8" s="57">
        <v>81146.993603881871</v>
      </c>
      <c r="D8" s="57">
        <v>20333.969260000002</v>
      </c>
      <c r="E8" s="57">
        <v>27722.214684846622</v>
      </c>
      <c r="F8" s="57">
        <v>78783.213299999974</v>
      </c>
      <c r="G8" s="57">
        <v>80038.708564579327</v>
      </c>
      <c r="H8" s="58">
        <v>0.27112422196767083</v>
      </c>
      <c r="I8" s="58">
        <v>1.5936075871880506E-2</v>
      </c>
      <c r="J8" s="58">
        <v>0.14885701064867307</v>
      </c>
    </row>
    <row r="9" spans="1:10" ht="11.25" customHeight="1" x14ac:dyDescent="0.2">
      <c r="A9" s="66" t="s">
        <v>37</v>
      </c>
      <c r="B9" s="57">
        <v>0</v>
      </c>
      <c r="C9" s="57">
        <v>0</v>
      </c>
      <c r="D9" s="57">
        <v>14958.037420000001</v>
      </c>
      <c r="E9" s="57">
        <v>20839.482768322432</v>
      </c>
      <c r="F9" s="57">
        <v>78205.973099999988</v>
      </c>
      <c r="G9" s="57">
        <v>79452.26942095581</v>
      </c>
      <c r="H9" s="58">
        <v>0.39319632537210425</v>
      </c>
      <c r="I9" s="58">
        <v>1.5936075871880284E-2</v>
      </c>
      <c r="J9" s="58">
        <v>7.6507458507790504E-2</v>
      </c>
    </row>
    <row r="10" spans="1:10" ht="11.25" customHeight="1" x14ac:dyDescent="0.2">
      <c r="A10" s="67">
        <v>44317</v>
      </c>
      <c r="B10" s="57">
        <v>0</v>
      </c>
      <c r="C10" s="57">
        <v>0</v>
      </c>
      <c r="D10" s="57">
        <v>996.54095999999993</v>
      </c>
      <c r="E10" s="57">
        <v>1388.377203554789</v>
      </c>
      <c r="F10" s="57">
        <v>5210.2727999999997</v>
      </c>
      <c r="G10" s="57">
        <v>5293.3041026539922</v>
      </c>
      <c r="H10" s="58">
        <v>0.39319632537210425</v>
      </c>
      <c r="I10" s="58">
        <v>1.5936075871880062E-2</v>
      </c>
      <c r="J10" s="58">
        <v>7.6507458507790282E-2</v>
      </c>
    </row>
    <row r="11" spans="1:10" ht="11.25" customHeight="1" x14ac:dyDescent="0.2">
      <c r="A11" s="67">
        <v>44348</v>
      </c>
      <c r="B11" s="57">
        <v>0</v>
      </c>
      <c r="C11" s="57">
        <v>0</v>
      </c>
      <c r="D11" s="57">
        <v>1063.40092</v>
      </c>
      <c r="E11" s="57">
        <v>1481.5262541413151</v>
      </c>
      <c r="F11" s="57">
        <v>5559.8406000000004</v>
      </c>
      <c r="G11" s="57">
        <v>5648.4426416371589</v>
      </c>
      <c r="H11" s="58">
        <v>0.39319632537210425</v>
      </c>
      <c r="I11" s="58">
        <v>1.593607587187984E-2</v>
      </c>
      <c r="J11" s="58">
        <v>7.6507458507790282E-2</v>
      </c>
    </row>
    <row r="12" spans="1:10" ht="11.25" customHeight="1" x14ac:dyDescent="0.2">
      <c r="A12" s="67">
        <v>44378</v>
      </c>
      <c r="B12" s="57">
        <v>0</v>
      </c>
      <c r="C12" s="57">
        <v>0</v>
      </c>
      <c r="D12" s="57">
        <v>1062.8228799999999</v>
      </c>
      <c r="E12" s="57">
        <v>1480.720930937397</v>
      </c>
      <c r="F12" s="57">
        <v>5556.8184000000001</v>
      </c>
      <c r="G12" s="57">
        <v>5645.3722796286593</v>
      </c>
      <c r="H12" s="58">
        <v>0.39319632537210447</v>
      </c>
      <c r="I12" s="58">
        <v>1.5936075871880062E-2</v>
      </c>
      <c r="J12" s="58">
        <v>7.6507458507790282E-2</v>
      </c>
    </row>
    <row r="13" spans="1:10" ht="11.25" customHeight="1" x14ac:dyDescent="0.2">
      <c r="A13" s="67">
        <v>44409</v>
      </c>
      <c r="B13" s="57">
        <v>0</v>
      </c>
      <c r="C13" s="57">
        <v>0</v>
      </c>
      <c r="D13" s="57">
        <v>1184.30762</v>
      </c>
      <c r="E13" s="57">
        <v>1649.9730242941823</v>
      </c>
      <c r="F13" s="57">
        <v>6191.9840999999997</v>
      </c>
      <c r="G13" s="57">
        <v>6290.6600284150745</v>
      </c>
      <c r="H13" s="58">
        <v>0.39319632537210403</v>
      </c>
      <c r="I13" s="58">
        <v>1.5936075871880062E-2</v>
      </c>
      <c r="J13" s="58">
        <v>7.6507458507790282E-2</v>
      </c>
    </row>
    <row r="14" spans="1:10" ht="11.25" customHeight="1" x14ac:dyDescent="0.2">
      <c r="A14" s="67">
        <v>44440</v>
      </c>
      <c r="B14" s="57">
        <v>0</v>
      </c>
      <c r="C14" s="57">
        <v>0</v>
      </c>
      <c r="D14" s="57">
        <v>1464.8497</v>
      </c>
      <c r="E14" s="57">
        <v>2040.8232192624293</v>
      </c>
      <c r="F14" s="57">
        <v>7658.7584999999999</v>
      </c>
      <c r="G14" s="57">
        <v>7780.8090565404063</v>
      </c>
      <c r="H14" s="58">
        <v>0.39319632537210425</v>
      </c>
      <c r="I14" s="58">
        <v>1.5936075871880062E-2</v>
      </c>
      <c r="J14" s="58">
        <v>7.6507458507790282E-2</v>
      </c>
    </row>
    <row r="15" spans="1:10" ht="11.25" customHeight="1" x14ac:dyDescent="0.2">
      <c r="A15" s="67">
        <v>44470</v>
      </c>
      <c r="B15" s="57">
        <v>0</v>
      </c>
      <c r="C15" s="57">
        <v>0</v>
      </c>
      <c r="D15" s="57">
        <v>1341.24548</v>
      </c>
      <c r="E15" s="57">
        <v>1868.6182741579444</v>
      </c>
      <c r="F15" s="57">
        <v>7012.5114000000003</v>
      </c>
      <c r="G15" s="57">
        <v>7124.263313722824</v>
      </c>
      <c r="H15" s="58">
        <v>0.39319632537210447</v>
      </c>
      <c r="I15" s="58">
        <v>1.5936075871880062E-2</v>
      </c>
      <c r="J15" s="58">
        <v>7.6507458507790282E-2</v>
      </c>
    </row>
    <row r="16" spans="1:10" ht="11.25" customHeight="1" x14ac:dyDescent="0.2">
      <c r="A16" s="67">
        <v>44501</v>
      </c>
      <c r="B16" s="57">
        <v>0</v>
      </c>
      <c r="C16" s="57">
        <v>0</v>
      </c>
      <c r="D16" s="57">
        <v>1467.9807500000002</v>
      </c>
      <c r="E16" s="57">
        <v>2045.1853866169859</v>
      </c>
      <c r="F16" s="57">
        <v>7675.1287499999999</v>
      </c>
      <c r="G16" s="57">
        <v>7797.4401840864484</v>
      </c>
      <c r="H16" s="58">
        <v>0.39319632537210425</v>
      </c>
      <c r="I16" s="58">
        <v>1.5936075871880062E-2</v>
      </c>
      <c r="J16" s="58">
        <v>7.6507458507790282E-2</v>
      </c>
    </row>
    <row r="17" spans="1:10" ht="11.25" customHeight="1" x14ac:dyDescent="0.2">
      <c r="A17" s="67">
        <v>44531</v>
      </c>
      <c r="B17" s="57">
        <v>0</v>
      </c>
      <c r="C17" s="57">
        <v>0</v>
      </c>
      <c r="D17" s="57">
        <v>1537.1528700000001</v>
      </c>
      <c r="E17" s="57">
        <v>2141.555730019184</v>
      </c>
      <c r="F17" s="57">
        <v>8036.7853500000001</v>
      </c>
      <c r="G17" s="57">
        <v>8164.8601711036144</v>
      </c>
      <c r="H17" s="58">
        <v>0.39319632537210425</v>
      </c>
      <c r="I17" s="58">
        <v>1.5936075871880062E-2</v>
      </c>
      <c r="J17" s="58">
        <v>7.6507458507790282E-2</v>
      </c>
    </row>
    <row r="18" spans="1:10" ht="11.25" customHeight="1" x14ac:dyDescent="0.2">
      <c r="A18" s="67">
        <v>44562</v>
      </c>
      <c r="B18" s="57">
        <v>0</v>
      </c>
      <c r="C18" s="57">
        <v>0</v>
      </c>
      <c r="D18" s="57">
        <v>1136.3784700000001</v>
      </c>
      <c r="E18" s="57">
        <v>1583.1983086359742</v>
      </c>
      <c r="F18" s="57">
        <v>5941.3933500000003</v>
      </c>
      <c r="G18" s="57">
        <v>6036.0758452102837</v>
      </c>
      <c r="H18" s="58">
        <v>0.39319632537210425</v>
      </c>
      <c r="I18" s="58">
        <v>1.5936075871880062E-2</v>
      </c>
      <c r="J18" s="58">
        <v>7.6507458507790282E-2</v>
      </c>
    </row>
    <row r="19" spans="1:10" ht="11.25" customHeight="1" x14ac:dyDescent="0.2">
      <c r="A19" s="67">
        <v>44593</v>
      </c>
      <c r="B19" s="57">
        <v>0</v>
      </c>
      <c r="C19" s="57">
        <v>0</v>
      </c>
      <c r="D19" s="57">
        <v>1126.4072800000001</v>
      </c>
      <c r="E19" s="57">
        <v>1569.306483368387</v>
      </c>
      <c r="F19" s="57">
        <v>5889.2604000000001</v>
      </c>
      <c r="G19" s="57">
        <v>5983.1121005636587</v>
      </c>
      <c r="H19" s="58">
        <v>0.39319632537210425</v>
      </c>
      <c r="I19" s="58">
        <v>1.5936075871880062E-2</v>
      </c>
      <c r="J19" s="58">
        <v>7.6507458507790282E-2</v>
      </c>
    </row>
    <row r="20" spans="1:10" ht="11.25" customHeight="1" x14ac:dyDescent="0.2">
      <c r="A20" s="67">
        <v>44621</v>
      </c>
      <c r="B20" s="57">
        <v>0</v>
      </c>
      <c r="C20" s="57">
        <v>0</v>
      </c>
      <c r="D20" s="57">
        <v>1327.3243500000001</v>
      </c>
      <c r="E20" s="57">
        <v>1849.2234069969168</v>
      </c>
      <c r="F20" s="57">
        <v>6939.7267499999998</v>
      </c>
      <c r="G20" s="57">
        <v>7050.3187620181152</v>
      </c>
      <c r="H20" s="58">
        <v>0.39319632537210403</v>
      </c>
      <c r="I20" s="58">
        <v>1.5936075871880062E-2</v>
      </c>
      <c r="J20" s="58">
        <v>7.6507458507790282E-2</v>
      </c>
    </row>
    <row r="21" spans="1:10" ht="11.25" customHeight="1" x14ac:dyDescent="0.2">
      <c r="A21" s="67">
        <v>44652</v>
      </c>
      <c r="B21" s="57">
        <v>0</v>
      </c>
      <c r="C21" s="57">
        <v>0</v>
      </c>
      <c r="D21" s="57">
        <v>1249.6261400000001</v>
      </c>
      <c r="E21" s="57">
        <v>1740.9745463369268</v>
      </c>
      <c r="F21" s="57">
        <v>6533.4926999999998</v>
      </c>
      <c r="G21" s="57">
        <v>6637.6109353755746</v>
      </c>
      <c r="H21" s="58">
        <v>0.39319632537210425</v>
      </c>
      <c r="I21" s="58">
        <v>1.5936075871880062E-2</v>
      </c>
      <c r="J21" s="58">
        <v>7.6507458507790504E-2</v>
      </c>
    </row>
    <row r="22" spans="1:10" ht="11.25" customHeight="1" x14ac:dyDescent="0.2">
      <c r="A22" s="66" t="s">
        <v>25</v>
      </c>
      <c r="B22" s="57">
        <v>65314</v>
      </c>
      <c r="C22" s="57">
        <v>81146.993603881871</v>
      </c>
      <c r="D22" s="57">
        <v>0</v>
      </c>
      <c r="E22" s="57">
        <v>0</v>
      </c>
      <c r="F22" s="57">
        <v>0</v>
      </c>
      <c r="G22" s="57">
        <v>0</v>
      </c>
      <c r="H22" s="58">
        <v>0.24241347343420805</v>
      </c>
      <c r="I22" s="58">
        <v>0</v>
      </c>
      <c r="J22" s="58">
        <v>0.24241347343420805</v>
      </c>
    </row>
    <row r="23" spans="1:10" ht="11.25" customHeight="1" x14ac:dyDescent="0.2">
      <c r="A23" s="67">
        <v>44317</v>
      </c>
      <c r="B23" s="57">
        <v>5424</v>
      </c>
      <c r="C23" s="57">
        <v>6738.8506799071438</v>
      </c>
      <c r="D23" s="57">
        <v>0</v>
      </c>
      <c r="E23" s="57">
        <v>0</v>
      </c>
      <c r="F23" s="57">
        <v>0</v>
      </c>
      <c r="G23" s="57">
        <v>0</v>
      </c>
      <c r="H23" s="58">
        <v>0.24241347343420783</v>
      </c>
      <c r="I23" s="58">
        <v>0</v>
      </c>
      <c r="J23" s="58">
        <v>0.24241347343420783</v>
      </c>
    </row>
    <row r="24" spans="1:10" ht="11.25" customHeight="1" x14ac:dyDescent="0.2">
      <c r="A24" s="67">
        <v>44348</v>
      </c>
      <c r="B24" s="57">
        <v>5424</v>
      </c>
      <c r="C24" s="57">
        <v>6738.8506799071438</v>
      </c>
      <c r="D24" s="57">
        <v>0</v>
      </c>
      <c r="E24" s="57">
        <v>0</v>
      </c>
      <c r="F24" s="57">
        <v>0</v>
      </c>
      <c r="G24" s="57">
        <v>0</v>
      </c>
      <c r="H24" s="58">
        <v>0.24241347343420783</v>
      </c>
      <c r="I24" s="58">
        <v>0</v>
      </c>
      <c r="J24" s="58">
        <v>0.24241347343420783</v>
      </c>
    </row>
    <row r="25" spans="1:10" ht="11.25" customHeight="1" x14ac:dyDescent="0.2">
      <c r="A25" s="67">
        <v>44378</v>
      </c>
      <c r="B25" s="57">
        <v>5424</v>
      </c>
      <c r="C25" s="57">
        <v>6738.8506799071438</v>
      </c>
      <c r="D25" s="57">
        <v>0</v>
      </c>
      <c r="E25" s="57">
        <v>0</v>
      </c>
      <c r="F25" s="57">
        <v>0</v>
      </c>
      <c r="G25" s="57">
        <v>0</v>
      </c>
      <c r="H25" s="58">
        <v>0.24241347343420783</v>
      </c>
      <c r="I25" s="58">
        <v>0</v>
      </c>
      <c r="J25" s="58">
        <v>0.24241347343420783</v>
      </c>
    </row>
    <row r="26" spans="1:10" ht="11.25" customHeight="1" x14ac:dyDescent="0.2">
      <c r="A26" s="67">
        <v>44409</v>
      </c>
      <c r="B26" s="57">
        <v>5424</v>
      </c>
      <c r="C26" s="57">
        <v>6738.8506799071438</v>
      </c>
      <c r="D26" s="57">
        <v>0</v>
      </c>
      <c r="E26" s="57">
        <v>0</v>
      </c>
      <c r="F26" s="57">
        <v>0</v>
      </c>
      <c r="G26" s="57">
        <v>0</v>
      </c>
      <c r="H26" s="58">
        <v>0.24241347343420783</v>
      </c>
      <c r="I26" s="58">
        <v>0</v>
      </c>
      <c r="J26" s="58">
        <v>0.24241347343420783</v>
      </c>
    </row>
    <row r="27" spans="1:10" ht="11.25" customHeight="1" x14ac:dyDescent="0.2">
      <c r="A27" s="67">
        <v>44440</v>
      </c>
      <c r="B27" s="57">
        <v>5424</v>
      </c>
      <c r="C27" s="57">
        <v>6738.8506799071438</v>
      </c>
      <c r="D27" s="57">
        <v>0</v>
      </c>
      <c r="E27" s="57">
        <v>0</v>
      </c>
      <c r="F27" s="57">
        <v>0</v>
      </c>
      <c r="G27" s="57">
        <v>0</v>
      </c>
      <c r="H27" s="58">
        <v>0.24241347343420783</v>
      </c>
      <c r="I27" s="58">
        <v>0</v>
      </c>
      <c r="J27" s="58">
        <v>0.24241347343420783</v>
      </c>
    </row>
    <row r="28" spans="1:10" ht="11.25" customHeight="1" x14ac:dyDescent="0.2">
      <c r="A28" s="67">
        <v>44470</v>
      </c>
      <c r="B28" s="57">
        <v>5559.6</v>
      </c>
      <c r="C28" s="57">
        <v>6907.3219469048227</v>
      </c>
      <c r="D28" s="57">
        <v>0</v>
      </c>
      <c r="E28" s="57">
        <v>0</v>
      </c>
      <c r="F28" s="57">
        <v>0</v>
      </c>
      <c r="G28" s="57">
        <v>0</v>
      </c>
      <c r="H28" s="58">
        <v>0.24241347343420783</v>
      </c>
      <c r="I28" s="58">
        <v>0</v>
      </c>
      <c r="J28" s="58">
        <v>0.24241347343420783</v>
      </c>
    </row>
    <row r="29" spans="1:10" ht="11.25" customHeight="1" x14ac:dyDescent="0.2">
      <c r="A29" s="67">
        <v>44501</v>
      </c>
      <c r="B29" s="57">
        <v>5424</v>
      </c>
      <c r="C29" s="57">
        <v>6738.8506799071438</v>
      </c>
      <c r="D29" s="57">
        <v>0</v>
      </c>
      <c r="E29" s="57">
        <v>0</v>
      </c>
      <c r="F29" s="57">
        <v>0</v>
      </c>
      <c r="G29" s="57">
        <v>0</v>
      </c>
      <c r="H29" s="58">
        <v>0.24241347343420783</v>
      </c>
      <c r="I29" s="58">
        <v>0</v>
      </c>
      <c r="J29" s="58">
        <v>0.24241347343420783</v>
      </c>
    </row>
    <row r="30" spans="1:10" ht="11.25" customHeight="1" x14ac:dyDescent="0.2">
      <c r="A30" s="67">
        <v>44531</v>
      </c>
      <c r="B30" s="57">
        <v>5424</v>
      </c>
      <c r="C30" s="57">
        <v>6738.8506799071438</v>
      </c>
      <c r="D30" s="57">
        <v>0</v>
      </c>
      <c r="E30" s="57">
        <v>0</v>
      </c>
      <c r="F30" s="57">
        <v>0</v>
      </c>
      <c r="G30" s="57">
        <v>0</v>
      </c>
      <c r="H30" s="58">
        <v>0.24241347343420783</v>
      </c>
      <c r="I30" s="58">
        <v>0</v>
      </c>
      <c r="J30" s="58">
        <v>0.24241347343420783</v>
      </c>
    </row>
    <row r="31" spans="1:10" ht="11.25" customHeight="1" x14ac:dyDescent="0.2">
      <c r="A31" s="67">
        <v>44562</v>
      </c>
      <c r="B31" s="57">
        <v>5424</v>
      </c>
      <c r="C31" s="57">
        <v>6738.8506799071438</v>
      </c>
      <c r="D31" s="57">
        <v>0</v>
      </c>
      <c r="E31" s="57">
        <v>0</v>
      </c>
      <c r="F31" s="57">
        <v>0</v>
      </c>
      <c r="G31" s="57">
        <v>0</v>
      </c>
      <c r="H31" s="58">
        <v>0.24241347343420783</v>
      </c>
      <c r="I31" s="58">
        <v>0</v>
      </c>
      <c r="J31" s="58">
        <v>0.24241347343420783</v>
      </c>
    </row>
    <row r="32" spans="1:10" ht="11.25" customHeight="1" x14ac:dyDescent="0.2">
      <c r="A32" s="67">
        <v>44593</v>
      </c>
      <c r="B32" s="57">
        <v>5424</v>
      </c>
      <c r="C32" s="57">
        <v>6738.8506799071438</v>
      </c>
      <c r="D32" s="57">
        <v>0</v>
      </c>
      <c r="E32" s="57">
        <v>0</v>
      </c>
      <c r="F32" s="57">
        <v>0</v>
      </c>
      <c r="G32" s="57">
        <v>0</v>
      </c>
      <c r="H32" s="58">
        <v>0.24241347343420783</v>
      </c>
      <c r="I32" s="58">
        <v>0</v>
      </c>
      <c r="J32" s="58">
        <v>0.24241347343420783</v>
      </c>
    </row>
    <row r="33" spans="1:10" ht="11.25" customHeight="1" x14ac:dyDescent="0.2">
      <c r="A33" s="67">
        <v>44621</v>
      </c>
      <c r="B33" s="57">
        <v>5514.4000000000005</v>
      </c>
      <c r="C33" s="57">
        <v>6851.1648579055964</v>
      </c>
      <c r="D33" s="57">
        <v>0</v>
      </c>
      <c r="E33" s="57">
        <v>0</v>
      </c>
      <c r="F33" s="57">
        <v>0</v>
      </c>
      <c r="G33" s="57">
        <v>0</v>
      </c>
      <c r="H33" s="58">
        <v>0.24241347343420783</v>
      </c>
      <c r="I33" s="58">
        <v>0</v>
      </c>
      <c r="J33" s="58">
        <v>0.24241347343420783</v>
      </c>
    </row>
    <row r="34" spans="1:10" ht="11.25" customHeight="1" x14ac:dyDescent="0.2">
      <c r="A34" s="67">
        <v>44652</v>
      </c>
      <c r="B34" s="57">
        <v>5424</v>
      </c>
      <c r="C34" s="57">
        <v>6738.8506799071438</v>
      </c>
      <c r="D34" s="57">
        <v>0</v>
      </c>
      <c r="E34" s="57">
        <v>0</v>
      </c>
      <c r="F34" s="57">
        <v>0</v>
      </c>
      <c r="G34" s="57">
        <v>0</v>
      </c>
      <c r="H34" s="58">
        <v>0.24241347343420783</v>
      </c>
      <c r="I34" s="58">
        <v>0</v>
      </c>
      <c r="J34" s="58">
        <v>0.24241347343420783</v>
      </c>
    </row>
    <row r="35" spans="1:10" ht="11.25" customHeight="1" x14ac:dyDescent="0.2">
      <c r="A35" s="66" t="s">
        <v>36</v>
      </c>
      <c r="B35" s="57">
        <v>0</v>
      </c>
      <c r="C35" s="57">
        <v>0</v>
      </c>
      <c r="D35" s="57">
        <v>5375.9318399999993</v>
      </c>
      <c r="E35" s="57">
        <v>6882.731916524197</v>
      </c>
      <c r="F35" s="57">
        <v>577.24019999999985</v>
      </c>
      <c r="G35" s="57">
        <v>586.43914362349926</v>
      </c>
      <c r="H35" s="58">
        <v>0.28028630595960058</v>
      </c>
      <c r="I35" s="58">
        <v>1.5936075871880506E-2</v>
      </c>
      <c r="J35" s="58">
        <v>0.25465399117672671</v>
      </c>
    </row>
    <row r="36" spans="1:10" ht="11.25" customHeight="1" x14ac:dyDescent="0.2">
      <c r="A36" s="67">
        <v>44317</v>
      </c>
      <c r="B36" s="57">
        <v>0</v>
      </c>
      <c r="C36" s="57">
        <v>0</v>
      </c>
      <c r="D36" s="57">
        <v>398.73840000000001</v>
      </c>
      <c r="E36" s="57">
        <v>510.49931318024147</v>
      </c>
      <c r="F36" s="57">
        <v>42.814500000000002</v>
      </c>
      <c r="G36" s="57">
        <v>43.496795120416614</v>
      </c>
      <c r="H36" s="58">
        <v>0.28028630595960013</v>
      </c>
      <c r="I36" s="58">
        <v>1.5936075871880062E-2</v>
      </c>
      <c r="J36" s="58">
        <v>0.25465399117672671</v>
      </c>
    </row>
    <row r="37" spans="1:10" ht="11.25" customHeight="1" x14ac:dyDescent="0.2">
      <c r="A37" s="67">
        <v>44348</v>
      </c>
      <c r="B37" s="57">
        <v>0</v>
      </c>
      <c r="C37" s="57">
        <v>0</v>
      </c>
      <c r="D37" s="57">
        <v>412.81151999999997</v>
      </c>
      <c r="E37" s="57">
        <v>528.51693599836756</v>
      </c>
      <c r="F37" s="57">
        <v>44.325599999999994</v>
      </c>
      <c r="G37" s="57">
        <v>45.031976124666606</v>
      </c>
      <c r="H37" s="58">
        <v>0.28028630595960013</v>
      </c>
      <c r="I37" s="58">
        <v>1.5936075871880284E-2</v>
      </c>
      <c r="J37" s="58">
        <v>0.25465399117672649</v>
      </c>
    </row>
    <row r="38" spans="1:10" ht="11.25" customHeight="1" x14ac:dyDescent="0.2">
      <c r="A38" s="67">
        <v>44378</v>
      </c>
      <c r="B38" s="57">
        <v>0</v>
      </c>
      <c r="C38" s="57">
        <v>0</v>
      </c>
      <c r="D38" s="57">
        <v>555.88824</v>
      </c>
      <c r="E38" s="57">
        <v>711.69610131598358</v>
      </c>
      <c r="F38" s="57">
        <v>59.688449999999996</v>
      </c>
      <c r="G38" s="57">
        <v>60.639649667874913</v>
      </c>
      <c r="H38" s="58">
        <v>0.28028630595960013</v>
      </c>
      <c r="I38" s="58">
        <v>1.5936075871880062E-2</v>
      </c>
      <c r="J38" s="58">
        <v>0.25465399117672649</v>
      </c>
    </row>
    <row r="39" spans="1:10" ht="11.25" customHeight="1" x14ac:dyDescent="0.2">
      <c r="A39" s="67">
        <v>44409</v>
      </c>
      <c r="B39" s="57">
        <v>0</v>
      </c>
      <c r="C39" s="57">
        <v>0</v>
      </c>
      <c r="D39" s="57">
        <v>656.74560000000008</v>
      </c>
      <c r="E39" s="57">
        <v>840.8223981792213</v>
      </c>
      <c r="F39" s="57">
        <v>70.518000000000001</v>
      </c>
      <c r="G39" s="57">
        <v>71.641780198333251</v>
      </c>
      <c r="H39" s="58">
        <v>0.28028630595960013</v>
      </c>
      <c r="I39" s="58">
        <v>1.5936075871880284E-2</v>
      </c>
      <c r="J39" s="58">
        <v>0.25465399117672649</v>
      </c>
    </row>
    <row r="40" spans="1:10" ht="11.25" customHeight="1" x14ac:dyDescent="0.2">
      <c r="A40" s="67">
        <v>44440</v>
      </c>
      <c r="B40" s="57">
        <v>0</v>
      </c>
      <c r="C40" s="57">
        <v>0</v>
      </c>
      <c r="D40" s="57">
        <v>499.59575999999998</v>
      </c>
      <c r="E40" s="57">
        <v>639.62561004347901</v>
      </c>
      <c r="F40" s="57">
        <v>53.64405</v>
      </c>
      <c r="G40" s="57">
        <v>54.498925650874924</v>
      </c>
      <c r="H40" s="58">
        <v>0.28028630595960036</v>
      </c>
      <c r="I40" s="58">
        <v>1.5936075871880062E-2</v>
      </c>
      <c r="J40" s="58">
        <v>0.25465399117672649</v>
      </c>
    </row>
    <row r="41" spans="1:10" ht="11.25" customHeight="1" x14ac:dyDescent="0.2">
      <c r="A41" s="67">
        <v>44470</v>
      </c>
      <c r="B41" s="57">
        <v>0</v>
      </c>
      <c r="C41" s="57">
        <v>0</v>
      </c>
      <c r="D41" s="57">
        <v>333.06383999999997</v>
      </c>
      <c r="E41" s="57">
        <v>426.41707336231929</v>
      </c>
      <c r="F41" s="57">
        <v>35.762699999999995</v>
      </c>
      <c r="G41" s="57">
        <v>36.332617100583285</v>
      </c>
      <c r="H41" s="58">
        <v>0.28028630595960013</v>
      </c>
      <c r="I41" s="58">
        <v>1.5936075871880284E-2</v>
      </c>
      <c r="J41" s="58">
        <v>0.25465399117672649</v>
      </c>
    </row>
    <row r="42" spans="1:10" ht="11.25" customHeight="1" x14ac:dyDescent="0.2">
      <c r="A42" s="67">
        <v>44501</v>
      </c>
      <c r="B42" s="57">
        <v>0</v>
      </c>
      <c r="C42" s="57">
        <v>0</v>
      </c>
      <c r="D42" s="57">
        <v>422.1936</v>
      </c>
      <c r="E42" s="57">
        <v>540.52868454378506</v>
      </c>
      <c r="F42" s="57">
        <v>45.332999999999998</v>
      </c>
      <c r="G42" s="57">
        <v>46.055430127499939</v>
      </c>
      <c r="H42" s="58">
        <v>0.28028630595960013</v>
      </c>
      <c r="I42" s="58">
        <v>1.5936075871880062E-2</v>
      </c>
      <c r="J42" s="58">
        <v>0.25465399117672649</v>
      </c>
    </row>
    <row r="43" spans="1:10" ht="11.25" customHeight="1" x14ac:dyDescent="0.2">
      <c r="A43" s="67">
        <v>44531</v>
      </c>
      <c r="B43" s="57">
        <v>0</v>
      </c>
      <c r="C43" s="57">
        <v>0</v>
      </c>
      <c r="D43" s="57">
        <v>520.70543999999995</v>
      </c>
      <c r="E43" s="57">
        <v>666.65204427066828</v>
      </c>
      <c r="F43" s="57">
        <v>55.910699999999999</v>
      </c>
      <c r="G43" s="57">
        <v>56.801697157249926</v>
      </c>
      <c r="H43" s="58">
        <v>0.28028630595960036</v>
      </c>
      <c r="I43" s="58">
        <v>1.5936075871880062E-2</v>
      </c>
      <c r="J43" s="58">
        <v>0.25465399117672671</v>
      </c>
    </row>
    <row r="44" spans="1:10" ht="11.25" customHeight="1" x14ac:dyDescent="0.2">
      <c r="A44" s="67">
        <v>44562</v>
      </c>
      <c r="B44" s="57">
        <v>0</v>
      </c>
      <c r="C44" s="57">
        <v>0</v>
      </c>
      <c r="D44" s="57">
        <v>375.28320000000002</v>
      </c>
      <c r="E44" s="57">
        <v>480.46994181669783</v>
      </c>
      <c r="F44" s="57">
        <v>40.295999999999999</v>
      </c>
      <c r="G44" s="57">
        <v>40.938160113333282</v>
      </c>
      <c r="H44" s="58">
        <v>0.28028630595960013</v>
      </c>
      <c r="I44" s="58">
        <v>1.5936075871880062E-2</v>
      </c>
      <c r="J44" s="58">
        <v>0.25465399117672649</v>
      </c>
    </row>
    <row r="45" spans="1:10" ht="11.25" customHeight="1" x14ac:dyDescent="0.2">
      <c r="A45" s="67">
        <v>44593</v>
      </c>
      <c r="B45" s="57">
        <v>0</v>
      </c>
      <c r="C45" s="57">
        <v>0</v>
      </c>
      <c r="D45" s="57">
        <v>337.75487999999996</v>
      </c>
      <c r="E45" s="57">
        <v>432.42294763502804</v>
      </c>
      <c r="F45" s="57">
        <v>36.266399999999997</v>
      </c>
      <c r="G45" s="57">
        <v>36.844344101999951</v>
      </c>
      <c r="H45" s="58">
        <v>0.28028630595960036</v>
      </c>
      <c r="I45" s="58">
        <v>1.5936075871880062E-2</v>
      </c>
      <c r="J45" s="58">
        <v>0.25465399117672693</v>
      </c>
    </row>
    <row r="46" spans="1:10" ht="11.25" customHeight="1" x14ac:dyDescent="0.2">
      <c r="A46" s="67">
        <v>44621</v>
      </c>
      <c r="B46" s="57">
        <v>0</v>
      </c>
      <c r="C46" s="57">
        <v>0</v>
      </c>
      <c r="D46" s="57">
        <v>492.55919999999998</v>
      </c>
      <c r="E46" s="57">
        <v>630.61679863441589</v>
      </c>
      <c r="F46" s="57">
        <v>52.888499999999993</v>
      </c>
      <c r="G46" s="57">
        <v>53.731335148749928</v>
      </c>
      <c r="H46" s="58">
        <v>0.28028630595960013</v>
      </c>
      <c r="I46" s="58">
        <v>1.5936075871880062E-2</v>
      </c>
      <c r="J46" s="58">
        <v>0.25465399117672671</v>
      </c>
    </row>
    <row r="47" spans="1:10" ht="11.25" customHeight="1" x14ac:dyDescent="0.2">
      <c r="A47" s="67">
        <v>44652</v>
      </c>
      <c r="B47" s="57">
        <v>0</v>
      </c>
      <c r="C47" s="57">
        <v>0</v>
      </c>
      <c r="D47" s="57">
        <v>370.59215999999998</v>
      </c>
      <c r="E47" s="57">
        <v>474.46406754398913</v>
      </c>
      <c r="F47" s="57">
        <v>39.792299999999997</v>
      </c>
      <c r="G47" s="57">
        <v>40.426433111916616</v>
      </c>
      <c r="H47" s="58">
        <v>0.28028630595960036</v>
      </c>
      <c r="I47" s="58">
        <v>1.5936075871880284E-2</v>
      </c>
      <c r="J47" s="58">
        <v>0.25465399117672671</v>
      </c>
    </row>
    <row r="48" spans="1:10" ht="11.25" customHeight="1" x14ac:dyDescent="0.2">
      <c r="A48" s="60" t="s">
        <v>22</v>
      </c>
      <c r="B48" s="57">
        <v>0</v>
      </c>
      <c r="C48" s="57">
        <v>0</v>
      </c>
      <c r="D48" s="57">
        <v>1981930.1564000002</v>
      </c>
      <c r="E48" s="57">
        <v>2547076.7292654864</v>
      </c>
      <c r="F48" s="57">
        <v>1005236.9567099999</v>
      </c>
      <c r="G48" s="57">
        <v>1021252.4509278378</v>
      </c>
      <c r="H48" s="58">
        <v>0.28514959068589207</v>
      </c>
      <c r="I48" s="58">
        <v>1.5932058716040753E-2</v>
      </c>
      <c r="J48" s="58">
        <v>0.19455291420849385</v>
      </c>
    </row>
    <row r="49" spans="1:10" ht="11.25" customHeight="1" x14ac:dyDescent="0.2">
      <c r="A49" s="61" t="s">
        <v>39</v>
      </c>
      <c r="B49" s="57">
        <v>0</v>
      </c>
      <c r="C49" s="57">
        <v>0</v>
      </c>
      <c r="D49" s="57">
        <v>327.01221999999996</v>
      </c>
      <c r="E49" s="57">
        <v>424.12787317289821</v>
      </c>
      <c r="F49" s="57">
        <v>244.54635000000002</v>
      </c>
      <c r="G49" s="57">
        <v>248.44345918779132</v>
      </c>
      <c r="H49" s="58">
        <v>0.2969786669528689</v>
      </c>
      <c r="I49" s="58">
        <v>1.593607587187984E-2</v>
      </c>
      <c r="J49" s="58">
        <v>0.17673212801391402</v>
      </c>
    </row>
    <row r="50" spans="1:10" ht="11.25" customHeight="1" x14ac:dyDescent="0.2">
      <c r="A50" s="62" t="s">
        <v>24</v>
      </c>
      <c r="B50" s="57">
        <v>0</v>
      </c>
      <c r="C50" s="57">
        <v>0</v>
      </c>
      <c r="D50" s="57">
        <v>327.01221999999996</v>
      </c>
      <c r="E50" s="57">
        <v>424.12787317289821</v>
      </c>
      <c r="F50" s="57">
        <v>244.54635000000002</v>
      </c>
      <c r="G50" s="57">
        <v>248.44345918779132</v>
      </c>
      <c r="H50" s="58">
        <v>0.2969786669528689</v>
      </c>
      <c r="I50" s="58">
        <v>1.593607587187984E-2</v>
      </c>
      <c r="J50" s="58">
        <v>0.17673212801391402</v>
      </c>
    </row>
    <row r="51" spans="1:10" ht="11.25" customHeight="1" x14ac:dyDescent="0.2">
      <c r="A51" s="63" t="s">
        <v>24</v>
      </c>
      <c r="B51" s="57">
        <v>0</v>
      </c>
      <c r="C51" s="57">
        <v>0</v>
      </c>
      <c r="D51" s="57">
        <v>327.01221999999996</v>
      </c>
      <c r="E51" s="57">
        <v>424.12787317289821</v>
      </c>
      <c r="F51" s="57">
        <v>244.54635000000002</v>
      </c>
      <c r="G51" s="57">
        <v>248.44345918779132</v>
      </c>
      <c r="H51" s="58">
        <v>0.2969786669528689</v>
      </c>
      <c r="I51" s="58">
        <v>1.593607587187984E-2</v>
      </c>
      <c r="J51" s="58">
        <v>0.17673212801391402</v>
      </c>
    </row>
    <row r="52" spans="1:10" ht="11.25" customHeight="1" x14ac:dyDescent="0.2">
      <c r="A52" s="64" t="s">
        <v>25</v>
      </c>
      <c r="B52" s="57">
        <v>0</v>
      </c>
      <c r="C52" s="57">
        <v>0</v>
      </c>
      <c r="D52" s="57">
        <v>327.01221999999996</v>
      </c>
      <c r="E52" s="57">
        <v>424.12787317289821</v>
      </c>
      <c r="F52" s="57">
        <v>244.54635000000002</v>
      </c>
      <c r="G52" s="57">
        <v>248.44345918779132</v>
      </c>
      <c r="H52" s="58">
        <v>0.2969786669528689</v>
      </c>
      <c r="I52" s="58">
        <v>1.593607587187984E-2</v>
      </c>
      <c r="J52" s="58">
        <v>0.17673212801391402</v>
      </c>
    </row>
    <row r="53" spans="1:10" ht="11.25" customHeight="1" x14ac:dyDescent="0.2">
      <c r="A53" s="65" t="s">
        <v>25</v>
      </c>
      <c r="B53" s="57">
        <v>0</v>
      </c>
      <c r="C53" s="57">
        <v>0</v>
      </c>
      <c r="D53" s="57">
        <v>327.01221999999996</v>
      </c>
      <c r="E53" s="57">
        <v>424.12787317289821</v>
      </c>
      <c r="F53" s="57">
        <v>244.54635000000002</v>
      </c>
      <c r="G53" s="57">
        <v>248.44345918779132</v>
      </c>
      <c r="H53" s="58">
        <v>0.2969786669528689</v>
      </c>
      <c r="I53" s="58">
        <v>1.593607587187984E-2</v>
      </c>
      <c r="J53" s="58">
        <v>0.17673212801391402</v>
      </c>
    </row>
    <row r="54" spans="1:10" ht="11.25" customHeight="1" x14ac:dyDescent="0.2">
      <c r="A54" s="66" t="s">
        <v>37</v>
      </c>
      <c r="B54" s="57">
        <v>0</v>
      </c>
      <c r="C54" s="57">
        <v>0</v>
      </c>
      <c r="D54" s="57">
        <v>322.71161999999998</v>
      </c>
      <c r="E54" s="57">
        <v>418.58000977497204</v>
      </c>
      <c r="F54" s="57">
        <v>243.28710000000001</v>
      </c>
      <c r="G54" s="57">
        <v>247.16414168424967</v>
      </c>
      <c r="H54" s="58">
        <v>0.29707139078218514</v>
      </c>
      <c r="I54" s="58">
        <v>1.5936075871880062E-2</v>
      </c>
      <c r="J54" s="58">
        <v>0.17622907602904414</v>
      </c>
    </row>
    <row r="55" spans="1:10" ht="11.25" customHeight="1" x14ac:dyDescent="0.2">
      <c r="A55" s="67">
        <v>44531</v>
      </c>
      <c r="B55" s="57">
        <v>0</v>
      </c>
      <c r="C55" s="57">
        <v>0</v>
      </c>
      <c r="D55" s="57">
        <v>85.521919999999994</v>
      </c>
      <c r="E55" s="57">
        <v>110.92803571676278</v>
      </c>
      <c r="F55" s="57">
        <v>64.473600000000005</v>
      </c>
      <c r="G55" s="57">
        <v>65.501056181333254</v>
      </c>
      <c r="H55" s="58">
        <v>0.29707139078218536</v>
      </c>
      <c r="I55" s="58">
        <v>1.5936075871880062E-2</v>
      </c>
      <c r="J55" s="58">
        <v>0.17622907602904436</v>
      </c>
    </row>
    <row r="56" spans="1:10" ht="11.25" customHeight="1" x14ac:dyDescent="0.2">
      <c r="A56" s="67">
        <v>44562</v>
      </c>
      <c r="B56" s="57">
        <v>0</v>
      </c>
      <c r="C56" s="57">
        <v>0</v>
      </c>
      <c r="D56" s="57">
        <v>62.13702</v>
      </c>
      <c r="E56" s="57">
        <v>80.596150950460455</v>
      </c>
      <c r="F56" s="57">
        <v>46.844099999999997</v>
      </c>
      <c r="G56" s="57">
        <v>47.590611131749938</v>
      </c>
      <c r="H56" s="58">
        <v>0.29707139078218514</v>
      </c>
      <c r="I56" s="58">
        <v>1.5936075871880062E-2</v>
      </c>
      <c r="J56" s="58">
        <v>0.17622907602904436</v>
      </c>
    </row>
    <row r="57" spans="1:10" ht="11.25" customHeight="1" x14ac:dyDescent="0.2">
      <c r="A57" s="67">
        <v>44593</v>
      </c>
      <c r="B57" s="57">
        <v>0</v>
      </c>
      <c r="C57" s="57">
        <v>0</v>
      </c>
      <c r="D57" s="57">
        <v>67.148070000000004</v>
      </c>
      <c r="E57" s="57">
        <v>87.095840543239532</v>
      </c>
      <c r="F57" s="57">
        <v>50.621850000000002</v>
      </c>
      <c r="G57" s="57">
        <v>51.428563642374932</v>
      </c>
      <c r="H57" s="58">
        <v>0.29707139078218514</v>
      </c>
      <c r="I57" s="58">
        <v>1.5936075871880062E-2</v>
      </c>
      <c r="J57" s="58">
        <v>0.17622907602904414</v>
      </c>
    </row>
    <row r="58" spans="1:10" ht="11.25" customHeight="1" x14ac:dyDescent="0.2">
      <c r="A58" s="67">
        <v>44621</v>
      </c>
      <c r="B58" s="57">
        <v>0</v>
      </c>
      <c r="C58" s="57">
        <v>0</v>
      </c>
      <c r="D58" s="57">
        <v>63.807369999999999</v>
      </c>
      <c r="E58" s="57">
        <v>82.762714148053476</v>
      </c>
      <c r="F58" s="57">
        <v>48.103349999999999</v>
      </c>
      <c r="G58" s="57">
        <v>48.8699286352916</v>
      </c>
      <c r="H58" s="58">
        <v>0.29707139078218514</v>
      </c>
      <c r="I58" s="58">
        <v>1.5936075871880062E-2</v>
      </c>
      <c r="J58" s="58">
        <v>0.17622907602904436</v>
      </c>
    </row>
    <row r="59" spans="1:10" ht="11.25" customHeight="1" x14ac:dyDescent="0.2">
      <c r="A59" s="67">
        <v>44652</v>
      </c>
      <c r="B59" s="57">
        <v>0</v>
      </c>
      <c r="C59" s="57">
        <v>0</v>
      </c>
      <c r="D59" s="57">
        <v>44.097239999999999</v>
      </c>
      <c r="E59" s="57">
        <v>57.197268416455813</v>
      </c>
      <c r="F59" s="57">
        <v>33.244199999999999</v>
      </c>
      <c r="G59" s="57">
        <v>33.77398209349996</v>
      </c>
      <c r="H59" s="58">
        <v>0.29707139078218536</v>
      </c>
      <c r="I59" s="58">
        <v>1.5936075871880284E-2</v>
      </c>
      <c r="J59" s="58">
        <v>0.17622907602904436</v>
      </c>
    </row>
    <row r="60" spans="1:10" ht="11.25" customHeight="1" x14ac:dyDescent="0.2">
      <c r="A60" s="66" t="s">
        <v>40</v>
      </c>
      <c r="B60" s="57">
        <v>0</v>
      </c>
      <c r="C60" s="57">
        <v>0</v>
      </c>
      <c r="D60" s="57">
        <v>4.3005999999999993</v>
      </c>
      <c r="E60" s="57">
        <v>5.5478633979261733</v>
      </c>
      <c r="F60" s="57">
        <v>1.2592500000000002</v>
      </c>
      <c r="G60" s="57">
        <v>1.2793175035416651</v>
      </c>
      <c r="H60" s="58">
        <v>0.29002078731483372</v>
      </c>
      <c r="I60" s="58">
        <v>1.5936075871880062E-2</v>
      </c>
      <c r="J60" s="58">
        <v>0.22794336204535015</v>
      </c>
    </row>
    <row r="61" spans="1:10" ht="11.25" customHeight="1" x14ac:dyDescent="0.2">
      <c r="A61" s="67">
        <v>44531</v>
      </c>
      <c r="B61" s="57">
        <v>0</v>
      </c>
      <c r="C61" s="57">
        <v>0</v>
      </c>
      <c r="D61" s="57">
        <v>0.86012</v>
      </c>
      <c r="E61" s="57">
        <v>1.1095726795852345</v>
      </c>
      <c r="F61" s="57">
        <v>0.25185000000000002</v>
      </c>
      <c r="G61" s="57">
        <v>0.25586350070833302</v>
      </c>
      <c r="H61" s="58">
        <v>0.29002078731483349</v>
      </c>
      <c r="I61" s="58">
        <v>1.5936075871880062E-2</v>
      </c>
      <c r="J61" s="58">
        <v>0.22794336204534971</v>
      </c>
    </row>
    <row r="62" spans="1:10" ht="11.25" customHeight="1" x14ac:dyDescent="0.2">
      <c r="A62" s="67">
        <v>44593</v>
      </c>
      <c r="B62" s="57">
        <v>0</v>
      </c>
      <c r="C62" s="57">
        <v>0</v>
      </c>
      <c r="D62" s="57">
        <v>1.72024</v>
      </c>
      <c r="E62" s="57">
        <v>2.2191453591704691</v>
      </c>
      <c r="F62" s="57">
        <v>0.50370000000000004</v>
      </c>
      <c r="G62" s="57">
        <v>0.51172700141666605</v>
      </c>
      <c r="H62" s="58">
        <v>0.29002078731483349</v>
      </c>
      <c r="I62" s="58">
        <v>1.5936075871880062E-2</v>
      </c>
      <c r="J62" s="58">
        <v>0.22794336204534971</v>
      </c>
    </row>
    <row r="63" spans="1:10" ht="11.25" customHeight="1" x14ac:dyDescent="0.2">
      <c r="A63" s="67">
        <v>44621</v>
      </c>
      <c r="B63" s="57">
        <v>0</v>
      </c>
      <c r="C63" s="57">
        <v>0</v>
      </c>
      <c r="D63" s="57">
        <v>1.72024</v>
      </c>
      <c r="E63" s="57">
        <v>2.2191453591704691</v>
      </c>
      <c r="F63" s="57">
        <v>0.50370000000000004</v>
      </c>
      <c r="G63" s="57">
        <v>0.51172700141666605</v>
      </c>
      <c r="H63" s="58">
        <v>0.29002078731483349</v>
      </c>
      <c r="I63" s="58">
        <v>1.5936075871880062E-2</v>
      </c>
      <c r="J63" s="58">
        <v>0.22794336204534971</v>
      </c>
    </row>
    <row r="64" spans="1:10" ht="11.25" customHeight="1" x14ac:dyDescent="0.2">
      <c r="A64" s="61" t="s">
        <v>23</v>
      </c>
      <c r="B64" s="57">
        <v>0</v>
      </c>
      <c r="C64" s="57">
        <v>0</v>
      </c>
      <c r="D64" s="57">
        <v>1981603.1441800003</v>
      </c>
      <c r="E64" s="57">
        <v>2546652.6013923134</v>
      </c>
      <c r="F64" s="57">
        <v>1004992.4103599997</v>
      </c>
      <c r="G64" s="57">
        <v>1021004.0074686499</v>
      </c>
      <c r="H64" s="58">
        <v>0.28514763860355807</v>
      </c>
      <c r="I64" s="58">
        <v>1.5932057738540006E-2</v>
      </c>
      <c r="J64" s="58">
        <v>0.19455632465456429</v>
      </c>
    </row>
    <row r="65" spans="1:10" ht="11.25" customHeight="1" x14ac:dyDescent="0.2">
      <c r="A65" s="62" t="s">
        <v>24</v>
      </c>
      <c r="B65" s="57">
        <v>0</v>
      </c>
      <c r="C65" s="57">
        <v>0</v>
      </c>
      <c r="D65" s="57">
        <v>1981603.1441800003</v>
      </c>
      <c r="E65" s="57">
        <v>2546652.6013923134</v>
      </c>
      <c r="F65" s="57">
        <v>1004992.4103599997</v>
      </c>
      <c r="G65" s="57">
        <v>1021004.0074686499</v>
      </c>
      <c r="H65" s="58">
        <v>0.28514763860355807</v>
      </c>
      <c r="I65" s="58">
        <v>1.5932057738540006E-2</v>
      </c>
      <c r="J65" s="58">
        <v>0.19455632465456429</v>
      </c>
    </row>
    <row r="66" spans="1:10" ht="11.25" customHeight="1" x14ac:dyDescent="0.2">
      <c r="A66" s="63" t="s">
        <v>24</v>
      </c>
      <c r="B66" s="57">
        <v>0</v>
      </c>
      <c r="C66" s="57">
        <v>0</v>
      </c>
      <c r="D66" s="57">
        <v>1284105.4275300002</v>
      </c>
      <c r="E66" s="57">
        <v>1660450.8982934083</v>
      </c>
      <c r="F66" s="57">
        <v>634830.99134999991</v>
      </c>
      <c r="G66" s="57">
        <v>644947.70619397447</v>
      </c>
      <c r="H66" s="58">
        <v>0.29307988479366154</v>
      </c>
      <c r="I66" s="58">
        <v>1.5936075871880062E-2</v>
      </c>
      <c r="J66" s="58">
        <v>0.20139395021380846</v>
      </c>
    </row>
    <row r="67" spans="1:10" ht="11.25" customHeight="1" x14ac:dyDescent="0.2">
      <c r="A67" s="64" t="s">
        <v>25</v>
      </c>
      <c r="B67" s="57">
        <v>0</v>
      </c>
      <c r="C67" s="57">
        <v>0</v>
      </c>
      <c r="D67" s="57">
        <v>1284105.4275300002</v>
      </c>
      <c r="E67" s="57">
        <v>1660450.8982934083</v>
      </c>
      <c r="F67" s="57">
        <v>634830.99134999991</v>
      </c>
      <c r="G67" s="57">
        <v>644947.70619397447</v>
      </c>
      <c r="H67" s="58">
        <v>0.29307988479366154</v>
      </c>
      <c r="I67" s="58">
        <v>1.5936075871880062E-2</v>
      </c>
      <c r="J67" s="58">
        <v>0.20139395021380846</v>
      </c>
    </row>
    <row r="68" spans="1:10" ht="11.25" customHeight="1" x14ac:dyDescent="0.2">
      <c r="A68" s="65" t="s">
        <v>25</v>
      </c>
      <c r="B68" s="57">
        <v>0</v>
      </c>
      <c r="C68" s="57">
        <v>0</v>
      </c>
      <c r="D68" s="57">
        <v>1284105.4275300002</v>
      </c>
      <c r="E68" s="57">
        <v>1660450.8982934083</v>
      </c>
      <c r="F68" s="57">
        <v>634830.99134999991</v>
      </c>
      <c r="G68" s="57">
        <v>644947.70619397447</v>
      </c>
      <c r="H68" s="58">
        <v>0.29307988479366154</v>
      </c>
      <c r="I68" s="58">
        <v>1.5936075871880062E-2</v>
      </c>
      <c r="J68" s="58">
        <v>0.20139395021380846</v>
      </c>
    </row>
    <row r="69" spans="1:10" ht="11.25" customHeight="1" x14ac:dyDescent="0.2">
      <c r="A69" s="66" t="s">
        <v>25</v>
      </c>
      <c r="B69" s="57">
        <v>0</v>
      </c>
      <c r="C69" s="57">
        <v>0</v>
      </c>
      <c r="D69" s="57">
        <v>1284105.4275300002</v>
      </c>
      <c r="E69" s="57">
        <v>1660450.8982934083</v>
      </c>
      <c r="F69" s="57">
        <v>634830.99134999991</v>
      </c>
      <c r="G69" s="57">
        <v>644947.70619397447</v>
      </c>
      <c r="H69" s="58">
        <v>0.29307988479366154</v>
      </c>
      <c r="I69" s="58">
        <v>1.5936075871880062E-2</v>
      </c>
      <c r="J69" s="58">
        <v>0.20139395021380846</v>
      </c>
    </row>
    <row r="70" spans="1:10" ht="11.25" customHeight="1" x14ac:dyDescent="0.2">
      <c r="A70" s="67">
        <v>44317</v>
      </c>
      <c r="B70" s="57">
        <v>0</v>
      </c>
      <c r="C70" s="57">
        <v>0</v>
      </c>
      <c r="D70" s="57">
        <v>108282.40307999999</v>
      </c>
      <c r="E70" s="57">
        <v>140017.79729986723</v>
      </c>
      <c r="F70" s="57">
        <v>53532.228600000002</v>
      </c>
      <c r="G70" s="57">
        <v>54385.322256560423</v>
      </c>
      <c r="H70" s="58">
        <v>0.29307988479366176</v>
      </c>
      <c r="I70" s="58">
        <v>1.593607587187984E-2</v>
      </c>
      <c r="J70" s="58">
        <v>0.20139395021380824</v>
      </c>
    </row>
    <row r="71" spans="1:10" ht="11.25" customHeight="1" x14ac:dyDescent="0.2">
      <c r="A71" s="67">
        <v>44348</v>
      </c>
      <c r="B71" s="57">
        <v>0</v>
      </c>
      <c r="C71" s="57">
        <v>0</v>
      </c>
      <c r="D71" s="57">
        <v>102386.26026000001</v>
      </c>
      <c r="E71" s="57">
        <v>132393.61362145469</v>
      </c>
      <c r="F71" s="57">
        <v>50617.316700000003</v>
      </c>
      <c r="G71" s="57">
        <v>51423.958099362186</v>
      </c>
      <c r="H71" s="58">
        <v>0.29307988479366176</v>
      </c>
      <c r="I71" s="58">
        <v>1.5936075871880062E-2</v>
      </c>
      <c r="J71" s="58">
        <v>0.20139395021380846</v>
      </c>
    </row>
    <row r="72" spans="1:10" ht="11.25" customHeight="1" x14ac:dyDescent="0.2">
      <c r="A72" s="67">
        <v>44378</v>
      </c>
      <c r="B72" s="57">
        <v>0</v>
      </c>
      <c r="C72" s="57">
        <v>0</v>
      </c>
      <c r="D72" s="57">
        <v>98955.75864</v>
      </c>
      <c r="E72" s="57">
        <v>127957.70098188061</v>
      </c>
      <c r="F72" s="57">
        <v>48921.358799999995</v>
      </c>
      <c r="G72" s="57">
        <v>49700.97328559227</v>
      </c>
      <c r="H72" s="58">
        <v>0.29307988479366198</v>
      </c>
      <c r="I72" s="58">
        <v>1.5936075871880284E-2</v>
      </c>
      <c r="J72" s="58">
        <v>0.20139395021380846</v>
      </c>
    </row>
    <row r="73" spans="1:10" ht="11.25" customHeight="1" x14ac:dyDescent="0.2">
      <c r="A73" s="67">
        <v>44409</v>
      </c>
      <c r="B73" s="57">
        <v>0</v>
      </c>
      <c r="C73" s="57">
        <v>0</v>
      </c>
      <c r="D73" s="57">
        <v>100842.68736</v>
      </c>
      <c r="E73" s="57">
        <v>130397.65055375206</v>
      </c>
      <c r="F73" s="57">
        <v>49854.211199999998</v>
      </c>
      <c r="G73" s="57">
        <v>50648.691692215929</v>
      </c>
      <c r="H73" s="58">
        <v>0.29307988479366176</v>
      </c>
      <c r="I73" s="58">
        <v>1.5936075871880062E-2</v>
      </c>
      <c r="J73" s="58">
        <v>0.20139395021380846</v>
      </c>
    </row>
    <row r="74" spans="1:10" ht="11.25" customHeight="1" x14ac:dyDescent="0.2">
      <c r="A74" s="67">
        <v>44440</v>
      </c>
      <c r="B74" s="57">
        <v>0</v>
      </c>
      <c r="C74" s="57">
        <v>0</v>
      </c>
      <c r="D74" s="57">
        <v>102941.02953</v>
      </c>
      <c r="E74" s="57">
        <v>133110.97460519333</v>
      </c>
      <c r="F74" s="57">
        <v>50891.58135</v>
      </c>
      <c r="G74" s="57">
        <v>51702.593451633555</v>
      </c>
      <c r="H74" s="58">
        <v>0.29307988479366176</v>
      </c>
      <c r="I74" s="58">
        <v>1.5936075871880062E-2</v>
      </c>
      <c r="J74" s="58">
        <v>0.20139395021380846</v>
      </c>
    </row>
    <row r="75" spans="1:10" ht="11.25" customHeight="1" x14ac:dyDescent="0.2">
      <c r="A75" s="67">
        <v>44470</v>
      </c>
      <c r="B75" s="57">
        <v>0</v>
      </c>
      <c r="C75" s="57">
        <v>0</v>
      </c>
      <c r="D75" s="57">
        <v>102558.4476</v>
      </c>
      <c r="E75" s="57">
        <v>132616.26560722481</v>
      </c>
      <c r="F75" s="57">
        <v>50702.442000000003</v>
      </c>
      <c r="G75" s="57">
        <v>51510.439962601602</v>
      </c>
      <c r="H75" s="58">
        <v>0.29307988479366176</v>
      </c>
      <c r="I75" s="58">
        <v>1.5936075871880062E-2</v>
      </c>
      <c r="J75" s="58">
        <v>0.20139395021380868</v>
      </c>
    </row>
    <row r="76" spans="1:10" ht="11.25" customHeight="1" x14ac:dyDescent="0.2">
      <c r="A76" s="67">
        <v>44501</v>
      </c>
      <c r="B76" s="57">
        <v>0</v>
      </c>
      <c r="C76" s="57">
        <v>0</v>
      </c>
      <c r="D76" s="57">
        <v>120126.14115</v>
      </c>
      <c r="E76" s="57">
        <v>155332.69675894914</v>
      </c>
      <c r="F76" s="57">
        <v>59387.489249999999</v>
      </c>
      <c r="G76" s="57">
        <v>60333.892784528463</v>
      </c>
      <c r="H76" s="58">
        <v>0.29307988479366176</v>
      </c>
      <c r="I76" s="58">
        <v>1.5936075871880062E-2</v>
      </c>
      <c r="J76" s="58">
        <v>0.20139395021380846</v>
      </c>
    </row>
    <row r="77" spans="1:10" ht="11.25" customHeight="1" x14ac:dyDescent="0.2">
      <c r="A77" s="67">
        <v>44531</v>
      </c>
      <c r="B77" s="57">
        <v>0</v>
      </c>
      <c r="C77" s="57">
        <v>0</v>
      </c>
      <c r="D77" s="57">
        <v>113463.30618</v>
      </c>
      <c r="E77" s="57">
        <v>146717.1188835424</v>
      </c>
      <c r="F77" s="57">
        <v>56093.543100000003</v>
      </c>
      <c r="G77" s="57">
        <v>56987.454058764182</v>
      </c>
      <c r="H77" s="58">
        <v>0.29307988479366198</v>
      </c>
      <c r="I77" s="58">
        <v>1.5936075871880062E-2</v>
      </c>
      <c r="J77" s="58">
        <v>0.20139395021380868</v>
      </c>
    </row>
    <row r="78" spans="1:10" ht="11.25" customHeight="1" x14ac:dyDescent="0.2">
      <c r="A78" s="67">
        <v>44562</v>
      </c>
      <c r="B78" s="57">
        <v>0</v>
      </c>
      <c r="C78" s="57">
        <v>0</v>
      </c>
      <c r="D78" s="57">
        <v>112908.02748</v>
      </c>
      <c r="E78" s="57">
        <v>145999.09916611799</v>
      </c>
      <c r="F78" s="57">
        <v>55819.026600000005</v>
      </c>
      <c r="G78" s="57">
        <v>56708.562842992091</v>
      </c>
      <c r="H78" s="58">
        <v>0.29307988479366154</v>
      </c>
      <c r="I78" s="58">
        <v>1.5936075871880062E-2</v>
      </c>
      <c r="J78" s="58">
        <v>0.20139395021380846</v>
      </c>
    </row>
    <row r="79" spans="1:10" ht="11.25" customHeight="1" x14ac:dyDescent="0.2">
      <c r="A79" s="67">
        <v>44593</v>
      </c>
      <c r="B79" s="57">
        <v>0</v>
      </c>
      <c r="C79" s="57">
        <v>0</v>
      </c>
      <c r="D79" s="57">
        <v>104950.22145</v>
      </c>
      <c r="E79" s="57">
        <v>135709.02026163528</v>
      </c>
      <c r="F79" s="57">
        <v>51884.87775</v>
      </c>
      <c r="G79" s="57">
        <v>52711.719098427224</v>
      </c>
      <c r="H79" s="58">
        <v>0.29307988479366176</v>
      </c>
      <c r="I79" s="58">
        <v>1.5936075871880062E-2</v>
      </c>
      <c r="J79" s="58">
        <v>0.20139395021380846</v>
      </c>
    </row>
    <row r="80" spans="1:10" ht="11.25" customHeight="1" x14ac:dyDescent="0.2">
      <c r="A80" s="67">
        <v>44621</v>
      </c>
      <c r="B80" s="57">
        <v>0</v>
      </c>
      <c r="C80" s="57">
        <v>0</v>
      </c>
      <c r="D80" s="57">
        <v>110708.81817</v>
      </c>
      <c r="E80" s="57">
        <v>143155.34584490606</v>
      </c>
      <c r="F80" s="57">
        <v>54731.790149999993</v>
      </c>
      <c r="G80" s="57">
        <v>55604.000110434215</v>
      </c>
      <c r="H80" s="58">
        <v>0.29307988479366176</v>
      </c>
      <c r="I80" s="58">
        <v>1.5936075871880062E-2</v>
      </c>
      <c r="J80" s="58">
        <v>0.20139395021380846</v>
      </c>
    </row>
    <row r="81" spans="1:10" ht="11.25" customHeight="1" x14ac:dyDescent="0.2">
      <c r="A81" s="67">
        <v>44652</v>
      </c>
      <c r="B81" s="57">
        <v>0</v>
      </c>
      <c r="C81" s="57">
        <v>0</v>
      </c>
      <c r="D81" s="57">
        <v>105982.32663000001</v>
      </c>
      <c r="E81" s="57">
        <v>137043.61470888465</v>
      </c>
      <c r="F81" s="57">
        <v>52395.125850000004</v>
      </c>
      <c r="G81" s="57">
        <v>53230.098550862305</v>
      </c>
      <c r="H81" s="58">
        <v>0.29307988479366176</v>
      </c>
      <c r="I81" s="58">
        <v>1.5936075871880062E-2</v>
      </c>
      <c r="J81" s="58">
        <v>0.20139395021380846</v>
      </c>
    </row>
    <row r="82" spans="1:10" ht="11.25" customHeight="1" x14ac:dyDescent="0.2">
      <c r="A82" s="63" t="s">
        <v>28</v>
      </c>
      <c r="B82" s="57">
        <v>0</v>
      </c>
      <c r="C82" s="57">
        <v>0</v>
      </c>
      <c r="D82" s="57">
        <v>129916.77599999998</v>
      </c>
      <c r="E82" s="57">
        <v>165063.74499340818</v>
      </c>
      <c r="F82" s="57">
        <v>68947.403999999995</v>
      </c>
      <c r="G82" s="57">
        <v>70044.168499910389</v>
      </c>
      <c r="H82" s="58">
        <v>0.27053449196898338</v>
      </c>
      <c r="I82" s="58">
        <v>1.5907263164112617E-2</v>
      </c>
      <c r="J82" s="58">
        <v>0.18225370447970368</v>
      </c>
    </row>
    <row r="83" spans="1:10" ht="11.25" customHeight="1" x14ac:dyDescent="0.2">
      <c r="A83" s="64" t="s">
        <v>25</v>
      </c>
      <c r="B83" s="57">
        <v>0</v>
      </c>
      <c r="C83" s="57">
        <v>0</v>
      </c>
      <c r="D83" s="57">
        <v>129916.77599999998</v>
      </c>
      <c r="E83" s="57">
        <v>165063.74499340818</v>
      </c>
      <c r="F83" s="57">
        <v>68947.403999999995</v>
      </c>
      <c r="G83" s="57">
        <v>70044.168499910389</v>
      </c>
      <c r="H83" s="58">
        <v>0.27053449196898338</v>
      </c>
      <c r="I83" s="58">
        <v>1.5907263164112617E-2</v>
      </c>
      <c r="J83" s="58">
        <v>0.18225370447970368</v>
      </c>
    </row>
    <row r="84" spans="1:10" ht="11.25" customHeight="1" x14ac:dyDescent="0.2">
      <c r="A84" s="65" t="s">
        <v>25</v>
      </c>
      <c r="B84" s="57">
        <v>0</v>
      </c>
      <c r="C84" s="57">
        <v>0</v>
      </c>
      <c r="D84" s="57">
        <v>129916.77599999998</v>
      </c>
      <c r="E84" s="57">
        <v>165063.74499340818</v>
      </c>
      <c r="F84" s="57">
        <v>68947.403999999995</v>
      </c>
      <c r="G84" s="57">
        <v>70044.168499910389</v>
      </c>
      <c r="H84" s="58">
        <v>0.27053449196898338</v>
      </c>
      <c r="I84" s="58">
        <v>1.5907263164112617E-2</v>
      </c>
      <c r="J84" s="58">
        <v>0.18225370447970368</v>
      </c>
    </row>
    <row r="85" spans="1:10" ht="11.25" customHeight="1" x14ac:dyDescent="0.2">
      <c r="A85" s="66" t="s">
        <v>25</v>
      </c>
      <c r="B85" s="57">
        <v>0</v>
      </c>
      <c r="C85" s="57">
        <v>0</v>
      </c>
      <c r="D85" s="57">
        <v>129916.77599999998</v>
      </c>
      <c r="E85" s="57">
        <v>165063.74499340818</v>
      </c>
      <c r="F85" s="57">
        <v>68947.403999999995</v>
      </c>
      <c r="G85" s="57">
        <v>70044.168499910389</v>
      </c>
      <c r="H85" s="58">
        <v>0.27053449196898338</v>
      </c>
      <c r="I85" s="58">
        <v>1.5907263164112617E-2</v>
      </c>
      <c r="J85" s="58">
        <v>0.18225370447970368</v>
      </c>
    </row>
    <row r="86" spans="1:10" ht="11.25" customHeight="1" x14ac:dyDescent="0.2">
      <c r="A86" s="67">
        <v>44317</v>
      </c>
      <c r="B86" s="57">
        <v>0</v>
      </c>
      <c r="C86" s="57">
        <v>0</v>
      </c>
      <c r="D86" s="57">
        <v>9876.3060000000005</v>
      </c>
      <c r="E86" s="57">
        <v>12548.187426240222</v>
      </c>
      <c r="F86" s="57">
        <v>5241.3990000000003</v>
      </c>
      <c r="G86" s="57">
        <v>5324.7753132411171</v>
      </c>
      <c r="H86" s="58">
        <v>0.27053449196898316</v>
      </c>
      <c r="I86" s="58">
        <v>1.5907263164112617E-2</v>
      </c>
      <c r="J86" s="58">
        <v>0.18225370447970368</v>
      </c>
    </row>
    <row r="87" spans="1:10" ht="11.25" customHeight="1" x14ac:dyDescent="0.2">
      <c r="A87" s="67">
        <v>44348</v>
      </c>
      <c r="B87" s="57">
        <v>0</v>
      </c>
      <c r="C87" s="57">
        <v>0</v>
      </c>
      <c r="D87" s="57">
        <v>9961.0169999999998</v>
      </c>
      <c r="E87" s="57">
        <v>12655.815673589406</v>
      </c>
      <c r="F87" s="57">
        <v>5286.3555000000006</v>
      </c>
      <c r="G87" s="57">
        <v>5370.4469481175547</v>
      </c>
      <c r="H87" s="58">
        <v>0.27053449196898338</v>
      </c>
      <c r="I87" s="58">
        <v>1.5907263164112617E-2</v>
      </c>
      <c r="J87" s="58">
        <v>0.18225370447970368</v>
      </c>
    </row>
    <row r="88" spans="1:10" ht="11.25" customHeight="1" x14ac:dyDescent="0.2">
      <c r="A88" s="67">
        <v>44378</v>
      </c>
      <c r="B88" s="57">
        <v>0</v>
      </c>
      <c r="C88" s="57">
        <v>0</v>
      </c>
      <c r="D88" s="57">
        <v>10015.83</v>
      </c>
      <c r="E88" s="57">
        <v>12725.457480697702</v>
      </c>
      <c r="F88" s="57">
        <v>5315.4449999999997</v>
      </c>
      <c r="G88" s="57">
        <v>5399.9991824493673</v>
      </c>
      <c r="H88" s="58">
        <v>0.27053449196898316</v>
      </c>
      <c r="I88" s="58">
        <v>1.5907263164112839E-2</v>
      </c>
      <c r="J88" s="58">
        <v>0.18225370447970368</v>
      </c>
    </row>
    <row r="89" spans="1:10" ht="11.25" customHeight="1" x14ac:dyDescent="0.2">
      <c r="A89" s="67">
        <v>44409</v>
      </c>
      <c r="B89" s="57">
        <v>0</v>
      </c>
      <c r="C89" s="57">
        <v>0</v>
      </c>
      <c r="D89" s="57">
        <v>10115.49</v>
      </c>
      <c r="E89" s="57">
        <v>12852.078948167331</v>
      </c>
      <c r="F89" s="57">
        <v>5368.335</v>
      </c>
      <c r="G89" s="57">
        <v>5453.7305175981173</v>
      </c>
      <c r="H89" s="58">
        <v>0.27053449196898338</v>
      </c>
      <c r="I89" s="58">
        <v>1.5907263164112839E-2</v>
      </c>
      <c r="J89" s="58">
        <v>0.18225370447970368</v>
      </c>
    </row>
    <row r="90" spans="1:10" ht="11.25" customHeight="1" x14ac:dyDescent="0.2">
      <c r="A90" s="67">
        <v>44440</v>
      </c>
      <c r="B90" s="57">
        <v>0</v>
      </c>
      <c r="C90" s="57">
        <v>0</v>
      </c>
      <c r="D90" s="57">
        <v>10170.303</v>
      </c>
      <c r="E90" s="57">
        <v>12921.720755275626</v>
      </c>
      <c r="F90" s="57">
        <v>5397.4245000000001</v>
      </c>
      <c r="G90" s="57">
        <v>5483.282751929929</v>
      </c>
      <c r="H90" s="58">
        <v>0.27053449196898316</v>
      </c>
      <c r="I90" s="58">
        <v>1.5907263164112617E-2</v>
      </c>
      <c r="J90" s="58">
        <v>0.18225370447970346</v>
      </c>
    </row>
    <row r="91" spans="1:10" ht="11.25" customHeight="1" x14ac:dyDescent="0.2">
      <c r="A91" s="67">
        <v>44470</v>
      </c>
      <c r="B91" s="57">
        <v>0</v>
      </c>
      <c r="C91" s="57">
        <v>0</v>
      </c>
      <c r="D91" s="57">
        <v>10294.877999999999</v>
      </c>
      <c r="E91" s="57">
        <v>13079.997589612663</v>
      </c>
      <c r="F91" s="57">
        <v>5463.5370000000003</v>
      </c>
      <c r="G91" s="57">
        <v>5550.4469208658666</v>
      </c>
      <c r="H91" s="58">
        <v>0.2705344919689836</v>
      </c>
      <c r="I91" s="58">
        <v>1.5907263164112617E-2</v>
      </c>
      <c r="J91" s="58">
        <v>0.18225370447970368</v>
      </c>
    </row>
    <row r="92" spans="1:10" ht="11.25" customHeight="1" x14ac:dyDescent="0.2">
      <c r="A92" s="67">
        <v>44501</v>
      </c>
      <c r="B92" s="57">
        <v>0</v>
      </c>
      <c r="C92" s="57">
        <v>0</v>
      </c>
      <c r="D92" s="57">
        <v>10449.350999999999</v>
      </c>
      <c r="E92" s="57">
        <v>13276.260864190588</v>
      </c>
      <c r="F92" s="57">
        <v>5545.5164999999997</v>
      </c>
      <c r="G92" s="57">
        <v>5633.7304903464292</v>
      </c>
      <c r="H92" s="58">
        <v>0.2705344919689836</v>
      </c>
      <c r="I92" s="58">
        <v>1.5907263164112839E-2</v>
      </c>
      <c r="J92" s="58">
        <v>0.1822537044797039</v>
      </c>
    </row>
    <row r="93" spans="1:10" ht="11.25" customHeight="1" x14ac:dyDescent="0.2">
      <c r="A93" s="67">
        <v>44531</v>
      </c>
      <c r="B93" s="57">
        <v>0</v>
      </c>
      <c r="C93" s="57">
        <v>0</v>
      </c>
      <c r="D93" s="57">
        <v>10758.296999999999</v>
      </c>
      <c r="E93" s="57">
        <v>13668.787413346437</v>
      </c>
      <c r="F93" s="57">
        <v>5709.4755000000005</v>
      </c>
      <c r="G93" s="57">
        <v>5800.2976293075535</v>
      </c>
      <c r="H93" s="58">
        <v>0.27053449196898338</v>
      </c>
      <c r="I93" s="58">
        <v>1.5907263164112617E-2</v>
      </c>
      <c r="J93" s="58">
        <v>0.18225370447970368</v>
      </c>
    </row>
    <row r="94" spans="1:10" ht="11.25" customHeight="1" x14ac:dyDescent="0.2">
      <c r="A94" s="67">
        <v>44562</v>
      </c>
      <c r="B94" s="57">
        <v>0</v>
      </c>
      <c r="C94" s="57">
        <v>0</v>
      </c>
      <c r="D94" s="57">
        <v>10783.212</v>
      </c>
      <c r="E94" s="57">
        <v>13700.442780213845</v>
      </c>
      <c r="F94" s="57">
        <v>5722.6980000000003</v>
      </c>
      <c r="G94" s="57">
        <v>5813.7304630947419</v>
      </c>
      <c r="H94" s="58">
        <v>0.27053449196898338</v>
      </c>
      <c r="I94" s="58">
        <v>1.5907263164112839E-2</v>
      </c>
      <c r="J94" s="58">
        <v>0.18225370447970368</v>
      </c>
    </row>
    <row r="95" spans="1:10" ht="11.25" customHeight="1" x14ac:dyDescent="0.2">
      <c r="A95" s="67">
        <v>44593</v>
      </c>
      <c r="B95" s="57">
        <v>0</v>
      </c>
      <c r="C95" s="57">
        <v>0</v>
      </c>
      <c r="D95" s="57">
        <v>12178.451999999999</v>
      </c>
      <c r="E95" s="57">
        <v>15473.143324788647</v>
      </c>
      <c r="F95" s="57">
        <v>6463.1579999999994</v>
      </c>
      <c r="G95" s="57">
        <v>6565.9691551772403</v>
      </c>
      <c r="H95" s="58">
        <v>0.27053449196898316</v>
      </c>
      <c r="I95" s="58">
        <v>1.5907263164112839E-2</v>
      </c>
      <c r="J95" s="58">
        <v>0.18225370447970346</v>
      </c>
    </row>
    <row r="96" spans="1:10" ht="11.25" customHeight="1" x14ac:dyDescent="0.2">
      <c r="A96" s="67">
        <v>44621</v>
      </c>
      <c r="B96" s="57">
        <v>0</v>
      </c>
      <c r="C96" s="57">
        <v>0</v>
      </c>
      <c r="D96" s="57">
        <v>12517.296</v>
      </c>
      <c r="E96" s="57">
        <v>15903.656314185388</v>
      </c>
      <c r="F96" s="57">
        <v>6642.9840000000004</v>
      </c>
      <c r="G96" s="57">
        <v>6748.6556946829905</v>
      </c>
      <c r="H96" s="58">
        <v>0.27053449196898338</v>
      </c>
      <c r="I96" s="58">
        <v>1.5907263164112617E-2</v>
      </c>
      <c r="J96" s="58">
        <v>0.1822537044797039</v>
      </c>
    </row>
    <row r="97" spans="1:10" ht="11.25" customHeight="1" x14ac:dyDescent="0.2">
      <c r="A97" s="67">
        <v>44652</v>
      </c>
      <c r="B97" s="57">
        <v>0</v>
      </c>
      <c r="C97" s="57">
        <v>0</v>
      </c>
      <c r="D97" s="57">
        <v>12796.344000000001</v>
      </c>
      <c r="E97" s="57">
        <v>16258.196423100349</v>
      </c>
      <c r="F97" s="57">
        <v>6791.0760000000009</v>
      </c>
      <c r="G97" s="57">
        <v>6899.1034330994908</v>
      </c>
      <c r="H97" s="58">
        <v>0.27053449196898338</v>
      </c>
      <c r="I97" s="58">
        <v>1.5907263164112617E-2</v>
      </c>
      <c r="J97" s="58">
        <v>0.18225370447970368</v>
      </c>
    </row>
    <row r="98" spans="1:10" ht="11.25" customHeight="1" x14ac:dyDescent="0.2">
      <c r="A98" s="63" t="s">
        <v>29</v>
      </c>
      <c r="B98" s="57">
        <v>0</v>
      </c>
      <c r="C98" s="57">
        <v>0</v>
      </c>
      <c r="D98" s="57">
        <v>345775.72743999999</v>
      </c>
      <c r="E98" s="57">
        <v>439324.39643013896</v>
      </c>
      <c r="F98" s="57">
        <v>183501.33516000005</v>
      </c>
      <c r="G98" s="57">
        <v>186425.62635970104</v>
      </c>
      <c r="H98" s="58">
        <v>0.27054724078737369</v>
      </c>
      <c r="I98" s="58">
        <v>1.593607587187984E-2</v>
      </c>
      <c r="J98" s="58">
        <v>0.18227307965308359</v>
      </c>
    </row>
    <row r="99" spans="1:10" ht="11.25" customHeight="1" x14ac:dyDescent="0.2">
      <c r="A99" s="64" t="s">
        <v>25</v>
      </c>
      <c r="B99" s="57">
        <v>0</v>
      </c>
      <c r="C99" s="57">
        <v>0</v>
      </c>
      <c r="D99" s="57">
        <v>345775.72743999999</v>
      </c>
      <c r="E99" s="57">
        <v>439324.39643013896</v>
      </c>
      <c r="F99" s="57">
        <v>183501.33516000005</v>
      </c>
      <c r="G99" s="57">
        <v>186425.62635970104</v>
      </c>
      <c r="H99" s="58">
        <v>0.27054724078737369</v>
      </c>
      <c r="I99" s="58">
        <v>1.593607587187984E-2</v>
      </c>
      <c r="J99" s="58">
        <v>0.18227307965308359</v>
      </c>
    </row>
    <row r="100" spans="1:10" ht="11.25" customHeight="1" x14ac:dyDescent="0.2">
      <c r="A100" s="65" t="s">
        <v>25</v>
      </c>
      <c r="B100" s="57">
        <v>0</v>
      </c>
      <c r="C100" s="57">
        <v>0</v>
      </c>
      <c r="D100" s="57">
        <v>345775.72743999999</v>
      </c>
      <c r="E100" s="57">
        <v>439324.39643013896</v>
      </c>
      <c r="F100" s="57">
        <v>183501.33516000005</v>
      </c>
      <c r="G100" s="57">
        <v>186425.62635970104</v>
      </c>
      <c r="H100" s="58">
        <v>0.27054724078737369</v>
      </c>
      <c r="I100" s="58">
        <v>1.593607587187984E-2</v>
      </c>
      <c r="J100" s="58">
        <v>0.18227307965308359</v>
      </c>
    </row>
    <row r="101" spans="1:10" ht="11.25" customHeight="1" x14ac:dyDescent="0.2">
      <c r="A101" s="66" t="s">
        <v>25</v>
      </c>
      <c r="B101" s="57">
        <v>0</v>
      </c>
      <c r="C101" s="57">
        <v>0</v>
      </c>
      <c r="D101" s="57">
        <v>345775.72743999999</v>
      </c>
      <c r="E101" s="57">
        <v>439324.39643013896</v>
      </c>
      <c r="F101" s="57">
        <v>183501.33516000005</v>
      </c>
      <c r="G101" s="57">
        <v>186425.62635970104</v>
      </c>
      <c r="H101" s="58">
        <v>0.27054724078737369</v>
      </c>
      <c r="I101" s="58">
        <v>1.593607587187984E-2</v>
      </c>
      <c r="J101" s="58">
        <v>0.18227307965308359</v>
      </c>
    </row>
    <row r="102" spans="1:10" ht="11.25" customHeight="1" x14ac:dyDescent="0.2">
      <c r="A102" s="67">
        <v>44317</v>
      </c>
      <c r="B102" s="57">
        <v>0</v>
      </c>
      <c r="C102" s="57">
        <v>0</v>
      </c>
      <c r="D102" s="57">
        <v>26938.681920000003</v>
      </c>
      <c r="E102" s="57">
        <v>34226.867983904711</v>
      </c>
      <c r="F102" s="57">
        <v>14296.214880000001</v>
      </c>
      <c r="G102" s="57">
        <v>14524.040445008382</v>
      </c>
      <c r="H102" s="58">
        <v>0.27054724078737369</v>
      </c>
      <c r="I102" s="58">
        <v>1.5936075871880062E-2</v>
      </c>
      <c r="J102" s="58">
        <v>0.18227307965308381</v>
      </c>
    </row>
    <row r="103" spans="1:10" ht="11.25" customHeight="1" x14ac:dyDescent="0.2">
      <c r="A103" s="67">
        <v>44348</v>
      </c>
      <c r="B103" s="57">
        <v>0</v>
      </c>
      <c r="C103" s="57">
        <v>0</v>
      </c>
      <c r="D103" s="57">
        <v>25452.339120000001</v>
      </c>
      <c r="E103" s="57">
        <v>32338.399240500534</v>
      </c>
      <c r="F103" s="57">
        <v>13507.420680000003</v>
      </c>
      <c r="G103" s="57">
        <v>13722.675960789884</v>
      </c>
      <c r="H103" s="58">
        <v>0.27054724078737369</v>
      </c>
      <c r="I103" s="58">
        <v>1.5936075871880062E-2</v>
      </c>
      <c r="J103" s="58">
        <v>0.18227307965308404</v>
      </c>
    </row>
    <row r="104" spans="1:10" ht="11.25" customHeight="1" x14ac:dyDescent="0.2">
      <c r="A104" s="67">
        <v>44378</v>
      </c>
      <c r="B104" s="57">
        <v>0</v>
      </c>
      <c r="C104" s="57">
        <v>0</v>
      </c>
      <c r="D104" s="57">
        <v>24825.341640000002</v>
      </c>
      <c r="E104" s="57">
        <v>31541.7693223059</v>
      </c>
      <c r="F104" s="57">
        <v>13174.676460000002</v>
      </c>
      <c r="G104" s="57">
        <v>13384.629103654033</v>
      </c>
      <c r="H104" s="58">
        <v>0.27054724078737369</v>
      </c>
      <c r="I104" s="58">
        <v>1.5936075871880062E-2</v>
      </c>
      <c r="J104" s="58">
        <v>0.18227307965308381</v>
      </c>
    </row>
    <row r="105" spans="1:10" ht="11.25" customHeight="1" x14ac:dyDescent="0.2">
      <c r="A105" s="67">
        <v>44409</v>
      </c>
      <c r="B105" s="57">
        <v>0</v>
      </c>
      <c r="C105" s="57">
        <v>0</v>
      </c>
      <c r="D105" s="57">
        <v>25188.95462</v>
      </c>
      <c r="E105" s="57">
        <v>32003.756790759369</v>
      </c>
      <c r="F105" s="57">
        <v>13367.64393</v>
      </c>
      <c r="G105" s="57">
        <v>13580.671717896756</v>
      </c>
      <c r="H105" s="58">
        <v>0.27054724078737369</v>
      </c>
      <c r="I105" s="58">
        <v>1.593607587187984E-2</v>
      </c>
      <c r="J105" s="58">
        <v>0.18227307965308381</v>
      </c>
    </row>
    <row r="106" spans="1:10" ht="11.25" customHeight="1" x14ac:dyDescent="0.2">
      <c r="A106" s="67">
        <v>44440</v>
      </c>
      <c r="B106" s="57">
        <v>0</v>
      </c>
      <c r="C106" s="57">
        <v>0</v>
      </c>
      <c r="D106" s="57">
        <v>25944.939319999998</v>
      </c>
      <c r="E106" s="57">
        <v>32964.271065421839</v>
      </c>
      <c r="F106" s="57">
        <v>13768.840980000001</v>
      </c>
      <c r="G106" s="57">
        <v>13988.262274525132</v>
      </c>
      <c r="H106" s="58">
        <v>0.27054724078737369</v>
      </c>
      <c r="I106" s="58">
        <v>1.5936075871880062E-2</v>
      </c>
      <c r="J106" s="58">
        <v>0.18227307965308381</v>
      </c>
    </row>
    <row r="107" spans="1:10" ht="11.25" customHeight="1" x14ac:dyDescent="0.2">
      <c r="A107" s="67">
        <v>44470</v>
      </c>
      <c r="B107" s="57">
        <v>0</v>
      </c>
      <c r="C107" s="57">
        <v>0</v>
      </c>
      <c r="D107" s="57">
        <v>26238.221519999999</v>
      </c>
      <c r="E107" s="57">
        <v>33336.899955403889</v>
      </c>
      <c r="F107" s="57">
        <v>13924.484280000001</v>
      </c>
      <c r="G107" s="57">
        <v>14146.385917962882</v>
      </c>
      <c r="H107" s="58">
        <v>0.27054724078737369</v>
      </c>
      <c r="I107" s="58">
        <v>1.5936075871880062E-2</v>
      </c>
      <c r="J107" s="58">
        <v>0.18227307965308381</v>
      </c>
    </row>
    <row r="108" spans="1:10" ht="11.25" customHeight="1" x14ac:dyDescent="0.2">
      <c r="A108" s="67">
        <v>44501</v>
      </c>
      <c r="B108" s="57">
        <v>0</v>
      </c>
      <c r="C108" s="57">
        <v>0</v>
      </c>
      <c r="D108" s="57">
        <v>30866.954959999999</v>
      </c>
      <c r="E108" s="57">
        <v>39217.92445593614</v>
      </c>
      <c r="F108" s="57">
        <v>16380.928440000002</v>
      </c>
      <c r="G108" s="57">
        <v>16641.976158471676</v>
      </c>
      <c r="H108" s="58">
        <v>0.27054724078737369</v>
      </c>
      <c r="I108" s="58">
        <v>1.593607587187984E-2</v>
      </c>
      <c r="J108" s="58">
        <v>0.18227307965308381</v>
      </c>
    </row>
    <row r="109" spans="1:10" ht="11.25" customHeight="1" x14ac:dyDescent="0.2">
      <c r="A109" s="67">
        <v>44531</v>
      </c>
      <c r="B109" s="57">
        <v>0</v>
      </c>
      <c r="C109" s="57">
        <v>0</v>
      </c>
      <c r="D109" s="57">
        <v>29952.370080000001</v>
      </c>
      <c r="E109" s="57">
        <v>38055.901160186288</v>
      </c>
      <c r="F109" s="57">
        <v>15895.563120000001</v>
      </c>
      <c r="G109" s="57">
        <v>16148.876019906578</v>
      </c>
      <c r="H109" s="58">
        <v>0.27054724078737369</v>
      </c>
      <c r="I109" s="58">
        <v>1.5936075871880062E-2</v>
      </c>
      <c r="J109" s="58">
        <v>0.18227307965308381</v>
      </c>
    </row>
    <row r="110" spans="1:10" ht="11.25" customHeight="1" x14ac:dyDescent="0.2">
      <c r="A110" s="67">
        <v>44562</v>
      </c>
      <c r="B110" s="57">
        <v>0</v>
      </c>
      <c r="C110" s="57">
        <v>0</v>
      </c>
      <c r="D110" s="57">
        <v>29179.585719999999</v>
      </c>
      <c r="E110" s="57">
        <v>37074.042123864652</v>
      </c>
      <c r="F110" s="57">
        <v>15485.450580000001</v>
      </c>
      <c r="G110" s="57">
        <v>15732.227895353129</v>
      </c>
      <c r="H110" s="58">
        <v>0.27054724078737369</v>
      </c>
      <c r="I110" s="58">
        <v>1.5936075871880062E-2</v>
      </c>
      <c r="J110" s="58">
        <v>0.18227307965308381</v>
      </c>
    </row>
    <row r="111" spans="1:10" ht="11.25" customHeight="1" x14ac:dyDescent="0.2">
      <c r="A111" s="67">
        <v>44593</v>
      </c>
      <c r="B111" s="57">
        <v>0</v>
      </c>
      <c r="C111" s="57">
        <v>0</v>
      </c>
      <c r="D111" s="57">
        <v>31199.816019999998</v>
      </c>
      <c r="E111" s="57">
        <v>39640.8401572847</v>
      </c>
      <c r="F111" s="57">
        <v>16557.57603</v>
      </c>
      <c r="G111" s="57">
        <v>16821.438817868504</v>
      </c>
      <c r="H111" s="58">
        <v>0.27054724078737369</v>
      </c>
      <c r="I111" s="58">
        <v>1.5936075871880062E-2</v>
      </c>
      <c r="J111" s="58">
        <v>0.18227307965308404</v>
      </c>
    </row>
    <row r="112" spans="1:10" ht="11.25" customHeight="1" x14ac:dyDescent="0.2">
      <c r="A112" s="67">
        <v>44621</v>
      </c>
      <c r="B112" s="57">
        <v>0</v>
      </c>
      <c r="C112" s="57">
        <v>0</v>
      </c>
      <c r="D112" s="57">
        <v>34825.41044</v>
      </c>
      <c r="E112" s="57">
        <v>44247.329143829797</v>
      </c>
      <c r="F112" s="57">
        <v>18481.659660000001</v>
      </c>
      <c r="G112" s="57">
        <v>18776.184790580024</v>
      </c>
      <c r="H112" s="58">
        <v>0.27054724078737369</v>
      </c>
      <c r="I112" s="58">
        <v>1.593607587187984E-2</v>
      </c>
      <c r="J112" s="58">
        <v>0.18227307965308381</v>
      </c>
    </row>
    <row r="113" spans="1:10" ht="11.25" customHeight="1" x14ac:dyDescent="0.2">
      <c r="A113" s="67">
        <v>44652</v>
      </c>
      <c r="B113" s="57">
        <v>0</v>
      </c>
      <c r="C113" s="57">
        <v>0</v>
      </c>
      <c r="D113" s="57">
        <v>35163.112079999999</v>
      </c>
      <c r="E113" s="57">
        <v>44676.395030741172</v>
      </c>
      <c r="F113" s="57">
        <v>18660.876120000001</v>
      </c>
      <c r="G113" s="57">
        <v>18958.257257684076</v>
      </c>
      <c r="H113" s="58">
        <v>0.27054724078737391</v>
      </c>
      <c r="I113" s="58">
        <v>1.5936075871880062E-2</v>
      </c>
      <c r="J113" s="58">
        <v>0.18227307965308381</v>
      </c>
    </row>
    <row r="114" spans="1:10" ht="11.25" customHeight="1" x14ac:dyDescent="0.2">
      <c r="A114" s="63" t="s">
        <v>30</v>
      </c>
      <c r="B114" s="57">
        <v>0</v>
      </c>
      <c r="C114" s="57">
        <v>0</v>
      </c>
      <c r="D114" s="57">
        <v>172505.45789999998</v>
      </c>
      <c r="E114" s="57">
        <v>219176.33355560747</v>
      </c>
      <c r="F114" s="57">
        <v>91549.746299999999</v>
      </c>
      <c r="G114" s="57">
        <v>93006.638370979752</v>
      </c>
      <c r="H114" s="58">
        <v>0.27054724078737391</v>
      </c>
      <c r="I114" s="58">
        <v>1.591366584682441E-2</v>
      </c>
      <c r="J114" s="58">
        <v>0.18226403782647838</v>
      </c>
    </row>
    <row r="115" spans="1:10" ht="11.25" customHeight="1" x14ac:dyDescent="0.2">
      <c r="A115" s="64" t="s">
        <v>25</v>
      </c>
      <c r="B115" s="57">
        <v>0</v>
      </c>
      <c r="C115" s="57">
        <v>0</v>
      </c>
      <c r="D115" s="57">
        <v>172505.45789999998</v>
      </c>
      <c r="E115" s="57">
        <v>219176.33355560747</v>
      </c>
      <c r="F115" s="57">
        <v>91549.746299999999</v>
      </c>
      <c r="G115" s="57">
        <v>93006.638370979752</v>
      </c>
      <c r="H115" s="58">
        <v>0.27054724078737391</v>
      </c>
      <c r="I115" s="58">
        <v>1.591366584682441E-2</v>
      </c>
      <c r="J115" s="58">
        <v>0.18226403782647838</v>
      </c>
    </row>
    <row r="116" spans="1:10" ht="11.25" customHeight="1" x14ac:dyDescent="0.2">
      <c r="A116" s="65" t="s">
        <v>25</v>
      </c>
      <c r="B116" s="57">
        <v>0</v>
      </c>
      <c r="C116" s="57">
        <v>0</v>
      </c>
      <c r="D116" s="57">
        <v>172505.45789999998</v>
      </c>
      <c r="E116" s="57">
        <v>219176.33355560747</v>
      </c>
      <c r="F116" s="57">
        <v>91549.746299999999</v>
      </c>
      <c r="G116" s="57">
        <v>93006.638370979752</v>
      </c>
      <c r="H116" s="58">
        <v>0.27054724078737391</v>
      </c>
      <c r="I116" s="58">
        <v>1.591366584682441E-2</v>
      </c>
      <c r="J116" s="58">
        <v>0.18226403782647838</v>
      </c>
    </row>
    <row r="117" spans="1:10" ht="11.25" customHeight="1" x14ac:dyDescent="0.2">
      <c r="A117" s="66" t="s">
        <v>25</v>
      </c>
      <c r="B117" s="57">
        <v>0</v>
      </c>
      <c r="C117" s="57">
        <v>0</v>
      </c>
      <c r="D117" s="57">
        <v>172505.45789999998</v>
      </c>
      <c r="E117" s="57">
        <v>219176.33355560747</v>
      </c>
      <c r="F117" s="57">
        <v>91549.746299999999</v>
      </c>
      <c r="G117" s="57">
        <v>93006.638370979752</v>
      </c>
      <c r="H117" s="58">
        <v>0.27054724078737391</v>
      </c>
      <c r="I117" s="58">
        <v>1.591366584682441E-2</v>
      </c>
      <c r="J117" s="58">
        <v>0.18226403782647838</v>
      </c>
    </row>
    <row r="118" spans="1:10" ht="11.25" customHeight="1" x14ac:dyDescent="0.2">
      <c r="A118" s="67">
        <v>44317</v>
      </c>
      <c r="B118" s="57">
        <v>0</v>
      </c>
      <c r="C118" s="57">
        <v>0</v>
      </c>
      <c r="D118" s="57">
        <v>13332.665760000002</v>
      </c>
      <c r="E118" s="57">
        <v>16939.781693708293</v>
      </c>
      <c r="F118" s="57">
        <v>7075.7307199999996</v>
      </c>
      <c r="G118" s="57">
        <v>7188.3315343001905</v>
      </c>
      <c r="H118" s="58">
        <v>0.27054724078737369</v>
      </c>
      <c r="I118" s="58">
        <v>1.591366584682441E-2</v>
      </c>
      <c r="J118" s="58">
        <v>0.18226403782647815</v>
      </c>
    </row>
    <row r="119" spans="1:10" ht="11.25" customHeight="1" x14ac:dyDescent="0.2">
      <c r="A119" s="67">
        <v>44348</v>
      </c>
      <c r="B119" s="57">
        <v>0</v>
      </c>
      <c r="C119" s="57">
        <v>0</v>
      </c>
      <c r="D119" s="57">
        <v>11101.44312</v>
      </c>
      <c r="E119" s="57">
        <v>14104.907924873974</v>
      </c>
      <c r="F119" s="57">
        <v>5891.60664</v>
      </c>
      <c r="G119" s="57">
        <v>5985.3636993698919</v>
      </c>
      <c r="H119" s="58">
        <v>0.27054724078737391</v>
      </c>
      <c r="I119" s="58">
        <v>1.591366584682441E-2</v>
      </c>
      <c r="J119" s="58">
        <v>0.18226403782647793</v>
      </c>
    </row>
    <row r="120" spans="1:10" ht="11.25" customHeight="1" x14ac:dyDescent="0.2">
      <c r="A120" s="67">
        <v>44378</v>
      </c>
      <c r="B120" s="57">
        <v>0</v>
      </c>
      <c r="C120" s="57">
        <v>0</v>
      </c>
      <c r="D120" s="57">
        <v>10175.89575</v>
      </c>
      <c r="E120" s="57">
        <v>12928.956267702464</v>
      </c>
      <c r="F120" s="57">
        <v>5400.4127499999995</v>
      </c>
      <c r="G120" s="57">
        <v>5486.3531139384295</v>
      </c>
      <c r="H120" s="58">
        <v>0.27054724078737391</v>
      </c>
      <c r="I120" s="58">
        <v>1.591366584682441E-2</v>
      </c>
      <c r="J120" s="58">
        <v>0.18226403782647838</v>
      </c>
    </row>
    <row r="121" spans="1:10" ht="11.25" customHeight="1" x14ac:dyDescent="0.2">
      <c r="A121" s="67">
        <v>44409</v>
      </c>
      <c r="B121" s="57">
        <v>0</v>
      </c>
      <c r="C121" s="57">
        <v>0</v>
      </c>
      <c r="D121" s="57">
        <v>10198.532580000001</v>
      </c>
      <c r="E121" s="57">
        <v>12957.717429599137</v>
      </c>
      <c r="F121" s="57">
        <v>5412.4262599999993</v>
      </c>
      <c r="G121" s="57">
        <v>5498.5578029222179</v>
      </c>
      <c r="H121" s="58">
        <v>0.27054724078737369</v>
      </c>
      <c r="I121" s="58">
        <v>1.5913665846824632E-2</v>
      </c>
      <c r="J121" s="58">
        <v>0.18226403782647838</v>
      </c>
    </row>
    <row r="122" spans="1:10" ht="11.25" customHeight="1" x14ac:dyDescent="0.2">
      <c r="A122" s="67">
        <v>44440</v>
      </c>
      <c r="B122" s="57">
        <v>0</v>
      </c>
      <c r="C122" s="57">
        <v>0</v>
      </c>
      <c r="D122" s="57">
        <v>11033.53263</v>
      </c>
      <c r="E122" s="57">
        <v>14018.624439183955</v>
      </c>
      <c r="F122" s="57">
        <v>5855.5661099999998</v>
      </c>
      <c r="G122" s="57">
        <v>5948.7496324185295</v>
      </c>
      <c r="H122" s="58">
        <v>0.27054724078737391</v>
      </c>
      <c r="I122" s="58">
        <v>1.591366584682441E-2</v>
      </c>
      <c r="J122" s="58">
        <v>0.18226403782647793</v>
      </c>
    </row>
    <row r="123" spans="1:10" ht="11.25" customHeight="1" x14ac:dyDescent="0.2">
      <c r="A123" s="67">
        <v>44470</v>
      </c>
      <c r="B123" s="57">
        <v>0</v>
      </c>
      <c r="C123" s="57">
        <v>0</v>
      </c>
      <c r="D123" s="57">
        <v>11320.55055</v>
      </c>
      <c r="E123" s="57">
        <v>14383.294265496486</v>
      </c>
      <c r="F123" s="57">
        <v>6007.8883499999993</v>
      </c>
      <c r="G123" s="57">
        <v>6103.4958776469293</v>
      </c>
      <c r="H123" s="58">
        <v>0.27054724078737369</v>
      </c>
      <c r="I123" s="58">
        <v>1.5913665846824632E-2</v>
      </c>
      <c r="J123" s="58">
        <v>0.18226403782647793</v>
      </c>
    </row>
    <row r="124" spans="1:10" ht="11.25" customHeight="1" x14ac:dyDescent="0.2">
      <c r="A124" s="67">
        <v>44501</v>
      </c>
      <c r="B124" s="57">
        <v>0</v>
      </c>
      <c r="C124" s="57">
        <v>0</v>
      </c>
      <c r="D124" s="57">
        <v>19345.093229999999</v>
      </c>
      <c r="E124" s="57">
        <v>24578.854826151004</v>
      </c>
      <c r="F124" s="57">
        <v>10266.56431</v>
      </c>
      <c r="G124" s="57">
        <v>10429.942983824274</v>
      </c>
      <c r="H124" s="58">
        <v>0.27054724078737391</v>
      </c>
      <c r="I124" s="58">
        <v>1.591366584682441E-2</v>
      </c>
      <c r="J124" s="58">
        <v>0.18226403782647815</v>
      </c>
    </row>
    <row r="125" spans="1:10" ht="11.25" customHeight="1" x14ac:dyDescent="0.2">
      <c r="A125" s="67">
        <v>44531</v>
      </c>
      <c r="B125" s="57">
        <v>0</v>
      </c>
      <c r="C125" s="57">
        <v>0</v>
      </c>
      <c r="D125" s="57">
        <v>16238.722200000002</v>
      </c>
      <c r="E125" s="57">
        <v>20632.063685122674</v>
      </c>
      <c r="F125" s="57">
        <v>8617.9933999999994</v>
      </c>
      <c r="G125" s="57">
        <v>8755.1372672377383</v>
      </c>
      <c r="H125" s="58">
        <v>0.27054724078737369</v>
      </c>
      <c r="I125" s="58">
        <v>1.591366584682441E-2</v>
      </c>
      <c r="J125" s="58">
        <v>0.18226403782647815</v>
      </c>
    </row>
    <row r="126" spans="1:10" ht="11.25" customHeight="1" x14ac:dyDescent="0.2">
      <c r="A126" s="67">
        <v>44562</v>
      </c>
      <c r="B126" s="57">
        <v>0</v>
      </c>
      <c r="C126" s="57">
        <v>0</v>
      </c>
      <c r="D126" s="57">
        <v>15050.92929</v>
      </c>
      <c r="E126" s="57">
        <v>19122.916680695365</v>
      </c>
      <c r="F126" s="57">
        <v>7987.6241299999992</v>
      </c>
      <c r="G126" s="57">
        <v>8114.7365113148508</v>
      </c>
      <c r="H126" s="58">
        <v>0.27054724078737369</v>
      </c>
      <c r="I126" s="58">
        <v>1.591366584682441E-2</v>
      </c>
      <c r="J126" s="58">
        <v>0.18226403782647815</v>
      </c>
    </row>
    <row r="127" spans="1:10" ht="11.25" customHeight="1" x14ac:dyDescent="0.2">
      <c r="A127" s="67">
        <v>44593</v>
      </c>
      <c r="B127" s="57">
        <v>0</v>
      </c>
      <c r="C127" s="57">
        <v>0</v>
      </c>
      <c r="D127" s="57">
        <v>15370.407570000001</v>
      </c>
      <c r="E127" s="57">
        <v>19528.828927840863</v>
      </c>
      <c r="F127" s="57">
        <v>8157.1732899999997</v>
      </c>
      <c r="G127" s="57">
        <v>8286.9838199917012</v>
      </c>
      <c r="H127" s="58">
        <v>0.27054724078737369</v>
      </c>
      <c r="I127" s="58">
        <v>1.591366584682441E-2</v>
      </c>
      <c r="J127" s="58">
        <v>0.18226403782647793</v>
      </c>
    </row>
    <row r="128" spans="1:10" ht="11.25" customHeight="1" x14ac:dyDescent="0.2">
      <c r="A128" s="67">
        <v>44621</v>
      </c>
      <c r="B128" s="57">
        <v>0</v>
      </c>
      <c r="C128" s="57">
        <v>0</v>
      </c>
      <c r="D128" s="57">
        <v>20022.062580000002</v>
      </c>
      <c r="E128" s="57">
        <v>25438.976365891129</v>
      </c>
      <c r="F128" s="57">
        <v>10625.83626</v>
      </c>
      <c r="G128" s="57">
        <v>10794.932267584711</v>
      </c>
      <c r="H128" s="58">
        <v>0.27054724078737391</v>
      </c>
      <c r="I128" s="58">
        <v>1.591366584682441E-2</v>
      </c>
      <c r="J128" s="58">
        <v>0.18226403782647815</v>
      </c>
    </row>
    <row r="129" spans="1:10" ht="11.25" customHeight="1" x14ac:dyDescent="0.2">
      <c r="A129" s="67">
        <v>44652</v>
      </c>
      <c r="B129" s="57">
        <v>0</v>
      </c>
      <c r="C129" s="57">
        <v>0</v>
      </c>
      <c r="D129" s="57">
        <v>19315.622639999998</v>
      </c>
      <c r="E129" s="57">
        <v>24541.411049342129</v>
      </c>
      <c r="F129" s="57">
        <v>10250.924079999999</v>
      </c>
      <c r="G129" s="57">
        <v>10414.053860430286</v>
      </c>
      <c r="H129" s="58">
        <v>0.27054724078737391</v>
      </c>
      <c r="I129" s="58">
        <v>1.591366584682441E-2</v>
      </c>
      <c r="J129" s="58">
        <v>0.18226403782647838</v>
      </c>
    </row>
    <row r="130" spans="1:10" ht="11.25" customHeight="1" x14ac:dyDescent="0.2">
      <c r="A130" s="63" t="s">
        <v>31</v>
      </c>
      <c r="B130" s="57">
        <v>0</v>
      </c>
      <c r="C130" s="57">
        <v>0</v>
      </c>
      <c r="D130" s="57">
        <v>49299.75531</v>
      </c>
      <c r="E130" s="57">
        <v>62637.228119749794</v>
      </c>
      <c r="F130" s="57">
        <v>26162.933550000002</v>
      </c>
      <c r="G130" s="57">
        <v>26579.868044083756</v>
      </c>
      <c r="H130" s="58">
        <v>0.2705383165876365</v>
      </c>
      <c r="I130" s="58">
        <v>1.5936075871880062E-2</v>
      </c>
      <c r="J130" s="58">
        <v>0.18226765454052418</v>
      </c>
    </row>
    <row r="131" spans="1:10" ht="11.25" customHeight="1" x14ac:dyDescent="0.2">
      <c r="A131" s="64" t="s">
        <v>25</v>
      </c>
      <c r="B131" s="57">
        <v>0</v>
      </c>
      <c r="C131" s="57">
        <v>0</v>
      </c>
      <c r="D131" s="57">
        <v>49299.75531</v>
      </c>
      <c r="E131" s="57">
        <v>62637.228119749794</v>
      </c>
      <c r="F131" s="57">
        <v>26162.933550000002</v>
      </c>
      <c r="G131" s="57">
        <v>26579.868044083756</v>
      </c>
      <c r="H131" s="58">
        <v>0.2705383165876365</v>
      </c>
      <c r="I131" s="58">
        <v>1.5936075871880062E-2</v>
      </c>
      <c r="J131" s="58">
        <v>0.18226765454052418</v>
      </c>
    </row>
    <row r="132" spans="1:10" ht="11.25" customHeight="1" x14ac:dyDescent="0.2">
      <c r="A132" s="65" t="s">
        <v>25</v>
      </c>
      <c r="B132" s="57">
        <v>0</v>
      </c>
      <c r="C132" s="57">
        <v>0</v>
      </c>
      <c r="D132" s="57">
        <v>49299.75531</v>
      </c>
      <c r="E132" s="57">
        <v>62637.228119749794</v>
      </c>
      <c r="F132" s="57">
        <v>26162.933550000002</v>
      </c>
      <c r="G132" s="57">
        <v>26579.868044083756</v>
      </c>
      <c r="H132" s="58">
        <v>0.2705383165876365</v>
      </c>
      <c r="I132" s="58">
        <v>1.5936075871880062E-2</v>
      </c>
      <c r="J132" s="58">
        <v>0.18226765454052418</v>
      </c>
    </row>
    <row r="133" spans="1:10" ht="11.25" customHeight="1" x14ac:dyDescent="0.2">
      <c r="A133" s="66" t="s">
        <v>25</v>
      </c>
      <c r="B133" s="57">
        <v>0</v>
      </c>
      <c r="C133" s="57">
        <v>0</v>
      </c>
      <c r="D133" s="57">
        <v>49299.75531</v>
      </c>
      <c r="E133" s="57">
        <v>62637.228119749794</v>
      </c>
      <c r="F133" s="57">
        <v>26162.933550000002</v>
      </c>
      <c r="G133" s="57">
        <v>26579.868044083756</v>
      </c>
      <c r="H133" s="58">
        <v>0.2705383165876365</v>
      </c>
      <c r="I133" s="58">
        <v>1.5936075871880062E-2</v>
      </c>
      <c r="J133" s="58">
        <v>0.18226765454052418</v>
      </c>
    </row>
    <row r="134" spans="1:10" ht="11.25" customHeight="1" x14ac:dyDescent="0.2">
      <c r="A134" s="67">
        <v>44317</v>
      </c>
      <c r="B134" s="57">
        <v>0</v>
      </c>
      <c r="C134" s="57">
        <v>0</v>
      </c>
      <c r="D134" s="57">
        <v>3070.94247</v>
      </c>
      <c r="E134" s="57">
        <v>3901.7500761712786</v>
      </c>
      <c r="F134" s="57">
        <v>1629.72135</v>
      </c>
      <c r="G134" s="57">
        <v>1655.6927130836227</v>
      </c>
      <c r="H134" s="58">
        <v>0.2705383165876365</v>
      </c>
      <c r="I134" s="58">
        <v>1.5936075871880062E-2</v>
      </c>
      <c r="J134" s="58">
        <v>0.1822676545405244</v>
      </c>
    </row>
    <row r="135" spans="1:10" ht="11.25" customHeight="1" x14ac:dyDescent="0.2">
      <c r="A135" s="67">
        <v>44348</v>
      </c>
      <c r="B135" s="57">
        <v>0</v>
      </c>
      <c r="C135" s="57">
        <v>0</v>
      </c>
      <c r="D135" s="57">
        <v>2841.72516</v>
      </c>
      <c r="E135" s="57">
        <v>3610.5207009911323</v>
      </c>
      <c r="F135" s="57">
        <v>1508.0778</v>
      </c>
      <c r="G135" s="57">
        <v>1532.110642241498</v>
      </c>
      <c r="H135" s="58">
        <v>0.27053831658763672</v>
      </c>
      <c r="I135" s="58">
        <v>1.5936075871880062E-2</v>
      </c>
      <c r="J135" s="58">
        <v>0.1822676545405244</v>
      </c>
    </row>
    <row r="136" spans="1:10" ht="11.25" customHeight="1" x14ac:dyDescent="0.2">
      <c r="A136" s="67">
        <v>44378</v>
      </c>
      <c r="B136" s="57">
        <v>0</v>
      </c>
      <c r="C136" s="57">
        <v>0</v>
      </c>
      <c r="D136" s="57">
        <v>2637.1854900000003</v>
      </c>
      <c r="E136" s="57">
        <v>3350.6452129939416</v>
      </c>
      <c r="F136" s="57">
        <v>1399.53045</v>
      </c>
      <c r="G136" s="57">
        <v>1421.8334734362065</v>
      </c>
      <c r="H136" s="58">
        <v>0.2705383165876365</v>
      </c>
      <c r="I136" s="58">
        <v>1.5936075871880062E-2</v>
      </c>
      <c r="J136" s="58">
        <v>0.18226765454052418</v>
      </c>
    </row>
    <row r="137" spans="1:10" ht="11.25" customHeight="1" x14ac:dyDescent="0.2">
      <c r="A137" s="67">
        <v>44409</v>
      </c>
      <c r="B137" s="57">
        <v>0</v>
      </c>
      <c r="C137" s="57">
        <v>0</v>
      </c>
      <c r="D137" s="57">
        <v>2540.8477800000001</v>
      </c>
      <c r="E137" s="57">
        <v>3228.2444611066335</v>
      </c>
      <c r="F137" s="57">
        <v>1348.4049</v>
      </c>
      <c r="G137" s="57">
        <v>1369.8931827924148</v>
      </c>
      <c r="H137" s="58">
        <v>0.2705383165876365</v>
      </c>
      <c r="I137" s="58">
        <v>1.5936075871880062E-2</v>
      </c>
      <c r="J137" s="58">
        <v>0.18226765454052418</v>
      </c>
    </row>
    <row r="138" spans="1:10" ht="11.25" customHeight="1" x14ac:dyDescent="0.2">
      <c r="A138" s="67">
        <v>44440</v>
      </c>
      <c r="B138" s="57">
        <v>0</v>
      </c>
      <c r="C138" s="57">
        <v>0</v>
      </c>
      <c r="D138" s="57">
        <v>2712.1675500000001</v>
      </c>
      <c r="E138" s="57">
        <v>3445.9127932806146</v>
      </c>
      <c r="F138" s="57">
        <v>1439.32275</v>
      </c>
      <c r="G138" s="57">
        <v>1462.2599065481231</v>
      </c>
      <c r="H138" s="58">
        <v>0.2705383165876365</v>
      </c>
      <c r="I138" s="58">
        <v>1.5936075871880062E-2</v>
      </c>
      <c r="J138" s="58">
        <v>0.18226765454052418</v>
      </c>
    </row>
    <row r="139" spans="1:10" ht="11.25" customHeight="1" x14ac:dyDescent="0.2">
      <c r="A139" s="67">
        <v>44470</v>
      </c>
      <c r="B139" s="57">
        <v>0</v>
      </c>
      <c r="C139" s="57">
        <v>0</v>
      </c>
      <c r="D139" s="57">
        <v>3110.8063499999998</v>
      </c>
      <c r="E139" s="57">
        <v>3952.3986631591301</v>
      </c>
      <c r="F139" s="57">
        <v>1650.8767499999999</v>
      </c>
      <c r="G139" s="57">
        <v>1677.1852471431228</v>
      </c>
      <c r="H139" s="58">
        <v>0.27053831658763672</v>
      </c>
      <c r="I139" s="58">
        <v>1.5936075871880062E-2</v>
      </c>
      <c r="J139" s="58">
        <v>0.18226765454052418</v>
      </c>
    </row>
    <row r="140" spans="1:10" ht="11.25" customHeight="1" x14ac:dyDescent="0.2">
      <c r="A140" s="67">
        <v>44501</v>
      </c>
      <c r="B140" s="57">
        <v>0</v>
      </c>
      <c r="C140" s="57">
        <v>0</v>
      </c>
      <c r="D140" s="57">
        <v>5053.6959299999999</v>
      </c>
      <c r="E140" s="57">
        <v>6420.9143194479902</v>
      </c>
      <c r="F140" s="57">
        <v>2681.9506499999998</v>
      </c>
      <c r="G140" s="57">
        <v>2724.6904190430378</v>
      </c>
      <c r="H140" s="58">
        <v>0.2705383165876365</v>
      </c>
      <c r="I140" s="58">
        <v>1.5936075871880062E-2</v>
      </c>
      <c r="J140" s="58">
        <v>0.18226765454052418</v>
      </c>
    </row>
    <row r="141" spans="1:10" ht="11.25" customHeight="1" x14ac:dyDescent="0.2">
      <c r="A141" s="67">
        <v>44531</v>
      </c>
      <c r="B141" s="57">
        <v>0</v>
      </c>
      <c r="C141" s="57">
        <v>0</v>
      </c>
      <c r="D141" s="57">
        <v>3830.2544699999999</v>
      </c>
      <c r="E141" s="57">
        <v>4866.4850664160704</v>
      </c>
      <c r="F141" s="57">
        <v>2032.6813499999998</v>
      </c>
      <c r="G141" s="57">
        <v>2065.0743142169554</v>
      </c>
      <c r="H141" s="58">
        <v>0.27053831658763672</v>
      </c>
      <c r="I141" s="58">
        <v>1.5936075871880062E-2</v>
      </c>
      <c r="J141" s="58">
        <v>0.1822676545405244</v>
      </c>
    </row>
    <row r="142" spans="1:10" ht="11.25" customHeight="1" x14ac:dyDescent="0.2">
      <c r="A142" s="67">
        <v>44562</v>
      </c>
      <c r="B142" s="57">
        <v>0</v>
      </c>
      <c r="C142" s="57">
        <v>0</v>
      </c>
      <c r="D142" s="57">
        <v>3940.3547100000005</v>
      </c>
      <c r="E142" s="57">
        <v>5006.3716400015655</v>
      </c>
      <c r="F142" s="57">
        <v>2091.1105500000003</v>
      </c>
      <c r="G142" s="57">
        <v>2124.434646381289</v>
      </c>
      <c r="H142" s="58">
        <v>0.2705383165876365</v>
      </c>
      <c r="I142" s="58">
        <v>1.5936075871880062E-2</v>
      </c>
      <c r="J142" s="58">
        <v>0.18226765454052418</v>
      </c>
    </row>
    <row r="143" spans="1:10" ht="11.25" customHeight="1" x14ac:dyDescent="0.2">
      <c r="A143" s="67">
        <v>44593</v>
      </c>
      <c r="B143" s="57">
        <v>0</v>
      </c>
      <c r="C143" s="57">
        <v>0</v>
      </c>
      <c r="D143" s="57">
        <v>5131.9999799999996</v>
      </c>
      <c r="E143" s="57">
        <v>6520.4026153169843</v>
      </c>
      <c r="F143" s="57">
        <v>2723.5059000000001</v>
      </c>
      <c r="G143" s="57">
        <v>2766.9078966599131</v>
      </c>
      <c r="H143" s="58">
        <v>0.27053831658763672</v>
      </c>
      <c r="I143" s="58">
        <v>1.5936075871880062E-2</v>
      </c>
      <c r="J143" s="58">
        <v>0.1822676545405244</v>
      </c>
    </row>
    <row r="144" spans="1:10" ht="11.25" customHeight="1" x14ac:dyDescent="0.2">
      <c r="A144" s="67">
        <v>44621</v>
      </c>
      <c r="B144" s="57">
        <v>0</v>
      </c>
      <c r="C144" s="57">
        <v>0</v>
      </c>
      <c r="D144" s="57">
        <v>7745.4569700000002</v>
      </c>
      <c r="E144" s="57">
        <v>9840.8998598657781</v>
      </c>
      <c r="F144" s="57">
        <v>4110.4438500000006</v>
      </c>
      <c r="G144" s="57">
        <v>4175.9481950607033</v>
      </c>
      <c r="H144" s="58">
        <v>0.27053831658763672</v>
      </c>
      <c r="I144" s="58">
        <v>1.5936075871880062E-2</v>
      </c>
      <c r="J144" s="58">
        <v>0.18226765454052463</v>
      </c>
    </row>
    <row r="145" spans="1:10" ht="11.25" customHeight="1" x14ac:dyDescent="0.2">
      <c r="A145" s="67">
        <v>44652</v>
      </c>
      <c r="B145" s="57">
        <v>0</v>
      </c>
      <c r="C145" s="57">
        <v>0</v>
      </c>
      <c r="D145" s="57">
        <v>6684.3184500000007</v>
      </c>
      <c r="E145" s="57">
        <v>8492.6827109986807</v>
      </c>
      <c r="F145" s="57">
        <v>3547.3072500000003</v>
      </c>
      <c r="G145" s="57">
        <v>3603.8374074768703</v>
      </c>
      <c r="H145" s="58">
        <v>0.2705383165876365</v>
      </c>
      <c r="I145" s="58">
        <v>1.5936075871880062E-2</v>
      </c>
      <c r="J145" s="58">
        <v>0.1822676545405244</v>
      </c>
    </row>
    <row r="146" spans="1:10" ht="11.25" customHeight="1" x14ac:dyDescent="0.2">
      <c r="A146" s="60" t="s">
        <v>41</v>
      </c>
      <c r="B146" s="57">
        <v>0</v>
      </c>
      <c r="C146" s="57">
        <v>0</v>
      </c>
      <c r="D146" s="57">
        <v>1133107.6933569999</v>
      </c>
      <c r="E146" s="57">
        <v>1565149.1338024712</v>
      </c>
      <c r="F146" s="57">
        <v>561499.44985899993</v>
      </c>
      <c r="G146" s="57">
        <v>609336.19994370441</v>
      </c>
      <c r="H146" s="58">
        <v>0.38128894806590186</v>
      </c>
      <c r="I146" s="58">
        <v>8.5194651743144112E-2</v>
      </c>
      <c r="J146" s="58">
        <v>0.28317961036058792</v>
      </c>
    </row>
    <row r="147" spans="1:10" ht="11.25" customHeight="1" x14ac:dyDescent="0.2">
      <c r="A147" s="61" t="s">
        <v>39</v>
      </c>
      <c r="B147" s="57">
        <v>0</v>
      </c>
      <c r="C147" s="57">
        <v>0</v>
      </c>
      <c r="D147" s="57">
        <v>6186.7427800000005</v>
      </c>
      <c r="E147" s="57">
        <v>8566.6898460577268</v>
      </c>
      <c r="F147" s="57">
        <v>4361.2351400000007</v>
      </c>
      <c r="G147" s="57">
        <v>4732.78904892226</v>
      </c>
      <c r="H147" s="58">
        <v>0.38468498702603671</v>
      </c>
      <c r="I147" s="58">
        <v>8.5194651743143446E-2</v>
      </c>
      <c r="J147" s="58">
        <v>0.26085577689377515</v>
      </c>
    </row>
    <row r="148" spans="1:10" ht="11.25" customHeight="1" x14ac:dyDescent="0.2">
      <c r="A148" s="62" t="s">
        <v>42</v>
      </c>
      <c r="B148" s="57">
        <v>0</v>
      </c>
      <c r="C148" s="57">
        <v>0</v>
      </c>
      <c r="D148" s="57">
        <v>6186.7427800000005</v>
      </c>
      <c r="E148" s="57">
        <v>8566.6898460577268</v>
      </c>
      <c r="F148" s="57">
        <v>4361.2351400000007</v>
      </c>
      <c r="G148" s="57">
        <v>4732.78904892226</v>
      </c>
      <c r="H148" s="58">
        <v>0.38468498702603671</v>
      </c>
      <c r="I148" s="58">
        <v>8.5194651743143446E-2</v>
      </c>
      <c r="J148" s="58">
        <v>0.26085577689377515</v>
      </c>
    </row>
    <row r="149" spans="1:10" ht="11.25" customHeight="1" x14ac:dyDescent="0.2">
      <c r="A149" s="63" t="s">
        <v>25</v>
      </c>
      <c r="B149" s="57">
        <v>0</v>
      </c>
      <c r="C149" s="57">
        <v>0</v>
      </c>
      <c r="D149" s="57">
        <v>6186.7427800000005</v>
      </c>
      <c r="E149" s="57">
        <v>8566.6898460577268</v>
      </c>
      <c r="F149" s="57">
        <v>4361.2351400000007</v>
      </c>
      <c r="G149" s="57">
        <v>4732.78904892226</v>
      </c>
      <c r="H149" s="58">
        <v>0.38468498702603671</v>
      </c>
      <c r="I149" s="58">
        <v>8.5194651743143446E-2</v>
      </c>
      <c r="J149" s="58">
        <v>0.26085577689377515</v>
      </c>
    </row>
    <row r="150" spans="1:10" ht="11.25" customHeight="1" x14ac:dyDescent="0.2">
      <c r="A150" s="64" t="s">
        <v>25</v>
      </c>
      <c r="B150" s="57">
        <v>0</v>
      </c>
      <c r="C150" s="57">
        <v>0</v>
      </c>
      <c r="D150" s="57">
        <v>6186.7427800000005</v>
      </c>
      <c r="E150" s="57">
        <v>8566.6898460577268</v>
      </c>
      <c r="F150" s="57">
        <v>4361.2351400000007</v>
      </c>
      <c r="G150" s="57">
        <v>4732.78904892226</v>
      </c>
      <c r="H150" s="58">
        <v>0.38468498702603671</v>
      </c>
      <c r="I150" s="58">
        <v>8.5194651743143446E-2</v>
      </c>
      <c r="J150" s="58">
        <v>0.26085577689377515</v>
      </c>
    </row>
    <row r="151" spans="1:10" ht="11.25" customHeight="1" x14ac:dyDescent="0.2">
      <c r="A151" s="65" t="s">
        <v>25</v>
      </c>
      <c r="B151" s="57">
        <v>0</v>
      </c>
      <c r="C151" s="57">
        <v>0</v>
      </c>
      <c r="D151" s="57">
        <v>6186.7427800000005</v>
      </c>
      <c r="E151" s="57">
        <v>8566.6898460577268</v>
      </c>
      <c r="F151" s="57">
        <v>4361.2351400000007</v>
      </c>
      <c r="G151" s="57">
        <v>4732.78904892226</v>
      </c>
      <c r="H151" s="58">
        <v>0.38468498702603671</v>
      </c>
      <c r="I151" s="58">
        <v>8.5194651743143446E-2</v>
      </c>
      <c r="J151" s="58">
        <v>0.26085577689377515</v>
      </c>
    </row>
    <row r="152" spans="1:10" ht="11.25" customHeight="1" x14ac:dyDescent="0.2">
      <c r="A152" s="66" t="s">
        <v>37</v>
      </c>
      <c r="B152" s="57">
        <v>0</v>
      </c>
      <c r="C152" s="57">
        <v>0</v>
      </c>
      <c r="D152" s="57">
        <v>4443.9951599999995</v>
      </c>
      <c r="E152" s="57">
        <v>6162.295796726864</v>
      </c>
      <c r="F152" s="57">
        <v>3671.5225799999994</v>
      </c>
      <c r="G152" s="57">
        <v>3984.31666757019</v>
      </c>
      <c r="H152" s="58">
        <v>0.3866567300057242</v>
      </c>
      <c r="I152" s="58">
        <v>8.5194651743144334E-2</v>
      </c>
      <c r="J152" s="58">
        <v>0.25027296955881639</v>
      </c>
    </row>
    <row r="153" spans="1:10" ht="11.25" customHeight="1" x14ac:dyDescent="0.2">
      <c r="A153" s="67">
        <v>44317</v>
      </c>
      <c r="B153" s="57">
        <v>0</v>
      </c>
      <c r="C153" s="57">
        <v>0</v>
      </c>
      <c r="D153" s="57">
        <v>96.037079999999989</v>
      </c>
      <c r="E153" s="57">
        <v>133.17046331209809</v>
      </c>
      <c r="F153" s="57">
        <v>79.34353999999999</v>
      </c>
      <c r="G153" s="57">
        <v>86.1031852583682</v>
      </c>
      <c r="H153" s="58">
        <v>0.38665673000572398</v>
      </c>
      <c r="I153" s="58">
        <v>8.519465174314389E-2</v>
      </c>
      <c r="J153" s="58">
        <v>0.25027296955881639</v>
      </c>
    </row>
    <row r="154" spans="1:10" ht="11.25" customHeight="1" x14ac:dyDescent="0.2">
      <c r="A154" s="67">
        <v>44348</v>
      </c>
      <c r="B154" s="57">
        <v>0</v>
      </c>
      <c r="C154" s="57">
        <v>0</v>
      </c>
      <c r="D154" s="57">
        <v>83.42886</v>
      </c>
      <c r="E154" s="57">
        <v>115.68719019570534</v>
      </c>
      <c r="F154" s="57">
        <v>68.926929999999999</v>
      </c>
      <c r="G154" s="57">
        <v>74.799135797074058</v>
      </c>
      <c r="H154" s="58">
        <v>0.38665673000572398</v>
      </c>
      <c r="I154" s="58">
        <v>8.519465174314389E-2</v>
      </c>
      <c r="J154" s="58">
        <v>0.25027296955881617</v>
      </c>
    </row>
    <row r="155" spans="1:10" ht="11.25" customHeight="1" x14ac:dyDescent="0.2">
      <c r="A155" s="67">
        <v>44378</v>
      </c>
      <c r="B155" s="57">
        <v>0</v>
      </c>
      <c r="C155" s="57">
        <v>0</v>
      </c>
      <c r="D155" s="57">
        <v>112.40093999999999</v>
      </c>
      <c r="E155" s="57">
        <v>155.86151990996956</v>
      </c>
      <c r="F155" s="57">
        <v>92.86296999999999</v>
      </c>
      <c r="G155" s="57">
        <v>100.77439838898401</v>
      </c>
      <c r="H155" s="58">
        <v>0.38665673000572398</v>
      </c>
      <c r="I155" s="58">
        <v>8.519465174314389E-2</v>
      </c>
      <c r="J155" s="58">
        <v>0.25027296955881639</v>
      </c>
    </row>
    <row r="156" spans="1:10" ht="11.25" customHeight="1" x14ac:dyDescent="0.2">
      <c r="A156" s="67">
        <v>44409</v>
      </c>
      <c r="B156" s="57">
        <v>0</v>
      </c>
      <c r="C156" s="57">
        <v>0</v>
      </c>
      <c r="D156" s="57">
        <v>98.987939999999995</v>
      </c>
      <c r="E156" s="57">
        <v>137.2622931904028</v>
      </c>
      <c r="F156" s="57">
        <v>81.781469999999999</v>
      </c>
      <c r="G156" s="57">
        <v>88.748813855692376</v>
      </c>
      <c r="H156" s="58">
        <v>0.38665673000572398</v>
      </c>
      <c r="I156" s="58">
        <v>8.519465174314389E-2</v>
      </c>
      <c r="J156" s="58">
        <v>0.25027296955881617</v>
      </c>
    </row>
    <row r="157" spans="1:10" ht="11.25" customHeight="1" x14ac:dyDescent="0.2">
      <c r="A157" s="67">
        <v>44440</v>
      </c>
      <c r="B157" s="57">
        <v>0</v>
      </c>
      <c r="C157" s="57">
        <v>0</v>
      </c>
      <c r="D157" s="57">
        <v>187.78199999999998</v>
      </c>
      <c r="E157" s="57">
        <v>260.38917407393484</v>
      </c>
      <c r="F157" s="57">
        <v>155.14099999999999</v>
      </c>
      <c r="G157" s="57">
        <v>168.35818346608309</v>
      </c>
      <c r="H157" s="58">
        <v>0.38665673000572398</v>
      </c>
      <c r="I157" s="58">
        <v>8.519465174314389E-2</v>
      </c>
      <c r="J157" s="58">
        <v>0.25027296955881617</v>
      </c>
    </row>
    <row r="158" spans="1:10" ht="11.25" customHeight="1" x14ac:dyDescent="0.2">
      <c r="A158" s="67">
        <v>44470</v>
      </c>
      <c r="B158" s="57">
        <v>0</v>
      </c>
      <c r="C158" s="57">
        <v>0</v>
      </c>
      <c r="D158" s="57">
        <v>655.35918000000004</v>
      </c>
      <c r="E158" s="57">
        <v>908.75821751803267</v>
      </c>
      <c r="F158" s="57">
        <v>541.44209000000001</v>
      </c>
      <c r="G158" s="57">
        <v>587.57006029663</v>
      </c>
      <c r="H158" s="58">
        <v>0.38665673000572398</v>
      </c>
      <c r="I158" s="58">
        <v>8.519465174314389E-2</v>
      </c>
      <c r="J158" s="58">
        <v>0.25027296955881639</v>
      </c>
    </row>
    <row r="159" spans="1:10" ht="11.25" customHeight="1" x14ac:dyDescent="0.2">
      <c r="A159" s="67">
        <v>44501</v>
      </c>
      <c r="B159" s="57">
        <v>0</v>
      </c>
      <c r="C159" s="57">
        <v>0</v>
      </c>
      <c r="D159" s="57">
        <v>544.29953999999998</v>
      </c>
      <c r="E159" s="57">
        <v>754.75662028001966</v>
      </c>
      <c r="F159" s="57">
        <v>449.68726999999996</v>
      </c>
      <c r="G159" s="57">
        <v>487.9982203609751</v>
      </c>
      <c r="H159" s="58">
        <v>0.38665673000572376</v>
      </c>
      <c r="I159" s="58">
        <v>8.519465174314389E-2</v>
      </c>
      <c r="J159" s="58">
        <v>0.25027296955881617</v>
      </c>
    </row>
    <row r="160" spans="1:10" ht="11.25" customHeight="1" x14ac:dyDescent="0.2">
      <c r="A160" s="67">
        <v>44531</v>
      </c>
      <c r="B160" s="57">
        <v>0</v>
      </c>
      <c r="C160" s="57">
        <v>0</v>
      </c>
      <c r="D160" s="57">
        <v>629.60622000000001</v>
      </c>
      <c r="E160" s="57">
        <v>873.04770221646436</v>
      </c>
      <c r="F160" s="57">
        <v>520.16561000000002</v>
      </c>
      <c r="G160" s="57">
        <v>564.48093799270998</v>
      </c>
      <c r="H160" s="58">
        <v>0.38665673000572376</v>
      </c>
      <c r="I160" s="58">
        <v>8.519465174314389E-2</v>
      </c>
      <c r="J160" s="58">
        <v>0.25027296955881595</v>
      </c>
    </row>
    <row r="161" spans="1:10" ht="11.25" customHeight="1" x14ac:dyDescent="0.2">
      <c r="A161" s="67">
        <v>44562</v>
      </c>
      <c r="B161" s="57">
        <v>0</v>
      </c>
      <c r="C161" s="57">
        <v>0</v>
      </c>
      <c r="D161" s="57">
        <v>265.04088000000002</v>
      </c>
      <c r="E161" s="57">
        <v>367.52071997863948</v>
      </c>
      <c r="F161" s="57">
        <v>218.97044</v>
      </c>
      <c r="G161" s="57">
        <v>237.62555037784298</v>
      </c>
      <c r="H161" s="58">
        <v>0.38665673000572376</v>
      </c>
      <c r="I161" s="58">
        <v>8.519465174314389E-2</v>
      </c>
      <c r="J161" s="58">
        <v>0.25027296955881617</v>
      </c>
    </row>
    <row r="162" spans="1:10" ht="11.25" customHeight="1" x14ac:dyDescent="0.2">
      <c r="A162" s="67">
        <v>44593</v>
      </c>
      <c r="B162" s="57">
        <v>0</v>
      </c>
      <c r="C162" s="57">
        <v>0</v>
      </c>
      <c r="D162" s="57">
        <v>767.22359999999992</v>
      </c>
      <c r="E162" s="57">
        <v>1063.8757683592196</v>
      </c>
      <c r="F162" s="57">
        <v>633.8617999999999</v>
      </c>
      <c r="G162" s="57">
        <v>687.86343530428235</v>
      </c>
      <c r="H162" s="58">
        <v>0.3866567300057242</v>
      </c>
      <c r="I162" s="58">
        <v>8.5194651743144112E-2</v>
      </c>
      <c r="J162" s="58">
        <v>0.25027296955881639</v>
      </c>
    </row>
    <row r="163" spans="1:10" ht="11.25" customHeight="1" x14ac:dyDescent="0.2">
      <c r="A163" s="67">
        <v>44621</v>
      </c>
      <c r="B163" s="57">
        <v>0</v>
      </c>
      <c r="C163" s="57">
        <v>0</v>
      </c>
      <c r="D163" s="57">
        <v>767.22359999999992</v>
      </c>
      <c r="E163" s="57">
        <v>1063.8757683592196</v>
      </c>
      <c r="F163" s="57">
        <v>633.8617999999999</v>
      </c>
      <c r="G163" s="57">
        <v>687.86343530428235</v>
      </c>
      <c r="H163" s="58">
        <v>0.3866567300057242</v>
      </c>
      <c r="I163" s="58">
        <v>8.5194651743144112E-2</v>
      </c>
      <c r="J163" s="58">
        <v>0.25027296955881639</v>
      </c>
    </row>
    <row r="164" spans="1:10" ht="11.25" customHeight="1" x14ac:dyDescent="0.2">
      <c r="A164" s="67">
        <v>44652</v>
      </c>
      <c r="B164" s="57">
        <v>0</v>
      </c>
      <c r="C164" s="57">
        <v>0</v>
      </c>
      <c r="D164" s="57">
        <v>236.60532000000001</v>
      </c>
      <c r="E164" s="57">
        <v>328.09035933315789</v>
      </c>
      <c r="F164" s="57">
        <v>195.47765999999999</v>
      </c>
      <c r="G164" s="57">
        <v>212.1313111672647</v>
      </c>
      <c r="H164" s="58">
        <v>0.38665673000572376</v>
      </c>
      <c r="I164" s="58">
        <v>8.5194651743144112E-2</v>
      </c>
      <c r="J164" s="58">
        <v>0.25027296955881595</v>
      </c>
    </row>
    <row r="165" spans="1:10" ht="11.25" customHeight="1" x14ac:dyDescent="0.2">
      <c r="A165" s="66" t="s">
        <v>40</v>
      </c>
      <c r="B165" s="57">
        <v>0</v>
      </c>
      <c r="C165" s="57">
        <v>0</v>
      </c>
      <c r="D165" s="57">
        <v>377.24459999999999</v>
      </c>
      <c r="E165" s="57">
        <v>520.03631119288377</v>
      </c>
      <c r="F165" s="57">
        <v>123.00464999999998</v>
      </c>
      <c r="G165" s="57">
        <v>133.4839883195373</v>
      </c>
      <c r="H165" s="58">
        <v>0.37851227345039207</v>
      </c>
      <c r="I165" s="58">
        <v>8.5194651743144112E-2</v>
      </c>
      <c r="J165" s="58">
        <v>0.30638936392692462</v>
      </c>
    </row>
    <row r="166" spans="1:10" ht="11.25" customHeight="1" x14ac:dyDescent="0.2">
      <c r="A166" s="67">
        <v>44317</v>
      </c>
      <c r="B166" s="57">
        <v>0</v>
      </c>
      <c r="C166" s="57">
        <v>0</v>
      </c>
      <c r="D166" s="57">
        <v>13.5944</v>
      </c>
      <c r="E166" s="57">
        <v>18.740047250194007</v>
      </c>
      <c r="F166" s="57">
        <v>4.4325999999999999</v>
      </c>
      <c r="G166" s="57">
        <v>4.8102338133166596</v>
      </c>
      <c r="H166" s="58">
        <v>0.37851227345039185</v>
      </c>
      <c r="I166" s="58">
        <v>8.519465174314389E-2</v>
      </c>
      <c r="J166" s="58">
        <v>0.3063893639269244</v>
      </c>
    </row>
    <row r="167" spans="1:10" ht="11.25" customHeight="1" x14ac:dyDescent="0.2">
      <c r="A167" s="67">
        <v>44348</v>
      </c>
      <c r="B167" s="57">
        <v>0</v>
      </c>
      <c r="C167" s="57">
        <v>0</v>
      </c>
      <c r="D167" s="57">
        <v>13.5944</v>
      </c>
      <c r="E167" s="57">
        <v>18.740047250194007</v>
      </c>
      <c r="F167" s="57">
        <v>4.4325999999999999</v>
      </c>
      <c r="G167" s="57">
        <v>4.8102338133166596</v>
      </c>
      <c r="H167" s="58">
        <v>0.37851227345039185</v>
      </c>
      <c r="I167" s="58">
        <v>8.519465174314389E-2</v>
      </c>
      <c r="J167" s="58">
        <v>0.3063893639269244</v>
      </c>
    </row>
    <row r="168" spans="1:10" ht="11.25" customHeight="1" x14ac:dyDescent="0.2">
      <c r="A168" s="67">
        <v>44378</v>
      </c>
      <c r="B168" s="57">
        <v>0</v>
      </c>
      <c r="C168" s="57">
        <v>0</v>
      </c>
      <c r="D168" s="57">
        <v>12.914680000000001</v>
      </c>
      <c r="E168" s="57">
        <v>17.803044887684305</v>
      </c>
      <c r="F168" s="57">
        <v>4.2109699999999997</v>
      </c>
      <c r="G168" s="57">
        <v>4.5697221226508269</v>
      </c>
      <c r="H168" s="58">
        <v>0.37851227345039162</v>
      </c>
      <c r="I168" s="58">
        <v>8.5194651743144112E-2</v>
      </c>
      <c r="J168" s="58">
        <v>0.3063893639269244</v>
      </c>
    </row>
    <row r="169" spans="1:10" ht="11.25" customHeight="1" x14ac:dyDescent="0.2">
      <c r="A169" s="67">
        <v>44409</v>
      </c>
      <c r="B169" s="57">
        <v>0</v>
      </c>
      <c r="C169" s="57">
        <v>0</v>
      </c>
      <c r="D169" s="57">
        <v>14.274120000000002</v>
      </c>
      <c r="E169" s="57">
        <v>19.677049612703708</v>
      </c>
      <c r="F169" s="57">
        <v>4.6542300000000001</v>
      </c>
      <c r="G169" s="57">
        <v>5.0507455039824931</v>
      </c>
      <c r="H169" s="58">
        <v>0.37851227345039185</v>
      </c>
      <c r="I169" s="58">
        <v>8.519465174314389E-2</v>
      </c>
      <c r="J169" s="58">
        <v>0.3063893639269244</v>
      </c>
    </row>
    <row r="170" spans="1:10" ht="11.25" customHeight="1" x14ac:dyDescent="0.2">
      <c r="A170" s="67">
        <v>44440</v>
      </c>
      <c r="B170" s="57">
        <v>0</v>
      </c>
      <c r="C170" s="57">
        <v>0</v>
      </c>
      <c r="D170" s="57">
        <v>16.993000000000002</v>
      </c>
      <c r="E170" s="57">
        <v>23.425059062742509</v>
      </c>
      <c r="F170" s="57">
        <v>5.5407500000000001</v>
      </c>
      <c r="G170" s="57">
        <v>6.0127922666458247</v>
      </c>
      <c r="H170" s="58">
        <v>0.37851227345039162</v>
      </c>
      <c r="I170" s="58">
        <v>8.519465174314389E-2</v>
      </c>
      <c r="J170" s="58">
        <v>0.3063893639269244</v>
      </c>
    </row>
    <row r="171" spans="1:10" ht="11.25" customHeight="1" x14ac:dyDescent="0.2">
      <c r="A171" s="67">
        <v>44470</v>
      </c>
      <c r="B171" s="57">
        <v>0</v>
      </c>
      <c r="C171" s="57">
        <v>0</v>
      </c>
      <c r="D171" s="57">
        <v>26.509080000000001</v>
      </c>
      <c r="E171" s="57">
        <v>36.543092137878311</v>
      </c>
      <c r="F171" s="57">
        <v>8.6435700000000004</v>
      </c>
      <c r="G171" s="57">
        <v>9.3799559359674873</v>
      </c>
      <c r="H171" s="58">
        <v>0.37851227345039162</v>
      </c>
      <c r="I171" s="58">
        <v>8.519465174314389E-2</v>
      </c>
      <c r="J171" s="58">
        <v>0.3063893639269244</v>
      </c>
    </row>
    <row r="172" spans="1:10" ht="11.25" customHeight="1" x14ac:dyDescent="0.2">
      <c r="A172" s="67">
        <v>44501</v>
      </c>
      <c r="B172" s="57">
        <v>0</v>
      </c>
      <c r="C172" s="57">
        <v>0</v>
      </c>
      <c r="D172" s="57">
        <v>35.345439999999996</v>
      </c>
      <c r="E172" s="57">
        <v>48.724122850504415</v>
      </c>
      <c r="F172" s="57">
        <v>11.524759999999999</v>
      </c>
      <c r="G172" s="57">
        <v>12.506607914623315</v>
      </c>
      <c r="H172" s="58">
        <v>0.37851227345039185</v>
      </c>
      <c r="I172" s="58">
        <v>8.519465174314389E-2</v>
      </c>
      <c r="J172" s="58">
        <v>0.3063893639269244</v>
      </c>
    </row>
    <row r="173" spans="1:10" ht="11.25" customHeight="1" x14ac:dyDescent="0.2">
      <c r="A173" s="67">
        <v>44531</v>
      </c>
      <c r="B173" s="57">
        <v>0</v>
      </c>
      <c r="C173" s="57">
        <v>0</v>
      </c>
      <c r="D173" s="57">
        <v>67.972000000000008</v>
      </c>
      <c r="E173" s="57">
        <v>93.700236250970036</v>
      </c>
      <c r="F173" s="57">
        <v>22.163</v>
      </c>
      <c r="G173" s="57">
        <v>24.051169066583299</v>
      </c>
      <c r="H173" s="58">
        <v>0.37851227345039162</v>
      </c>
      <c r="I173" s="58">
        <v>8.519465174314389E-2</v>
      </c>
      <c r="J173" s="58">
        <v>0.3063893639269244</v>
      </c>
    </row>
    <row r="174" spans="1:10" ht="11.25" customHeight="1" x14ac:dyDescent="0.2">
      <c r="A174" s="67">
        <v>44562</v>
      </c>
      <c r="B174" s="57">
        <v>0</v>
      </c>
      <c r="C174" s="57">
        <v>0</v>
      </c>
      <c r="D174" s="57">
        <v>28.548240000000003</v>
      </c>
      <c r="E174" s="57">
        <v>39.354099225407417</v>
      </c>
      <c r="F174" s="57">
        <v>9.3084600000000002</v>
      </c>
      <c r="G174" s="57">
        <v>10.101491007964986</v>
      </c>
      <c r="H174" s="58">
        <v>0.37851227345039185</v>
      </c>
      <c r="I174" s="58">
        <v>8.519465174314389E-2</v>
      </c>
      <c r="J174" s="58">
        <v>0.3063893639269244</v>
      </c>
    </row>
    <row r="175" spans="1:10" ht="11.25" customHeight="1" x14ac:dyDescent="0.2">
      <c r="A175" s="67">
        <v>44593</v>
      </c>
      <c r="B175" s="57">
        <v>0</v>
      </c>
      <c r="C175" s="57">
        <v>0</v>
      </c>
      <c r="D175" s="57">
        <v>71.370599999999996</v>
      </c>
      <c r="E175" s="57">
        <v>98.385248063518532</v>
      </c>
      <c r="F175" s="57">
        <v>23.271149999999999</v>
      </c>
      <c r="G175" s="57">
        <v>25.253727519912463</v>
      </c>
      <c r="H175" s="58">
        <v>0.37851227345039185</v>
      </c>
      <c r="I175" s="58">
        <v>8.519465174314389E-2</v>
      </c>
      <c r="J175" s="58">
        <v>0.3063893639269244</v>
      </c>
    </row>
    <row r="176" spans="1:10" ht="11.25" customHeight="1" x14ac:dyDescent="0.2">
      <c r="A176" s="67">
        <v>44621</v>
      </c>
      <c r="B176" s="57">
        <v>0</v>
      </c>
      <c r="C176" s="57">
        <v>0</v>
      </c>
      <c r="D176" s="57">
        <v>57.77620000000001</v>
      </c>
      <c r="E176" s="57">
        <v>79.645200813324536</v>
      </c>
      <c r="F176" s="57">
        <v>18.838550000000001</v>
      </c>
      <c r="G176" s="57">
        <v>20.443493706595806</v>
      </c>
      <c r="H176" s="58">
        <v>0.37851227345039162</v>
      </c>
      <c r="I176" s="58">
        <v>8.519465174314389E-2</v>
      </c>
      <c r="J176" s="58">
        <v>0.30638936392692417</v>
      </c>
    </row>
    <row r="177" spans="1:10" ht="11.25" customHeight="1" x14ac:dyDescent="0.2">
      <c r="A177" s="67">
        <v>44652</v>
      </c>
      <c r="B177" s="57">
        <v>0</v>
      </c>
      <c r="C177" s="57">
        <v>0</v>
      </c>
      <c r="D177" s="57">
        <v>18.352440000000001</v>
      </c>
      <c r="E177" s="57">
        <v>25.299063787761909</v>
      </c>
      <c r="F177" s="57">
        <v>5.9840099999999996</v>
      </c>
      <c r="G177" s="57">
        <v>6.4938156479774909</v>
      </c>
      <c r="H177" s="58">
        <v>0.37851227345039185</v>
      </c>
      <c r="I177" s="58">
        <v>8.5194651743144112E-2</v>
      </c>
      <c r="J177" s="58">
        <v>0.30638936392692462</v>
      </c>
    </row>
    <row r="178" spans="1:10" ht="11.25" customHeight="1" x14ac:dyDescent="0.2">
      <c r="A178" s="66" t="s">
        <v>25</v>
      </c>
      <c r="B178" s="57">
        <v>0</v>
      </c>
      <c r="C178" s="57">
        <v>0</v>
      </c>
      <c r="D178" s="57">
        <v>993.41064000000017</v>
      </c>
      <c r="E178" s="57">
        <v>1372.1686166822651</v>
      </c>
      <c r="F178" s="57">
        <v>491.13208000000003</v>
      </c>
      <c r="G178" s="57">
        <v>532.97390651548596</v>
      </c>
      <c r="H178" s="58">
        <v>0.38127030397244877</v>
      </c>
      <c r="I178" s="58">
        <v>8.519465174314389E-2</v>
      </c>
      <c r="J178" s="58">
        <v>0.28331943401248205</v>
      </c>
    </row>
    <row r="179" spans="1:10" ht="11.25" customHeight="1" x14ac:dyDescent="0.2">
      <c r="A179" s="67">
        <v>44317</v>
      </c>
      <c r="B179" s="57">
        <v>0</v>
      </c>
      <c r="C179" s="57">
        <v>0</v>
      </c>
      <c r="D179" s="57">
        <v>151.07373000000001</v>
      </c>
      <c r="E179" s="57">
        <v>208.67365695935166</v>
      </c>
      <c r="F179" s="57">
        <v>74.689310000000006</v>
      </c>
      <c r="G179" s="57">
        <v>81.052439754385716</v>
      </c>
      <c r="H179" s="58">
        <v>0.38127030397244877</v>
      </c>
      <c r="I179" s="58">
        <v>8.519465174314389E-2</v>
      </c>
      <c r="J179" s="58">
        <v>0.28331943401248205</v>
      </c>
    </row>
    <row r="180" spans="1:10" ht="11.25" customHeight="1" x14ac:dyDescent="0.2">
      <c r="A180" s="67">
        <v>44348</v>
      </c>
      <c r="B180" s="57">
        <v>0</v>
      </c>
      <c r="C180" s="57">
        <v>0</v>
      </c>
      <c r="D180" s="57">
        <v>164.52243000000001</v>
      </c>
      <c r="E180" s="57">
        <v>227.24994689638589</v>
      </c>
      <c r="F180" s="57">
        <v>81.338210000000004</v>
      </c>
      <c r="G180" s="57">
        <v>88.267790474360709</v>
      </c>
      <c r="H180" s="58">
        <v>0.38127030397244854</v>
      </c>
      <c r="I180" s="58">
        <v>8.519465174314389E-2</v>
      </c>
      <c r="J180" s="58">
        <v>0.28331943401248205</v>
      </c>
    </row>
    <row r="181" spans="1:10" ht="11.25" customHeight="1" x14ac:dyDescent="0.2">
      <c r="A181" s="67">
        <v>44378</v>
      </c>
      <c r="B181" s="57">
        <v>0</v>
      </c>
      <c r="C181" s="57">
        <v>0</v>
      </c>
      <c r="D181" s="57">
        <v>124.17633000000002</v>
      </c>
      <c r="E181" s="57">
        <v>171.52107708528311</v>
      </c>
      <c r="F181" s="57">
        <v>61.391510000000004</v>
      </c>
      <c r="G181" s="57">
        <v>66.621738314435746</v>
      </c>
      <c r="H181" s="58">
        <v>0.38127030397244854</v>
      </c>
      <c r="I181" s="58">
        <v>8.519465174314389E-2</v>
      </c>
      <c r="J181" s="58">
        <v>0.28331943401248205</v>
      </c>
    </row>
    <row r="182" spans="1:10" ht="11.25" customHeight="1" x14ac:dyDescent="0.2">
      <c r="A182" s="67">
        <v>44409</v>
      </c>
      <c r="B182" s="57">
        <v>0</v>
      </c>
      <c r="C182" s="57">
        <v>0</v>
      </c>
      <c r="D182" s="57">
        <v>121.03830000000001</v>
      </c>
      <c r="E182" s="57">
        <v>167.18660943330843</v>
      </c>
      <c r="F182" s="57">
        <v>59.8401</v>
      </c>
      <c r="G182" s="57">
        <v>64.938156479774918</v>
      </c>
      <c r="H182" s="58">
        <v>0.38127030397244854</v>
      </c>
      <c r="I182" s="58">
        <v>8.5194651743144112E-2</v>
      </c>
      <c r="J182" s="58">
        <v>0.28331943401248227</v>
      </c>
    </row>
    <row r="183" spans="1:10" ht="11.25" customHeight="1" x14ac:dyDescent="0.2">
      <c r="A183" s="67">
        <v>44440</v>
      </c>
      <c r="B183" s="57">
        <v>0</v>
      </c>
      <c r="C183" s="57">
        <v>0</v>
      </c>
      <c r="D183" s="57">
        <v>69.036659999999998</v>
      </c>
      <c r="E183" s="57">
        <v>95.358288343442581</v>
      </c>
      <c r="F183" s="57">
        <v>34.131019999999999</v>
      </c>
      <c r="G183" s="57">
        <v>37.038800362538282</v>
      </c>
      <c r="H183" s="58">
        <v>0.38127030397244854</v>
      </c>
      <c r="I183" s="58">
        <v>8.5194651743144112E-2</v>
      </c>
      <c r="J183" s="58">
        <v>0.28331943401248227</v>
      </c>
    </row>
    <row r="184" spans="1:10" ht="11.25" customHeight="1" x14ac:dyDescent="0.2">
      <c r="A184" s="67">
        <v>44470</v>
      </c>
      <c r="B184" s="57">
        <v>0</v>
      </c>
      <c r="C184" s="57">
        <v>0</v>
      </c>
      <c r="D184" s="57">
        <v>39.89781</v>
      </c>
      <c r="E184" s="57">
        <v>55.109660146534999</v>
      </c>
      <c r="F184" s="57">
        <v>19.725069999999999</v>
      </c>
      <c r="G184" s="57">
        <v>21.405540469259133</v>
      </c>
      <c r="H184" s="58">
        <v>0.38127030397244854</v>
      </c>
      <c r="I184" s="58">
        <v>8.519465174314389E-2</v>
      </c>
      <c r="J184" s="58">
        <v>0.28331943401248205</v>
      </c>
    </row>
    <row r="185" spans="1:10" ht="11.25" customHeight="1" x14ac:dyDescent="0.2">
      <c r="A185" s="67">
        <v>44501</v>
      </c>
      <c r="B185" s="57">
        <v>0</v>
      </c>
      <c r="C185" s="57">
        <v>0</v>
      </c>
      <c r="D185" s="57">
        <v>57.381120000000003</v>
      </c>
      <c r="E185" s="57">
        <v>79.258837064679554</v>
      </c>
      <c r="F185" s="57">
        <v>28.368639999999999</v>
      </c>
      <c r="G185" s="57">
        <v>30.785496405226624</v>
      </c>
      <c r="H185" s="58">
        <v>0.38127030397244854</v>
      </c>
      <c r="I185" s="58">
        <v>8.5194651743144112E-2</v>
      </c>
      <c r="J185" s="58">
        <v>0.28331943401248205</v>
      </c>
    </row>
    <row r="186" spans="1:10" ht="11.25" customHeight="1" x14ac:dyDescent="0.2">
      <c r="A186" s="67">
        <v>44531</v>
      </c>
      <c r="B186" s="57">
        <v>0</v>
      </c>
      <c r="C186" s="57">
        <v>0</v>
      </c>
      <c r="D186" s="57">
        <v>25.552530000000001</v>
      </c>
      <c r="E186" s="57">
        <v>35.294950880365114</v>
      </c>
      <c r="F186" s="57">
        <v>12.632910000000001</v>
      </c>
      <c r="G186" s="57">
        <v>13.709166367952481</v>
      </c>
      <c r="H186" s="58">
        <v>0.38127030397244854</v>
      </c>
      <c r="I186" s="58">
        <v>8.519465174314389E-2</v>
      </c>
      <c r="J186" s="58">
        <v>0.28331943401248227</v>
      </c>
    </row>
    <row r="187" spans="1:10" ht="11.25" customHeight="1" x14ac:dyDescent="0.2">
      <c r="A187" s="67">
        <v>44562</v>
      </c>
      <c r="B187" s="57">
        <v>0</v>
      </c>
      <c r="C187" s="57">
        <v>0</v>
      </c>
      <c r="D187" s="57">
        <v>66.346919999999997</v>
      </c>
      <c r="E187" s="57">
        <v>91.643030356035723</v>
      </c>
      <c r="F187" s="57">
        <v>32.80124</v>
      </c>
      <c r="G187" s="57">
        <v>35.595730218543281</v>
      </c>
      <c r="H187" s="58">
        <v>0.38127030397244854</v>
      </c>
      <c r="I187" s="58">
        <v>8.519465174314389E-2</v>
      </c>
      <c r="J187" s="58">
        <v>0.28331943401248205</v>
      </c>
    </row>
    <row r="188" spans="1:10" ht="11.25" customHeight="1" x14ac:dyDescent="0.2">
      <c r="A188" s="67">
        <v>44593</v>
      </c>
      <c r="B188" s="57">
        <v>0</v>
      </c>
      <c r="C188" s="57">
        <v>0</v>
      </c>
      <c r="D188" s="57">
        <v>44.380710000000008</v>
      </c>
      <c r="E188" s="57">
        <v>61.301756792213091</v>
      </c>
      <c r="F188" s="57">
        <v>21.941369999999999</v>
      </c>
      <c r="G188" s="57">
        <v>23.810657375917465</v>
      </c>
      <c r="H188" s="58">
        <v>0.38127030397244832</v>
      </c>
      <c r="I188" s="58">
        <v>8.519465174314389E-2</v>
      </c>
      <c r="J188" s="58">
        <v>0.28331943401248205</v>
      </c>
    </row>
    <row r="189" spans="1:10" ht="11.25" customHeight="1" x14ac:dyDescent="0.2">
      <c r="A189" s="67">
        <v>44621</v>
      </c>
      <c r="B189" s="57">
        <v>0</v>
      </c>
      <c r="C189" s="57">
        <v>0</v>
      </c>
      <c r="D189" s="57">
        <v>47.518740000000001</v>
      </c>
      <c r="E189" s="57">
        <v>65.636224444187746</v>
      </c>
      <c r="F189" s="57">
        <v>23.49278</v>
      </c>
      <c r="G189" s="57">
        <v>25.494239210578296</v>
      </c>
      <c r="H189" s="58">
        <v>0.38127030397244854</v>
      </c>
      <c r="I189" s="58">
        <v>8.519465174314389E-2</v>
      </c>
      <c r="J189" s="58">
        <v>0.28331943401248183</v>
      </c>
    </row>
    <row r="190" spans="1:10" ht="11.25" customHeight="1" x14ac:dyDescent="0.2">
      <c r="A190" s="67">
        <v>44652</v>
      </c>
      <c r="B190" s="57">
        <v>0</v>
      </c>
      <c r="C190" s="57">
        <v>0</v>
      </c>
      <c r="D190" s="57">
        <v>82.48536</v>
      </c>
      <c r="E190" s="57">
        <v>113.93457828047686</v>
      </c>
      <c r="F190" s="57">
        <v>40.779919999999997</v>
      </c>
      <c r="G190" s="57">
        <v>44.254151082513268</v>
      </c>
      <c r="H190" s="58">
        <v>0.38127030397244854</v>
      </c>
      <c r="I190" s="58">
        <v>8.519465174314389E-2</v>
      </c>
      <c r="J190" s="58">
        <v>0.28331943401248227</v>
      </c>
    </row>
    <row r="191" spans="1:10" ht="11.25" customHeight="1" x14ac:dyDescent="0.2">
      <c r="A191" s="66" t="s">
        <v>36</v>
      </c>
      <c r="B191" s="57">
        <v>0</v>
      </c>
      <c r="C191" s="57">
        <v>0</v>
      </c>
      <c r="D191" s="57">
        <v>372.09237999999993</v>
      </c>
      <c r="E191" s="57">
        <v>512.1891214557163</v>
      </c>
      <c r="F191" s="57">
        <v>75.575829999999996</v>
      </c>
      <c r="G191" s="57">
        <v>82.014486517049036</v>
      </c>
      <c r="H191" s="58">
        <v>0.37651064355501296</v>
      </c>
      <c r="I191" s="58">
        <v>8.519465174314389E-2</v>
      </c>
      <c r="J191" s="58">
        <v>0.3273303636475895</v>
      </c>
    </row>
    <row r="192" spans="1:10" ht="11.25" customHeight="1" x14ac:dyDescent="0.2">
      <c r="A192" s="67">
        <v>44317</v>
      </c>
      <c r="B192" s="57">
        <v>0</v>
      </c>
      <c r="C192" s="57">
        <v>0</v>
      </c>
      <c r="D192" s="57">
        <v>32.735399999999998</v>
      </c>
      <c r="E192" s="57">
        <v>45.060626521030763</v>
      </c>
      <c r="F192" s="57">
        <v>6.6488999999999994</v>
      </c>
      <c r="G192" s="57">
        <v>7.2153507199749889</v>
      </c>
      <c r="H192" s="58">
        <v>0.37651064355501274</v>
      </c>
      <c r="I192" s="58">
        <v>8.519465174314389E-2</v>
      </c>
      <c r="J192" s="58">
        <v>0.32733036364758927</v>
      </c>
    </row>
    <row r="193" spans="1:10" ht="11.25" customHeight="1" x14ac:dyDescent="0.2">
      <c r="A193" s="67">
        <v>44348</v>
      </c>
      <c r="B193" s="57">
        <v>0</v>
      </c>
      <c r="C193" s="57">
        <v>0</v>
      </c>
      <c r="D193" s="57">
        <v>32.735399999999998</v>
      </c>
      <c r="E193" s="57">
        <v>45.060626521030763</v>
      </c>
      <c r="F193" s="57">
        <v>6.6488999999999994</v>
      </c>
      <c r="G193" s="57">
        <v>7.2153507199749889</v>
      </c>
      <c r="H193" s="58">
        <v>0.37651064355501274</v>
      </c>
      <c r="I193" s="58">
        <v>8.519465174314389E-2</v>
      </c>
      <c r="J193" s="58">
        <v>0.32733036364758927</v>
      </c>
    </row>
    <row r="194" spans="1:10" ht="11.25" customHeight="1" x14ac:dyDescent="0.2">
      <c r="A194" s="67">
        <v>44378</v>
      </c>
      <c r="B194" s="57">
        <v>0</v>
      </c>
      <c r="C194" s="57">
        <v>0</v>
      </c>
      <c r="D194" s="57">
        <v>31.644220000000004</v>
      </c>
      <c r="E194" s="57">
        <v>43.558605636996411</v>
      </c>
      <c r="F194" s="57">
        <v>6.42727</v>
      </c>
      <c r="G194" s="57">
        <v>6.9748390293091571</v>
      </c>
      <c r="H194" s="58">
        <v>0.37651064355501274</v>
      </c>
      <c r="I194" s="58">
        <v>8.519465174314389E-2</v>
      </c>
      <c r="J194" s="58">
        <v>0.3273303636475895</v>
      </c>
    </row>
    <row r="195" spans="1:10" ht="11.25" customHeight="1" x14ac:dyDescent="0.2">
      <c r="A195" s="67">
        <v>44409</v>
      </c>
      <c r="B195" s="57">
        <v>0</v>
      </c>
      <c r="C195" s="57">
        <v>0</v>
      </c>
      <c r="D195" s="57">
        <v>32.735399999999998</v>
      </c>
      <c r="E195" s="57">
        <v>45.060626521030763</v>
      </c>
      <c r="F195" s="57">
        <v>6.6488999999999994</v>
      </c>
      <c r="G195" s="57">
        <v>7.2153507199749889</v>
      </c>
      <c r="H195" s="58">
        <v>0.37651064355501274</v>
      </c>
      <c r="I195" s="58">
        <v>8.519465174314389E-2</v>
      </c>
      <c r="J195" s="58">
        <v>0.32733036364758927</v>
      </c>
    </row>
    <row r="196" spans="1:10" ht="11.25" customHeight="1" x14ac:dyDescent="0.2">
      <c r="A196" s="67">
        <v>44440</v>
      </c>
      <c r="B196" s="57">
        <v>0</v>
      </c>
      <c r="C196" s="57">
        <v>0</v>
      </c>
      <c r="D196" s="57">
        <v>30.553040000000003</v>
      </c>
      <c r="E196" s="57">
        <v>42.056584752962053</v>
      </c>
      <c r="F196" s="57">
        <v>6.2056399999999998</v>
      </c>
      <c r="G196" s="57">
        <v>6.7343273386433236</v>
      </c>
      <c r="H196" s="58">
        <v>0.37651064355501274</v>
      </c>
      <c r="I196" s="58">
        <v>8.519465174314389E-2</v>
      </c>
      <c r="J196" s="58">
        <v>0.32733036364758927</v>
      </c>
    </row>
    <row r="197" spans="1:10" ht="11.25" customHeight="1" x14ac:dyDescent="0.2">
      <c r="A197" s="67">
        <v>44470</v>
      </c>
      <c r="B197" s="57">
        <v>0</v>
      </c>
      <c r="C197" s="57">
        <v>0</v>
      </c>
      <c r="D197" s="57">
        <v>15.276520000000001</v>
      </c>
      <c r="E197" s="57">
        <v>21.028292376481026</v>
      </c>
      <c r="F197" s="57">
        <v>3.1028199999999999</v>
      </c>
      <c r="G197" s="57">
        <v>3.3671636693216618</v>
      </c>
      <c r="H197" s="58">
        <v>0.37651064355501274</v>
      </c>
      <c r="I197" s="58">
        <v>8.519465174314389E-2</v>
      </c>
      <c r="J197" s="58">
        <v>0.32733036364758927</v>
      </c>
    </row>
    <row r="198" spans="1:10" ht="11.25" customHeight="1" x14ac:dyDescent="0.2">
      <c r="A198" s="67">
        <v>44501</v>
      </c>
      <c r="B198" s="57">
        <v>0</v>
      </c>
      <c r="C198" s="57">
        <v>0</v>
      </c>
      <c r="D198" s="57">
        <v>10.911800000000001</v>
      </c>
      <c r="E198" s="57">
        <v>15.020208840343589</v>
      </c>
      <c r="F198" s="57">
        <v>2.2162999999999999</v>
      </c>
      <c r="G198" s="57">
        <v>2.4051169066583298</v>
      </c>
      <c r="H198" s="58">
        <v>0.37651064355501274</v>
      </c>
      <c r="I198" s="58">
        <v>8.519465174314389E-2</v>
      </c>
      <c r="J198" s="58">
        <v>0.32733036364758905</v>
      </c>
    </row>
    <row r="199" spans="1:10" ht="11.25" customHeight="1" x14ac:dyDescent="0.2">
      <c r="A199" s="67">
        <v>44531</v>
      </c>
      <c r="B199" s="57">
        <v>0</v>
      </c>
      <c r="C199" s="57">
        <v>0</v>
      </c>
      <c r="D199" s="57">
        <v>29.461860000000001</v>
      </c>
      <c r="E199" s="57">
        <v>40.554563868927687</v>
      </c>
      <c r="F199" s="57">
        <v>5.9840099999999996</v>
      </c>
      <c r="G199" s="57">
        <v>6.4938156479774909</v>
      </c>
      <c r="H199" s="58">
        <v>0.37651064355501274</v>
      </c>
      <c r="I199" s="58">
        <v>8.5194651743144112E-2</v>
      </c>
      <c r="J199" s="58">
        <v>0.3273303636475895</v>
      </c>
    </row>
    <row r="200" spans="1:10" ht="11.25" customHeight="1" x14ac:dyDescent="0.2">
      <c r="A200" s="67">
        <v>44562</v>
      </c>
      <c r="B200" s="57">
        <v>0</v>
      </c>
      <c r="C200" s="57">
        <v>0</v>
      </c>
      <c r="D200" s="57">
        <v>45.829560000000008</v>
      </c>
      <c r="E200" s="57">
        <v>63.084877129443079</v>
      </c>
      <c r="F200" s="57">
        <v>9.3084600000000002</v>
      </c>
      <c r="G200" s="57">
        <v>10.101491007964986</v>
      </c>
      <c r="H200" s="58">
        <v>0.37651064355501274</v>
      </c>
      <c r="I200" s="58">
        <v>8.519465174314389E-2</v>
      </c>
      <c r="J200" s="58">
        <v>0.32733036364758927</v>
      </c>
    </row>
    <row r="201" spans="1:10" ht="11.25" customHeight="1" x14ac:dyDescent="0.2">
      <c r="A201" s="67">
        <v>44593</v>
      </c>
      <c r="B201" s="57">
        <v>0</v>
      </c>
      <c r="C201" s="57">
        <v>0</v>
      </c>
      <c r="D201" s="57">
        <v>40.373660000000001</v>
      </c>
      <c r="E201" s="57">
        <v>55.574772709271279</v>
      </c>
      <c r="F201" s="57">
        <v>8.20031</v>
      </c>
      <c r="G201" s="57">
        <v>8.8989325546358202</v>
      </c>
      <c r="H201" s="58">
        <v>0.37651064355501274</v>
      </c>
      <c r="I201" s="58">
        <v>8.519465174314389E-2</v>
      </c>
      <c r="J201" s="58">
        <v>0.3273303636475895</v>
      </c>
    </row>
    <row r="202" spans="1:10" ht="11.25" customHeight="1" x14ac:dyDescent="0.2">
      <c r="A202" s="67">
        <v>44621</v>
      </c>
      <c r="B202" s="57">
        <v>0</v>
      </c>
      <c r="C202" s="57">
        <v>0</v>
      </c>
      <c r="D202" s="57">
        <v>40.373660000000001</v>
      </c>
      <c r="E202" s="57">
        <v>55.574772709271279</v>
      </c>
      <c r="F202" s="57">
        <v>8.20031</v>
      </c>
      <c r="G202" s="57">
        <v>8.8989325546358202</v>
      </c>
      <c r="H202" s="58">
        <v>0.37651064355501274</v>
      </c>
      <c r="I202" s="58">
        <v>8.519465174314389E-2</v>
      </c>
      <c r="J202" s="58">
        <v>0.3273303636475895</v>
      </c>
    </row>
    <row r="203" spans="1:10" ht="11.25" customHeight="1" x14ac:dyDescent="0.2">
      <c r="A203" s="67">
        <v>44652</v>
      </c>
      <c r="B203" s="57">
        <v>0</v>
      </c>
      <c r="C203" s="57">
        <v>0</v>
      </c>
      <c r="D203" s="57">
        <v>29.461860000000001</v>
      </c>
      <c r="E203" s="57">
        <v>40.554563868927687</v>
      </c>
      <c r="F203" s="57">
        <v>5.9840099999999996</v>
      </c>
      <c r="G203" s="57">
        <v>6.4938156479774909</v>
      </c>
      <c r="H203" s="58">
        <v>0.37651064355501274</v>
      </c>
      <c r="I203" s="58">
        <v>8.5194651743144112E-2</v>
      </c>
      <c r="J203" s="58">
        <v>0.3273303636475895</v>
      </c>
    </row>
    <row r="204" spans="1:10" ht="11.25" customHeight="1" x14ac:dyDescent="0.2">
      <c r="A204" s="61" t="s">
        <v>23</v>
      </c>
      <c r="B204" s="57">
        <v>0</v>
      </c>
      <c r="C204" s="57">
        <v>0</v>
      </c>
      <c r="D204" s="57">
        <v>1126920.9505769999</v>
      </c>
      <c r="E204" s="57">
        <v>1556582.4439564135</v>
      </c>
      <c r="F204" s="57">
        <v>557138.21471900004</v>
      </c>
      <c r="G204" s="57">
        <v>604603.41089478217</v>
      </c>
      <c r="H204" s="58">
        <v>0.38127030397244899</v>
      </c>
      <c r="I204" s="58">
        <v>8.5194651743144112E-2</v>
      </c>
      <c r="J204" s="58">
        <v>0.28331943401248227</v>
      </c>
    </row>
    <row r="205" spans="1:10" ht="11.25" customHeight="1" x14ac:dyDescent="0.2">
      <c r="A205" s="62" t="s">
        <v>42</v>
      </c>
      <c r="B205" s="57">
        <v>0</v>
      </c>
      <c r="C205" s="57">
        <v>0</v>
      </c>
      <c r="D205" s="57">
        <v>1126920.9505769999</v>
      </c>
      <c r="E205" s="57">
        <v>1556582.4439564135</v>
      </c>
      <c r="F205" s="57">
        <v>557138.21471900004</v>
      </c>
      <c r="G205" s="57">
        <v>604603.41089478217</v>
      </c>
      <c r="H205" s="58">
        <v>0.38127030397244899</v>
      </c>
      <c r="I205" s="58">
        <v>8.5194651743144112E-2</v>
      </c>
      <c r="J205" s="58">
        <v>0.28331943401248227</v>
      </c>
    </row>
    <row r="206" spans="1:10" ht="11.25" customHeight="1" x14ac:dyDescent="0.2">
      <c r="A206" s="63" t="s">
        <v>50</v>
      </c>
      <c r="B206" s="57">
        <v>0</v>
      </c>
      <c r="C206" s="57">
        <v>0</v>
      </c>
      <c r="D206" s="57">
        <v>33277.149477000006</v>
      </c>
      <c r="E206" s="57">
        <v>45964.738373432396</v>
      </c>
      <c r="F206" s="57">
        <v>16451.883019000001</v>
      </c>
      <c r="G206" s="57">
        <v>17853.495463322644</v>
      </c>
      <c r="H206" s="58">
        <v>0.38127030397244832</v>
      </c>
      <c r="I206" s="58">
        <v>8.5194651743143668E-2</v>
      </c>
      <c r="J206" s="58">
        <v>0.28331943401248161</v>
      </c>
    </row>
    <row r="207" spans="1:10" ht="11.25" customHeight="1" x14ac:dyDescent="0.2">
      <c r="A207" s="64" t="s">
        <v>51</v>
      </c>
      <c r="B207" s="57">
        <v>0</v>
      </c>
      <c r="C207" s="57">
        <v>0</v>
      </c>
      <c r="D207" s="57">
        <v>27710.598059999997</v>
      </c>
      <c r="E207" s="57">
        <v>38275.826205594538</v>
      </c>
      <c r="F207" s="57">
        <v>13699.836819999999</v>
      </c>
      <c r="G207" s="57">
        <v>14866.989646817801</v>
      </c>
      <c r="H207" s="58">
        <v>0.38127030397244854</v>
      </c>
      <c r="I207" s="58">
        <v>8.5194651743144112E-2</v>
      </c>
      <c r="J207" s="58">
        <v>0.28331943401248227</v>
      </c>
    </row>
    <row r="208" spans="1:10" ht="11.25" customHeight="1" x14ac:dyDescent="0.2">
      <c r="A208" s="65" t="s">
        <v>25</v>
      </c>
      <c r="B208" s="57">
        <v>0</v>
      </c>
      <c r="C208" s="57">
        <v>0</v>
      </c>
      <c r="D208" s="57">
        <v>27710.598059999997</v>
      </c>
      <c r="E208" s="57">
        <v>38275.826205594538</v>
      </c>
      <c r="F208" s="57">
        <v>13699.836819999999</v>
      </c>
      <c r="G208" s="57">
        <v>14866.989646817801</v>
      </c>
      <c r="H208" s="58">
        <v>0.38127030397244854</v>
      </c>
      <c r="I208" s="58">
        <v>8.5194651743144112E-2</v>
      </c>
      <c r="J208" s="58">
        <v>0.28331943401248227</v>
      </c>
    </row>
    <row r="209" spans="1:10" ht="11.25" customHeight="1" x14ac:dyDescent="0.2">
      <c r="A209" s="66" t="s">
        <v>25</v>
      </c>
      <c r="B209" s="57">
        <v>0</v>
      </c>
      <c r="C209" s="57">
        <v>0</v>
      </c>
      <c r="D209" s="57">
        <v>27710.598059999997</v>
      </c>
      <c r="E209" s="57">
        <v>38275.826205594538</v>
      </c>
      <c r="F209" s="57">
        <v>13699.836819999999</v>
      </c>
      <c r="G209" s="57">
        <v>14866.989646817801</v>
      </c>
      <c r="H209" s="58">
        <v>0.38127030397244854</v>
      </c>
      <c r="I209" s="58">
        <v>8.5194651743144112E-2</v>
      </c>
      <c r="J209" s="58">
        <v>0.28331943401248227</v>
      </c>
    </row>
    <row r="210" spans="1:10" ht="11.25" customHeight="1" x14ac:dyDescent="0.2">
      <c r="A210" s="67">
        <v>44317</v>
      </c>
      <c r="B210" s="57">
        <v>0</v>
      </c>
      <c r="C210" s="57">
        <v>0</v>
      </c>
      <c r="D210" s="57">
        <v>478.32542999999998</v>
      </c>
      <c r="E210" s="57">
        <v>660.69671209385217</v>
      </c>
      <c r="F210" s="57">
        <v>236.47920999999999</v>
      </c>
      <c r="G210" s="57">
        <v>256.62597394044377</v>
      </c>
      <c r="H210" s="58">
        <v>0.38127030397244854</v>
      </c>
      <c r="I210" s="58">
        <v>8.519465174314389E-2</v>
      </c>
      <c r="J210" s="58">
        <v>0.28331943401248205</v>
      </c>
    </row>
    <row r="211" spans="1:10" ht="11.25" customHeight="1" x14ac:dyDescent="0.2">
      <c r="A211" s="67">
        <v>44348</v>
      </c>
      <c r="B211" s="57">
        <v>0</v>
      </c>
      <c r="C211" s="57">
        <v>0</v>
      </c>
      <c r="D211" s="57">
        <v>542.43090000000007</v>
      </c>
      <c r="E211" s="57">
        <v>749.24369412704891</v>
      </c>
      <c r="F211" s="57">
        <v>268.17230000000001</v>
      </c>
      <c r="G211" s="57">
        <v>291.01914570565788</v>
      </c>
      <c r="H211" s="58">
        <v>0.38127030397244854</v>
      </c>
      <c r="I211" s="58">
        <v>8.5194651743143668E-2</v>
      </c>
      <c r="J211" s="58">
        <v>0.28331943401248205</v>
      </c>
    </row>
    <row r="212" spans="1:10" ht="11.25" customHeight="1" x14ac:dyDescent="0.2">
      <c r="A212" s="67">
        <v>44378</v>
      </c>
      <c r="B212" s="57">
        <v>0</v>
      </c>
      <c r="C212" s="57">
        <v>0</v>
      </c>
      <c r="D212" s="57">
        <v>798.40449000000001</v>
      </c>
      <c r="E212" s="57">
        <v>1102.8124125952677</v>
      </c>
      <c r="F212" s="57">
        <v>394.72302999999999</v>
      </c>
      <c r="G212" s="57">
        <v>428.35132107584855</v>
      </c>
      <c r="H212" s="58">
        <v>0.38127030397244854</v>
      </c>
      <c r="I212" s="58">
        <v>8.519465174314389E-2</v>
      </c>
      <c r="J212" s="58">
        <v>0.28331943401248205</v>
      </c>
    </row>
    <row r="213" spans="1:10" ht="11.25" customHeight="1" x14ac:dyDescent="0.2">
      <c r="A213" s="67">
        <v>44409</v>
      </c>
      <c r="B213" s="57">
        <v>0</v>
      </c>
      <c r="C213" s="57">
        <v>0</v>
      </c>
      <c r="D213" s="57">
        <v>663.4692</v>
      </c>
      <c r="E213" s="57">
        <v>916.43030356035729</v>
      </c>
      <c r="F213" s="57">
        <v>328.01240000000001</v>
      </c>
      <c r="G213" s="57">
        <v>355.95730218543281</v>
      </c>
      <c r="H213" s="58">
        <v>0.38127030397244854</v>
      </c>
      <c r="I213" s="58">
        <v>8.519465174314389E-2</v>
      </c>
      <c r="J213" s="58">
        <v>0.28331943401248183</v>
      </c>
    </row>
    <row r="214" spans="1:10" ht="11.25" customHeight="1" x14ac:dyDescent="0.2">
      <c r="A214" s="67">
        <v>44440</v>
      </c>
      <c r="B214" s="57">
        <v>0</v>
      </c>
      <c r="C214" s="57">
        <v>0</v>
      </c>
      <c r="D214" s="57">
        <v>1956.3375599999999</v>
      </c>
      <c r="E214" s="57">
        <v>2702.2309761739184</v>
      </c>
      <c r="F214" s="57">
        <v>967.19331999999997</v>
      </c>
      <c r="G214" s="57">
        <v>1049.5930180656951</v>
      </c>
      <c r="H214" s="58">
        <v>0.38127030397244854</v>
      </c>
      <c r="I214" s="58">
        <v>8.519465174314389E-2</v>
      </c>
      <c r="J214" s="58">
        <v>0.28331943401248205</v>
      </c>
    </row>
    <row r="215" spans="1:10" ht="11.25" customHeight="1" x14ac:dyDescent="0.2">
      <c r="A215" s="67">
        <v>44470</v>
      </c>
      <c r="B215" s="57">
        <v>0</v>
      </c>
      <c r="C215" s="57">
        <v>0</v>
      </c>
      <c r="D215" s="57">
        <v>4486.0380299999997</v>
      </c>
      <c r="E215" s="57">
        <v>6196.4311133300644</v>
      </c>
      <c r="F215" s="57">
        <v>2217.8514099999998</v>
      </c>
      <c r="G215" s="57">
        <v>2406.8004884929906</v>
      </c>
      <c r="H215" s="58">
        <v>0.38127030397244877</v>
      </c>
      <c r="I215" s="58">
        <v>8.519465174314389E-2</v>
      </c>
      <c r="J215" s="58">
        <v>0.28331943401248227</v>
      </c>
    </row>
    <row r="216" spans="1:10" ht="11.25" customHeight="1" x14ac:dyDescent="0.2">
      <c r="A216" s="67">
        <v>44501</v>
      </c>
      <c r="B216" s="57">
        <v>0</v>
      </c>
      <c r="C216" s="57">
        <v>0</v>
      </c>
      <c r="D216" s="57">
        <v>3924.7789500000003</v>
      </c>
      <c r="E216" s="57">
        <v>5421.1806132911679</v>
      </c>
      <c r="F216" s="57">
        <v>1940.3706500000001</v>
      </c>
      <c r="G216" s="57">
        <v>2105.6798517793682</v>
      </c>
      <c r="H216" s="58">
        <v>0.38127030397244854</v>
      </c>
      <c r="I216" s="58">
        <v>8.5194651743144112E-2</v>
      </c>
      <c r="J216" s="58">
        <v>0.28331943401248205</v>
      </c>
    </row>
    <row r="217" spans="1:10" ht="11.25" customHeight="1" x14ac:dyDescent="0.2">
      <c r="A217" s="67">
        <v>44531</v>
      </c>
      <c r="B217" s="57">
        <v>0</v>
      </c>
      <c r="C217" s="57">
        <v>0</v>
      </c>
      <c r="D217" s="57">
        <v>3181.9624200000003</v>
      </c>
      <c r="E217" s="57">
        <v>4395.1501991023079</v>
      </c>
      <c r="F217" s="57">
        <v>1573.1297399999999</v>
      </c>
      <c r="G217" s="57">
        <v>1707.1519803460826</v>
      </c>
      <c r="H217" s="58">
        <v>0.38127030397244832</v>
      </c>
      <c r="I217" s="58">
        <v>8.5194651743144112E-2</v>
      </c>
      <c r="J217" s="58">
        <v>0.28331943401248183</v>
      </c>
    </row>
    <row r="218" spans="1:10" ht="11.25" customHeight="1" x14ac:dyDescent="0.2">
      <c r="A218" s="67">
        <v>44562</v>
      </c>
      <c r="B218" s="57">
        <v>0</v>
      </c>
      <c r="C218" s="57">
        <v>0</v>
      </c>
      <c r="D218" s="57">
        <v>2842.60689</v>
      </c>
      <c r="E218" s="57">
        <v>3926.4084830244769</v>
      </c>
      <c r="F218" s="57">
        <v>1405.35583</v>
      </c>
      <c r="G218" s="57">
        <v>1525.0846305120469</v>
      </c>
      <c r="H218" s="58">
        <v>0.38127030397244854</v>
      </c>
      <c r="I218" s="58">
        <v>8.519465174314389E-2</v>
      </c>
      <c r="J218" s="58">
        <v>0.28331943401248227</v>
      </c>
    </row>
    <row r="219" spans="1:10" ht="11.25" customHeight="1" x14ac:dyDescent="0.2">
      <c r="A219" s="67">
        <v>44593</v>
      </c>
      <c r="B219" s="57">
        <v>0</v>
      </c>
      <c r="C219" s="57">
        <v>0</v>
      </c>
      <c r="D219" s="57">
        <v>3465.7299900000003</v>
      </c>
      <c r="E219" s="57">
        <v>4787.1099167737311</v>
      </c>
      <c r="F219" s="57">
        <v>1713.4215299999998</v>
      </c>
      <c r="G219" s="57">
        <v>1859.3958805375548</v>
      </c>
      <c r="H219" s="58">
        <v>0.38127030397244854</v>
      </c>
      <c r="I219" s="58">
        <v>8.5194651743144112E-2</v>
      </c>
      <c r="J219" s="58">
        <v>0.28331943401248205</v>
      </c>
    </row>
    <row r="220" spans="1:10" ht="11.25" customHeight="1" x14ac:dyDescent="0.2">
      <c r="A220" s="67">
        <v>44621</v>
      </c>
      <c r="B220" s="57">
        <v>0</v>
      </c>
      <c r="C220" s="57">
        <v>0</v>
      </c>
      <c r="D220" s="57">
        <v>2728.7412300000001</v>
      </c>
      <c r="E220" s="57">
        <v>3769.1292282242534</v>
      </c>
      <c r="F220" s="57">
        <v>1349.0618099999999</v>
      </c>
      <c r="G220" s="57">
        <v>1463.9946610829254</v>
      </c>
      <c r="H220" s="58">
        <v>0.38127030397244854</v>
      </c>
      <c r="I220" s="58">
        <v>8.519465174314389E-2</v>
      </c>
      <c r="J220" s="58">
        <v>0.28331943401248205</v>
      </c>
    </row>
    <row r="221" spans="1:10" ht="11.25" customHeight="1" x14ac:dyDescent="0.2">
      <c r="A221" s="67">
        <v>44652</v>
      </c>
      <c r="B221" s="57">
        <v>0</v>
      </c>
      <c r="C221" s="57">
        <v>0</v>
      </c>
      <c r="D221" s="57">
        <v>2641.77297</v>
      </c>
      <c r="E221" s="57">
        <v>3649.0025532980985</v>
      </c>
      <c r="F221" s="57">
        <v>1306.0655899999999</v>
      </c>
      <c r="G221" s="57">
        <v>1417.3353930937537</v>
      </c>
      <c r="H221" s="58">
        <v>0.38127030397244877</v>
      </c>
      <c r="I221" s="58">
        <v>8.519465174314389E-2</v>
      </c>
      <c r="J221" s="58">
        <v>0.28331943401248183</v>
      </c>
    </row>
    <row r="222" spans="1:10" ht="11.25" customHeight="1" x14ac:dyDescent="0.2">
      <c r="A222" s="64" t="s">
        <v>52</v>
      </c>
      <c r="B222" s="57">
        <v>0</v>
      </c>
      <c r="C222" s="57">
        <v>0</v>
      </c>
      <c r="D222" s="57">
        <v>5566.5514170000006</v>
      </c>
      <c r="E222" s="57">
        <v>7688.9121678378551</v>
      </c>
      <c r="F222" s="57">
        <v>2752.0461990000003</v>
      </c>
      <c r="G222" s="57">
        <v>2986.5058165048481</v>
      </c>
      <c r="H222" s="58">
        <v>0.38127030397244854</v>
      </c>
      <c r="I222" s="58">
        <v>8.519465174314389E-2</v>
      </c>
      <c r="J222" s="58">
        <v>0.28331943401248183</v>
      </c>
    </row>
    <row r="223" spans="1:10" ht="11.25" customHeight="1" x14ac:dyDescent="0.2">
      <c r="A223" s="65" t="s">
        <v>25</v>
      </c>
      <c r="B223" s="57">
        <v>0</v>
      </c>
      <c r="C223" s="57">
        <v>0</v>
      </c>
      <c r="D223" s="57">
        <v>5566.5514170000006</v>
      </c>
      <c r="E223" s="57">
        <v>7688.9121678378551</v>
      </c>
      <c r="F223" s="57">
        <v>2752.0461990000003</v>
      </c>
      <c r="G223" s="57">
        <v>2986.5058165048481</v>
      </c>
      <c r="H223" s="58">
        <v>0.38127030397244854</v>
      </c>
      <c r="I223" s="58">
        <v>8.519465174314389E-2</v>
      </c>
      <c r="J223" s="58">
        <v>0.28331943401248183</v>
      </c>
    </row>
    <row r="224" spans="1:10" ht="11.25" customHeight="1" x14ac:dyDescent="0.2">
      <c r="A224" s="66" t="s">
        <v>25</v>
      </c>
      <c r="B224" s="57">
        <v>0</v>
      </c>
      <c r="C224" s="57">
        <v>0</v>
      </c>
      <c r="D224" s="57">
        <v>5566.5514170000006</v>
      </c>
      <c r="E224" s="57">
        <v>7688.9121678378551</v>
      </c>
      <c r="F224" s="57">
        <v>2752.0461990000003</v>
      </c>
      <c r="G224" s="57">
        <v>2986.5058165048481</v>
      </c>
      <c r="H224" s="58">
        <v>0.38127030397244854</v>
      </c>
      <c r="I224" s="58">
        <v>8.519465174314389E-2</v>
      </c>
      <c r="J224" s="58">
        <v>0.28331943401248183</v>
      </c>
    </row>
    <row r="225" spans="1:10" ht="11.25" customHeight="1" x14ac:dyDescent="0.2">
      <c r="A225" s="67">
        <v>44317</v>
      </c>
      <c r="B225" s="57">
        <v>0</v>
      </c>
      <c r="C225" s="57">
        <v>0</v>
      </c>
      <c r="D225" s="57">
        <v>41.637175200000001</v>
      </c>
      <c r="E225" s="57">
        <v>57.512193645058105</v>
      </c>
      <c r="F225" s="57">
        <v>20.584994399999999</v>
      </c>
      <c r="G225" s="57">
        <v>22.33872582904257</v>
      </c>
      <c r="H225" s="58">
        <v>0.38127030397244877</v>
      </c>
      <c r="I225" s="58">
        <v>8.5194651743144112E-2</v>
      </c>
      <c r="J225" s="58">
        <v>0.28331943401248227</v>
      </c>
    </row>
    <row r="226" spans="1:10" ht="11.25" customHeight="1" x14ac:dyDescent="0.2">
      <c r="A226" s="67">
        <v>44348</v>
      </c>
      <c r="B226" s="57">
        <v>0</v>
      </c>
      <c r="C226" s="57">
        <v>0</v>
      </c>
      <c r="D226" s="57">
        <v>41.395098600000004</v>
      </c>
      <c r="E226" s="57">
        <v>57.177820426191488</v>
      </c>
      <c r="F226" s="57">
        <v>20.465314200000002</v>
      </c>
      <c r="G226" s="57">
        <v>22.208849516083021</v>
      </c>
      <c r="H226" s="58">
        <v>0.38127030397244854</v>
      </c>
      <c r="I226" s="58">
        <v>8.519465174314389E-2</v>
      </c>
      <c r="J226" s="58">
        <v>0.28331943401248205</v>
      </c>
    </row>
    <row r="227" spans="1:10" ht="11.25" customHeight="1" x14ac:dyDescent="0.2">
      <c r="A227" s="67">
        <v>44378</v>
      </c>
      <c r="B227" s="57">
        <v>0</v>
      </c>
      <c r="C227" s="57">
        <v>0</v>
      </c>
      <c r="D227" s="57">
        <v>68.991831000000005</v>
      </c>
      <c r="E227" s="57">
        <v>95.296367376985813</v>
      </c>
      <c r="F227" s="57">
        <v>34.108857</v>
      </c>
      <c r="G227" s="57">
        <v>37.014749193471701</v>
      </c>
      <c r="H227" s="58">
        <v>0.38127030397244877</v>
      </c>
      <c r="I227" s="58">
        <v>8.5194651743144112E-2</v>
      </c>
      <c r="J227" s="58">
        <v>0.28331943401248205</v>
      </c>
    </row>
    <row r="228" spans="1:10" ht="11.25" customHeight="1" x14ac:dyDescent="0.2">
      <c r="A228" s="67">
        <v>44409</v>
      </c>
      <c r="B228" s="57">
        <v>0</v>
      </c>
      <c r="C228" s="57">
        <v>0</v>
      </c>
      <c r="D228" s="57">
        <v>80.611507800000012</v>
      </c>
      <c r="E228" s="57">
        <v>111.34628188258341</v>
      </c>
      <c r="F228" s="57">
        <v>39.853506600000003</v>
      </c>
      <c r="G228" s="57">
        <v>43.248812215530087</v>
      </c>
      <c r="H228" s="58">
        <v>0.38127030397244832</v>
      </c>
      <c r="I228" s="58">
        <v>8.519465174314389E-2</v>
      </c>
      <c r="J228" s="58">
        <v>0.28331943401248183</v>
      </c>
    </row>
    <row r="229" spans="1:10" ht="11.25" customHeight="1" x14ac:dyDescent="0.2">
      <c r="A229" s="67">
        <v>44440</v>
      </c>
      <c r="B229" s="57">
        <v>0</v>
      </c>
      <c r="C229" s="57">
        <v>0</v>
      </c>
      <c r="D229" s="57">
        <v>180.9522585</v>
      </c>
      <c r="E229" s="57">
        <v>249.9439811027961</v>
      </c>
      <c r="F229" s="57">
        <v>89.460949499999998</v>
      </c>
      <c r="G229" s="57">
        <v>97.08254393726348</v>
      </c>
      <c r="H229" s="58">
        <v>0.38127030397244854</v>
      </c>
      <c r="I229" s="58">
        <v>8.519465174314389E-2</v>
      </c>
      <c r="J229" s="58">
        <v>0.28331943401248205</v>
      </c>
    </row>
    <row r="230" spans="1:10" ht="11.25" customHeight="1" x14ac:dyDescent="0.2">
      <c r="A230" s="67">
        <v>44470</v>
      </c>
      <c r="B230" s="57">
        <v>0</v>
      </c>
      <c r="C230" s="57">
        <v>0</v>
      </c>
      <c r="D230" s="57">
        <v>851.98859370000002</v>
      </c>
      <c r="E230" s="57">
        <v>1176.8265438010581</v>
      </c>
      <c r="F230" s="57">
        <v>421.2144639</v>
      </c>
      <c r="G230" s="57">
        <v>457.09968346113556</v>
      </c>
      <c r="H230" s="58">
        <v>0.38127030397244854</v>
      </c>
      <c r="I230" s="58">
        <v>8.519465174314389E-2</v>
      </c>
      <c r="J230" s="58">
        <v>0.28331943401248205</v>
      </c>
    </row>
    <row r="231" spans="1:10" ht="11.25" customHeight="1" x14ac:dyDescent="0.2">
      <c r="A231" s="67">
        <v>44501</v>
      </c>
      <c r="B231" s="57">
        <v>0</v>
      </c>
      <c r="C231" s="57">
        <v>0</v>
      </c>
      <c r="D231" s="57">
        <v>729.98198730000013</v>
      </c>
      <c r="E231" s="57">
        <v>1008.3024414922832</v>
      </c>
      <c r="F231" s="57">
        <v>360.89564310000003</v>
      </c>
      <c r="G231" s="57">
        <v>391.64202172952247</v>
      </c>
      <c r="H231" s="58">
        <v>0.38127030397244832</v>
      </c>
      <c r="I231" s="58">
        <v>8.519465174314389E-2</v>
      </c>
      <c r="J231" s="58">
        <v>0.28331943401248161</v>
      </c>
    </row>
    <row r="232" spans="1:10" ht="11.25" customHeight="1" x14ac:dyDescent="0.2">
      <c r="A232" s="67">
        <v>44531</v>
      </c>
      <c r="B232" s="57">
        <v>0</v>
      </c>
      <c r="C232" s="57">
        <v>0</v>
      </c>
      <c r="D232" s="57">
        <v>717.99919560000001</v>
      </c>
      <c r="E232" s="57">
        <v>991.75096715838561</v>
      </c>
      <c r="F232" s="57">
        <v>354.97147319999999</v>
      </c>
      <c r="G232" s="57">
        <v>385.21314423802471</v>
      </c>
      <c r="H232" s="58">
        <v>0.38127030397244854</v>
      </c>
      <c r="I232" s="58">
        <v>8.519465174314389E-2</v>
      </c>
      <c r="J232" s="58">
        <v>0.28331943401248183</v>
      </c>
    </row>
    <row r="233" spans="1:10" ht="11.25" customHeight="1" x14ac:dyDescent="0.2">
      <c r="A233" s="67">
        <v>44562</v>
      </c>
      <c r="B233" s="57">
        <v>0</v>
      </c>
      <c r="C233" s="57">
        <v>0</v>
      </c>
      <c r="D233" s="57">
        <v>1000.0184346</v>
      </c>
      <c r="E233" s="57">
        <v>1381.2957671379943</v>
      </c>
      <c r="F233" s="57">
        <v>494.3989062</v>
      </c>
      <c r="G233" s="57">
        <v>536.51904883590021</v>
      </c>
      <c r="H233" s="58">
        <v>0.38127030397244877</v>
      </c>
      <c r="I233" s="58">
        <v>8.519465174314389E-2</v>
      </c>
      <c r="J233" s="58">
        <v>0.28331943401248205</v>
      </c>
    </row>
    <row r="234" spans="1:10" ht="11.25" customHeight="1" x14ac:dyDescent="0.2">
      <c r="A234" s="67">
        <v>44593</v>
      </c>
      <c r="B234" s="57">
        <v>0</v>
      </c>
      <c r="C234" s="57">
        <v>0</v>
      </c>
      <c r="D234" s="57">
        <v>680.23524600000007</v>
      </c>
      <c r="E234" s="57">
        <v>939.58874501519347</v>
      </c>
      <c r="F234" s="57">
        <v>336.30136199999998</v>
      </c>
      <c r="G234" s="57">
        <v>364.95243941633498</v>
      </c>
      <c r="H234" s="58">
        <v>0.38127030397244854</v>
      </c>
      <c r="I234" s="58">
        <v>8.519465174314389E-2</v>
      </c>
      <c r="J234" s="58">
        <v>0.28331943401248205</v>
      </c>
    </row>
    <row r="235" spans="1:10" ht="11.25" customHeight="1" x14ac:dyDescent="0.2">
      <c r="A235" s="67">
        <v>44621</v>
      </c>
      <c r="B235" s="57">
        <v>0</v>
      </c>
      <c r="C235" s="57">
        <v>0</v>
      </c>
      <c r="D235" s="57">
        <v>745.23281310000004</v>
      </c>
      <c r="E235" s="57">
        <v>1029.36795428088</v>
      </c>
      <c r="F235" s="57">
        <v>368.43549569999999</v>
      </c>
      <c r="G235" s="57">
        <v>399.82422944597408</v>
      </c>
      <c r="H235" s="58">
        <v>0.38127030397244854</v>
      </c>
      <c r="I235" s="58">
        <v>8.519465174314389E-2</v>
      </c>
      <c r="J235" s="58">
        <v>0.28331943401248227</v>
      </c>
    </row>
    <row r="236" spans="1:10" ht="11.25" customHeight="1" x14ac:dyDescent="0.2">
      <c r="A236" s="67">
        <v>44652</v>
      </c>
      <c r="B236" s="57">
        <v>0</v>
      </c>
      <c r="C236" s="57">
        <v>0</v>
      </c>
      <c r="D236" s="57">
        <v>427.50727560000001</v>
      </c>
      <c r="E236" s="57">
        <v>590.50310451844541</v>
      </c>
      <c r="F236" s="57">
        <v>211.35523320000001</v>
      </c>
      <c r="G236" s="57">
        <v>229.36156868656499</v>
      </c>
      <c r="H236" s="58">
        <v>0.38127030397244877</v>
      </c>
      <c r="I236" s="58">
        <v>8.519465174314389E-2</v>
      </c>
      <c r="J236" s="58">
        <v>0.28331943401248205</v>
      </c>
    </row>
    <row r="237" spans="1:10" ht="11.25" customHeight="1" x14ac:dyDescent="0.2">
      <c r="A237" s="63" t="s">
        <v>25</v>
      </c>
      <c r="B237" s="57">
        <v>0</v>
      </c>
      <c r="C237" s="57">
        <v>0</v>
      </c>
      <c r="D237" s="57">
        <v>1093643.8011</v>
      </c>
      <c r="E237" s="57">
        <v>1510617.7055829812</v>
      </c>
      <c r="F237" s="57">
        <v>540686.33169999998</v>
      </c>
      <c r="G237" s="57">
        <v>586749.91543145943</v>
      </c>
      <c r="H237" s="58">
        <v>0.38127030397244854</v>
      </c>
      <c r="I237" s="58">
        <v>8.5194651743144112E-2</v>
      </c>
      <c r="J237" s="58">
        <v>0.28331943401248183</v>
      </c>
    </row>
    <row r="238" spans="1:10" ht="11.25" customHeight="1" x14ac:dyDescent="0.2">
      <c r="A238" s="64" t="s">
        <v>25</v>
      </c>
      <c r="B238" s="57">
        <v>0</v>
      </c>
      <c r="C238" s="57">
        <v>0</v>
      </c>
      <c r="D238" s="57">
        <v>1093643.8011</v>
      </c>
      <c r="E238" s="57">
        <v>1510617.7055829812</v>
      </c>
      <c r="F238" s="57">
        <v>540686.33169999998</v>
      </c>
      <c r="G238" s="57">
        <v>586749.91543145943</v>
      </c>
      <c r="H238" s="58">
        <v>0.38127030397244854</v>
      </c>
      <c r="I238" s="58">
        <v>8.5194651743144112E-2</v>
      </c>
      <c r="J238" s="58">
        <v>0.28331943401248183</v>
      </c>
    </row>
    <row r="239" spans="1:10" ht="11.25" customHeight="1" x14ac:dyDescent="0.2">
      <c r="A239" s="65" t="s">
        <v>25</v>
      </c>
      <c r="B239" s="57">
        <v>0</v>
      </c>
      <c r="C239" s="57">
        <v>0</v>
      </c>
      <c r="D239" s="57">
        <v>1093643.8011</v>
      </c>
      <c r="E239" s="57">
        <v>1510617.7055829812</v>
      </c>
      <c r="F239" s="57">
        <v>540686.33169999998</v>
      </c>
      <c r="G239" s="57">
        <v>586749.91543145943</v>
      </c>
      <c r="H239" s="58">
        <v>0.38127030397244854</v>
      </c>
      <c r="I239" s="58">
        <v>8.5194651743144112E-2</v>
      </c>
      <c r="J239" s="58">
        <v>0.28331943401248183</v>
      </c>
    </row>
    <row r="240" spans="1:10" ht="11.25" customHeight="1" x14ac:dyDescent="0.2">
      <c r="A240" s="66" t="s">
        <v>25</v>
      </c>
      <c r="B240" s="57">
        <v>0</v>
      </c>
      <c r="C240" s="57">
        <v>0</v>
      </c>
      <c r="D240" s="57">
        <v>1093643.8011</v>
      </c>
      <c r="E240" s="57">
        <v>1510617.7055829812</v>
      </c>
      <c r="F240" s="57">
        <v>540686.33169999998</v>
      </c>
      <c r="G240" s="57">
        <v>586749.91543145943</v>
      </c>
      <c r="H240" s="58">
        <v>0.38127030397244854</v>
      </c>
      <c r="I240" s="58">
        <v>8.5194651743144112E-2</v>
      </c>
      <c r="J240" s="58">
        <v>0.28331943401248183</v>
      </c>
    </row>
    <row r="241" spans="1:10" ht="11.25" customHeight="1" x14ac:dyDescent="0.2">
      <c r="A241" s="67">
        <v>44317</v>
      </c>
      <c r="B241" s="57">
        <v>0</v>
      </c>
      <c r="C241" s="57">
        <v>0</v>
      </c>
      <c r="D241" s="57">
        <v>92709.958320000005</v>
      </c>
      <c r="E241" s="57">
        <v>128057.51230993944</v>
      </c>
      <c r="F241" s="57">
        <v>45834.857039999995</v>
      </c>
      <c r="G241" s="57">
        <v>49739.741723219588</v>
      </c>
      <c r="H241" s="58">
        <v>0.38127030397244854</v>
      </c>
      <c r="I241" s="58">
        <v>8.5194651743144112E-2</v>
      </c>
      <c r="J241" s="58">
        <v>0.28331943401248205</v>
      </c>
    </row>
    <row r="242" spans="1:10" ht="11.25" customHeight="1" x14ac:dyDescent="0.2">
      <c r="A242" s="67">
        <v>44348</v>
      </c>
      <c r="B242" s="57">
        <v>0</v>
      </c>
      <c r="C242" s="57">
        <v>0</v>
      </c>
      <c r="D242" s="57">
        <v>91581.612389999995</v>
      </c>
      <c r="E242" s="57">
        <v>126498.96158422227</v>
      </c>
      <c r="F242" s="57">
        <v>45277.014329999998</v>
      </c>
      <c r="G242" s="57">
        <v>49134.373797813685</v>
      </c>
      <c r="H242" s="58">
        <v>0.38127030397244877</v>
      </c>
      <c r="I242" s="58">
        <v>8.519465174314389E-2</v>
      </c>
      <c r="J242" s="58">
        <v>0.28331943401248205</v>
      </c>
    </row>
    <row r="243" spans="1:10" ht="11.25" customHeight="1" x14ac:dyDescent="0.2">
      <c r="A243" s="67">
        <v>44378</v>
      </c>
      <c r="B243" s="57">
        <v>0</v>
      </c>
      <c r="C243" s="57">
        <v>0</v>
      </c>
      <c r="D243" s="57">
        <v>82864.613339999996</v>
      </c>
      <c r="E243" s="57">
        <v>114458.42965670122</v>
      </c>
      <c r="F243" s="57">
        <v>40967.418980000002</v>
      </c>
      <c r="G243" s="57">
        <v>44457.62397281656</v>
      </c>
      <c r="H243" s="58">
        <v>0.38127030397244877</v>
      </c>
      <c r="I243" s="58">
        <v>8.5194651743143668E-2</v>
      </c>
      <c r="J243" s="58">
        <v>0.28331943401248205</v>
      </c>
    </row>
    <row r="244" spans="1:10" ht="11.25" customHeight="1" x14ac:dyDescent="0.2">
      <c r="A244" s="67">
        <v>44409</v>
      </c>
      <c r="B244" s="57">
        <v>0</v>
      </c>
      <c r="C244" s="57">
        <v>0</v>
      </c>
      <c r="D244" s="57">
        <v>82926.02906999999</v>
      </c>
      <c r="E244" s="57">
        <v>114543.261380747</v>
      </c>
      <c r="F244" s="57">
        <v>40997.782289999996</v>
      </c>
      <c r="G244" s="57">
        <v>44490.574074437776</v>
      </c>
      <c r="H244" s="58">
        <v>0.38127030397244877</v>
      </c>
      <c r="I244" s="58">
        <v>8.519465174314389E-2</v>
      </c>
      <c r="J244" s="58">
        <v>0.28331943401248205</v>
      </c>
    </row>
    <row r="245" spans="1:10" ht="11.25" customHeight="1" x14ac:dyDescent="0.2">
      <c r="A245" s="67">
        <v>44440</v>
      </c>
      <c r="B245" s="57">
        <v>0</v>
      </c>
      <c r="C245" s="57">
        <v>0</v>
      </c>
      <c r="D245" s="57">
        <v>85331.553210000013</v>
      </c>
      <c r="E245" s="57">
        <v>117865.94044081787</v>
      </c>
      <c r="F245" s="57">
        <v>42187.048869999999</v>
      </c>
      <c r="G245" s="57">
        <v>45781.15980655064</v>
      </c>
      <c r="H245" s="58">
        <v>0.38127030397244832</v>
      </c>
      <c r="I245" s="58">
        <v>8.519465174314389E-2</v>
      </c>
      <c r="J245" s="58">
        <v>0.28331943401248183</v>
      </c>
    </row>
    <row r="246" spans="1:10" ht="11.25" customHeight="1" x14ac:dyDescent="0.2">
      <c r="A246" s="67">
        <v>44470</v>
      </c>
      <c r="B246" s="57">
        <v>0</v>
      </c>
      <c r="C246" s="57">
        <v>0</v>
      </c>
      <c r="D246" s="57">
        <v>87469.896510000006</v>
      </c>
      <c r="E246" s="57">
        <v>120819.57054080632</v>
      </c>
      <c r="F246" s="57">
        <v>43244.223969999999</v>
      </c>
      <c r="G246" s="57">
        <v>46928.400571026665</v>
      </c>
      <c r="H246" s="58">
        <v>0.38127030397244854</v>
      </c>
      <c r="I246" s="58">
        <v>8.519465174314389E-2</v>
      </c>
      <c r="J246" s="58">
        <v>0.28331943401248205</v>
      </c>
    </row>
    <row r="247" spans="1:10" ht="11.25" customHeight="1" x14ac:dyDescent="0.2">
      <c r="A247" s="67">
        <v>44501</v>
      </c>
      <c r="B247" s="57">
        <v>0</v>
      </c>
      <c r="C247" s="57">
        <v>0</v>
      </c>
      <c r="D247" s="57">
        <v>107374.42079999999</v>
      </c>
      <c r="E247" s="57">
        <v>148313.09885728161</v>
      </c>
      <c r="F247" s="57">
        <v>53084.817599999995</v>
      </c>
      <c r="G247" s="57">
        <v>57607.360148280321</v>
      </c>
      <c r="H247" s="58">
        <v>0.38127030397244877</v>
      </c>
      <c r="I247" s="58">
        <v>8.5194651743144112E-2</v>
      </c>
      <c r="J247" s="58">
        <v>0.2833194340124825</v>
      </c>
    </row>
    <row r="248" spans="1:10" ht="11.25" customHeight="1" x14ac:dyDescent="0.2">
      <c r="A248" s="67">
        <v>44531</v>
      </c>
      <c r="B248" s="57">
        <v>0</v>
      </c>
      <c r="C248" s="57">
        <v>0</v>
      </c>
      <c r="D248" s="57">
        <v>95556.599820000018</v>
      </c>
      <c r="E248" s="57">
        <v>131989.49367994504</v>
      </c>
      <c r="F248" s="57">
        <v>47242.207539999996</v>
      </c>
      <c r="G248" s="57">
        <v>51266.99095894763</v>
      </c>
      <c r="H248" s="58">
        <v>0.38127030397244854</v>
      </c>
      <c r="I248" s="58">
        <v>8.5194651743144112E-2</v>
      </c>
      <c r="J248" s="58">
        <v>0.28331943401248205</v>
      </c>
    </row>
    <row r="249" spans="1:10" ht="11.25" customHeight="1" x14ac:dyDescent="0.2">
      <c r="A249" s="67">
        <v>44562</v>
      </c>
      <c r="B249" s="57">
        <v>0</v>
      </c>
      <c r="C249" s="57">
        <v>0</v>
      </c>
      <c r="D249" s="57">
        <v>92281.841370000024</v>
      </c>
      <c r="E249" s="57">
        <v>127466.1670802772</v>
      </c>
      <c r="F249" s="57">
        <v>45623.200389999998</v>
      </c>
      <c r="G249" s="57">
        <v>49510.053058633719</v>
      </c>
      <c r="H249" s="58">
        <v>0.38127030397244832</v>
      </c>
      <c r="I249" s="58">
        <v>8.519465174314389E-2</v>
      </c>
      <c r="J249" s="58">
        <v>0.28331943401248205</v>
      </c>
    </row>
    <row r="250" spans="1:10" ht="11.25" customHeight="1" x14ac:dyDescent="0.2">
      <c r="A250" s="67">
        <v>44593</v>
      </c>
      <c r="B250" s="57">
        <v>0</v>
      </c>
      <c r="C250" s="57">
        <v>0</v>
      </c>
      <c r="D250" s="57">
        <v>91887.346170000004</v>
      </c>
      <c r="E250" s="57">
        <v>126921.26257545751</v>
      </c>
      <c r="F250" s="57">
        <v>45428.165989999994</v>
      </c>
      <c r="G250" s="57">
        <v>49298.402770847781</v>
      </c>
      <c r="H250" s="58">
        <v>0.38127030397244854</v>
      </c>
      <c r="I250" s="58">
        <v>8.519465174314389E-2</v>
      </c>
      <c r="J250" s="58">
        <v>0.28331943401248227</v>
      </c>
    </row>
    <row r="251" spans="1:10" ht="11.25" customHeight="1" x14ac:dyDescent="0.2">
      <c r="A251" s="67">
        <v>44621</v>
      </c>
      <c r="B251" s="57">
        <v>0</v>
      </c>
      <c r="C251" s="57">
        <v>0</v>
      </c>
      <c r="D251" s="57">
        <v>95473.666169999997</v>
      </c>
      <c r="E251" s="57">
        <v>131874.93989199999</v>
      </c>
      <c r="F251" s="57">
        <v>47201.205989999995</v>
      </c>
      <c r="G251" s="57">
        <v>51222.496296174446</v>
      </c>
      <c r="H251" s="58">
        <v>0.38127030397244877</v>
      </c>
      <c r="I251" s="58">
        <v>8.519465174314389E-2</v>
      </c>
      <c r="J251" s="58">
        <v>0.28331943401248205</v>
      </c>
    </row>
    <row r="252" spans="1:10" ht="11.25" customHeight="1" x14ac:dyDescent="0.2">
      <c r="A252" s="67">
        <v>44652</v>
      </c>
      <c r="B252" s="57">
        <v>0</v>
      </c>
      <c r="C252" s="57">
        <v>0</v>
      </c>
      <c r="D252" s="57">
        <v>88186.263930000001</v>
      </c>
      <c r="E252" s="57">
        <v>121809.06758478569</v>
      </c>
      <c r="F252" s="57">
        <v>43598.388709999999</v>
      </c>
      <c r="G252" s="57">
        <v>47312.738252710667</v>
      </c>
      <c r="H252" s="58">
        <v>0.38127030397244877</v>
      </c>
      <c r="I252" s="58">
        <v>8.519465174314389E-2</v>
      </c>
      <c r="J252" s="58">
        <v>0.28331943401248227</v>
      </c>
    </row>
    <row r="253" spans="1:10" ht="11.25" customHeight="1" x14ac:dyDescent="0.2">
      <c r="A253" s="60" t="s">
        <v>32</v>
      </c>
      <c r="B253" s="57">
        <v>0</v>
      </c>
      <c r="C253" s="57">
        <v>0</v>
      </c>
      <c r="D253" s="57">
        <v>891828.73983800015</v>
      </c>
      <c r="E253" s="57">
        <v>1153210.1466030537</v>
      </c>
      <c r="F253" s="57">
        <v>441183.42560999992</v>
      </c>
      <c r="G253" s="57">
        <v>448214.15815393691</v>
      </c>
      <c r="H253" s="58">
        <v>0.29308475393216527</v>
      </c>
      <c r="I253" s="58">
        <v>1.5936075871880284E-2</v>
      </c>
      <c r="J253" s="58">
        <v>0.20135760667929259</v>
      </c>
    </row>
    <row r="254" spans="1:10" ht="11.25" customHeight="1" x14ac:dyDescent="0.2">
      <c r="A254" s="61" t="s">
        <v>39</v>
      </c>
      <c r="B254" s="57">
        <v>0</v>
      </c>
      <c r="C254" s="57">
        <v>0</v>
      </c>
      <c r="D254" s="57">
        <v>2160.9010399999997</v>
      </c>
      <c r="E254" s="57">
        <v>2798.5601055096085</v>
      </c>
      <c r="F254" s="57">
        <v>1352.938200000001</v>
      </c>
      <c r="G254" s="57">
        <v>1374.4987258051658</v>
      </c>
      <c r="H254" s="58">
        <v>0.29508943431745904</v>
      </c>
      <c r="I254" s="58">
        <v>1.5936075871880062E-2</v>
      </c>
      <c r="J254" s="58">
        <v>0.18760664512209546</v>
      </c>
    </row>
    <row r="255" spans="1:10" ht="11.25" customHeight="1" x14ac:dyDescent="0.2">
      <c r="A255" s="62" t="s">
        <v>38</v>
      </c>
      <c r="B255" s="57">
        <v>0</v>
      </c>
      <c r="C255" s="57">
        <v>0</v>
      </c>
      <c r="D255" s="57">
        <v>2160.9010399999997</v>
      </c>
      <c r="E255" s="57">
        <v>2798.5601055096085</v>
      </c>
      <c r="F255" s="57">
        <v>1352.938200000001</v>
      </c>
      <c r="G255" s="57">
        <v>1374.4987258051658</v>
      </c>
      <c r="H255" s="58">
        <v>0.29508943431745904</v>
      </c>
      <c r="I255" s="58">
        <v>1.5936075871880062E-2</v>
      </c>
      <c r="J255" s="58">
        <v>0.18760664512209546</v>
      </c>
    </row>
    <row r="256" spans="1:10" ht="11.25" customHeight="1" x14ac:dyDescent="0.2">
      <c r="A256" s="63" t="s">
        <v>25</v>
      </c>
      <c r="B256" s="57">
        <v>0</v>
      </c>
      <c r="C256" s="57">
        <v>0</v>
      </c>
      <c r="D256" s="57">
        <v>2160.9010399999997</v>
      </c>
      <c r="E256" s="57">
        <v>2798.5601055096085</v>
      </c>
      <c r="F256" s="57">
        <v>1352.938200000001</v>
      </c>
      <c r="G256" s="57">
        <v>1374.4987258051658</v>
      </c>
      <c r="H256" s="58">
        <v>0.29508943431745904</v>
      </c>
      <c r="I256" s="58">
        <v>1.5936075871880062E-2</v>
      </c>
      <c r="J256" s="58">
        <v>0.18760664512209546</v>
      </c>
    </row>
    <row r="257" spans="1:10" ht="11.25" customHeight="1" x14ac:dyDescent="0.2">
      <c r="A257" s="64" t="s">
        <v>25</v>
      </c>
      <c r="B257" s="57">
        <v>0</v>
      </c>
      <c r="C257" s="57">
        <v>0</v>
      </c>
      <c r="D257" s="57">
        <v>2160.9010399999997</v>
      </c>
      <c r="E257" s="57">
        <v>2798.5601055096085</v>
      </c>
      <c r="F257" s="57">
        <v>1352.938200000001</v>
      </c>
      <c r="G257" s="57">
        <v>1374.4987258051658</v>
      </c>
      <c r="H257" s="58">
        <v>0.29508943431745904</v>
      </c>
      <c r="I257" s="58">
        <v>1.5936075871880062E-2</v>
      </c>
      <c r="J257" s="58">
        <v>0.18760664512209546</v>
      </c>
    </row>
    <row r="258" spans="1:10" ht="11.25" customHeight="1" x14ac:dyDescent="0.2">
      <c r="A258" s="65" t="s">
        <v>25</v>
      </c>
      <c r="B258" s="57">
        <v>0</v>
      </c>
      <c r="C258" s="57">
        <v>0</v>
      </c>
      <c r="D258" s="57">
        <v>2160.9010399999997</v>
      </c>
      <c r="E258" s="57">
        <v>2798.5601055096085</v>
      </c>
      <c r="F258" s="57">
        <v>1352.938200000001</v>
      </c>
      <c r="G258" s="57">
        <v>1374.4987258051658</v>
      </c>
      <c r="H258" s="58">
        <v>0.29508943431745904</v>
      </c>
      <c r="I258" s="58">
        <v>1.5936075871880062E-2</v>
      </c>
      <c r="J258" s="58">
        <v>0.18760664512209546</v>
      </c>
    </row>
    <row r="259" spans="1:10" ht="11.25" customHeight="1" x14ac:dyDescent="0.2">
      <c r="A259" s="66" t="s">
        <v>37</v>
      </c>
      <c r="B259" s="57">
        <v>0</v>
      </c>
      <c r="C259" s="57">
        <v>0</v>
      </c>
      <c r="D259" s="57">
        <v>1805.6320000000001</v>
      </c>
      <c r="E259" s="57">
        <v>2340.6921228627298</v>
      </c>
      <c r="F259" s="57">
        <v>1277.3832000000002</v>
      </c>
      <c r="G259" s="57">
        <v>1297.739675592665</v>
      </c>
      <c r="H259" s="58">
        <v>0.29632844503350064</v>
      </c>
      <c r="I259" s="58">
        <v>1.593607587187984E-2</v>
      </c>
      <c r="J259" s="58">
        <v>0.18015370097928618</v>
      </c>
    </row>
    <row r="260" spans="1:10" ht="11.25" customHeight="1" x14ac:dyDescent="0.2">
      <c r="A260" s="67">
        <v>44317</v>
      </c>
      <c r="B260" s="57">
        <v>0</v>
      </c>
      <c r="C260" s="57">
        <v>0</v>
      </c>
      <c r="D260" s="57">
        <v>116.41200000000001</v>
      </c>
      <c r="E260" s="57">
        <v>150.90818694323991</v>
      </c>
      <c r="F260" s="57">
        <v>82.354950000000002</v>
      </c>
      <c r="G260" s="57">
        <v>83.667364731624886</v>
      </c>
      <c r="H260" s="58">
        <v>0.29632844503350086</v>
      </c>
      <c r="I260" s="58">
        <v>1.5936075871880062E-2</v>
      </c>
      <c r="J260" s="58">
        <v>0.18015370097928662</v>
      </c>
    </row>
    <row r="261" spans="1:10" ht="11.25" customHeight="1" x14ac:dyDescent="0.2">
      <c r="A261" s="67">
        <v>44348</v>
      </c>
      <c r="B261" s="57">
        <v>0</v>
      </c>
      <c r="C261" s="57">
        <v>0</v>
      </c>
      <c r="D261" s="57">
        <v>91.492000000000004</v>
      </c>
      <c r="E261" s="57">
        <v>118.60368209300506</v>
      </c>
      <c r="F261" s="57">
        <v>64.725449999999995</v>
      </c>
      <c r="G261" s="57">
        <v>65.756919682041584</v>
      </c>
      <c r="H261" s="58">
        <v>0.29632844503350086</v>
      </c>
      <c r="I261" s="58">
        <v>1.5936075871880284E-2</v>
      </c>
      <c r="J261" s="58">
        <v>0.18015370097928662</v>
      </c>
    </row>
    <row r="262" spans="1:10" ht="11.25" customHeight="1" x14ac:dyDescent="0.2">
      <c r="A262" s="67">
        <v>44378</v>
      </c>
      <c r="B262" s="57">
        <v>0</v>
      </c>
      <c r="C262" s="57">
        <v>0</v>
      </c>
      <c r="D262" s="57">
        <v>122.46399999999998</v>
      </c>
      <c r="E262" s="57">
        <v>158.75356669258264</v>
      </c>
      <c r="F262" s="57">
        <v>86.636399999999995</v>
      </c>
      <c r="G262" s="57">
        <v>88.017044243666547</v>
      </c>
      <c r="H262" s="58">
        <v>0.29632844503350086</v>
      </c>
      <c r="I262" s="58">
        <v>1.5936075871880062E-2</v>
      </c>
      <c r="J262" s="58">
        <v>0.1801537009792864</v>
      </c>
    </row>
    <row r="263" spans="1:10" ht="11.25" customHeight="1" x14ac:dyDescent="0.2">
      <c r="A263" s="67">
        <v>44409</v>
      </c>
      <c r="B263" s="57">
        <v>0</v>
      </c>
      <c r="C263" s="57">
        <v>0</v>
      </c>
      <c r="D263" s="57">
        <v>168.38800000000001</v>
      </c>
      <c r="E263" s="57">
        <v>218.28615420230113</v>
      </c>
      <c r="F263" s="57">
        <v>119.12504999999999</v>
      </c>
      <c r="G263" s="57">
        <v>121.0234358350415</v>
      </c>
      <c r="H263" s="58">
        <v>0.29632844503350086</v>
      </c>
      <c r="I263" s="58">
        <v>1.5936075871880062E-2</v>
      </c>
      <c r="J263" s="58">
        <v>0.1801537009792864</v>
      </c>
    </row>
    <row r="264" spans="1:10" ht="11.25" customHeight="1" x14ac:dyDescent="0.2">
      <c r="A264" s="67">
        <v>44440</v>
      </c>
      <c r="B264" s="57">
        <v>0</v>
      </c>
      <c r="C264" s="57">
        <v>0</v>
      </c>
      <c r="D264" s="57">
        <v>185.83199999999999</v>
      </c>
      <c r="E264" s="57">
        <v>240.89930759746554</v>
      </c>
      <c r="F264" s="57">
        <v>131.4657</v>
      </c>
      <c r="G264" s="57">
        <v>133.56074736974983</v>
      </c>
      <c r="H264" s="58">
        <v>0.29632844503350086</v>
      </c>
      <c r="I264" s="58">
        <v>1.5936075871880062E-2</v>
      </c>
      <c r="J264" s="58">
        <v>0.18015370097928662</v>
      </c>
    </row>
    <row r="265" spans="1:10" ht="11.25" customHeight="1" x14ac:dyDescent="0.2">
      <c r="A265" s="67">
        <v>44470</v>
      </c>
      <c r="B265" s="57">
        <v>0</v>
      </c>
      <c r="C265" s="57">
        <v>0</v>
      </c>
      <c r="D265" s="57">
        <v>178.35599999999999</v>
      </c>
      <c r="E265" s="57">
        <v>231.20795614239509</v>
      </c>
      <c r="F265" s="57">
        <v>126.17685</v>
      </c>
      <c r="G265" s="57">
        <v>128.18761385487483</v>
      </c>
      <c r="H265" s="58">
        <v>0.29632844503350086</v>
      </c>
      <c r="I265" s="58">
        <v>1.5936075871880062E-2</v>
      </c>
      <c r="J265" s="58">
        <v>0.18015370097928662</v>
      </c>
    </row>
    <row r="266" spans="1:10" ht="11.25" customHeight="1" x14ac:dyDescent="0.2">
      <c r="A266" s="67">
        <v>44501</v>
      </c>
      <c r="B266" s="57">
        <v>0</v>
      </c>
      <c r="C266" s="57">
        <v>0</v>
      </c>
      <c r="D266" s="57">
        <v>191.88400000000001</v>
      </c>
      <c r="E266" s="57">
        <v>248.74468734680829</v>
      </c>
      <c r="F266" s="57">
        <v>135.74715</v>
      </c>
      <c r="G266" s="57">
        <v>137.91042688179149</v>
      </c>
      <c r="H266" s="58">
        <v>0.29632844503350086</v>
      </c>
      <c r="I266" s="58">
        <v>1.5936075871880062E-2</v>
      </c>
      <c r="J266" s="58">
        <v>0.1801537009792864</v>
      </c>
    </row>
    <row r="267" spans="1:10" ht="11.25" customHeight="1" x14ac:dyDescent="0.2">
      <c r="A267" s="67">
        <v>44531</v>
      </c>
      <c r="B267" s="57">
        <v>0</v>
      </c>
      <c r="C267" s="57">
        <v>0</v>
      </c>
      <c r="D267" s="57">
        <v>201.49599999999998</v>
      </c>
      <c r="E267" s="57">
        <v>261.20499636047026</v>
      </c>
      <c r="F267" s="57">
        <v>142.54709999999997</v>
      </c>
      <c r="G267" s="57">
        <v>144.81874140091645</v>
      </c>
      <c r="H267" s="58">
        <v>0.29632844503350086</v>
      </c>
      <c r="I267" s="58">
        <v>1.5936075871880062E-2</v>
      </c>
      <c r="J267" s="58">
        <v>0.1801537009792864</v>
      </c>
    </row>
    <row r="268" spans="1:10" ht="11.25" customHeight="1" x14ac:dyDescent="0.2">
      <c r="A268" s="67">
        <v>44562</v>
      </c>
      <c r="B268" s="57">
        <v>0</v>
      </c>
      <c r="C268" s="57">
        <v>0</v>
      </c>
      <c r="D268" s="57">
        <v>140.62</v>
      </c>
      <c r="E268" s="57">
        <v>182.2897059406109</v>
      </c>
      <c r="F268" s="57">
        <v>99.48075</v>
      </c>
      <c r="G268" s="57">
        <v>101.06608277979154</v>
      </c>
      <c r="H268" s="58">
        <v>0.29632844503350086</v>
      </c>
      <c r="I268" s="58">
        <v>1.5936075871880062E-2</v>
      </c>
      <c r="J268" s="58">
        <v>0.1801537009792864</v>
      </c>
    </row>
    <row r="269" spans="1:10" ht="11.25" customHeight="1" x14ac:dyDescent="0.2">
      <c r="A269" s="67">
        <v>44593</v>
      </c>
      <c r="B269" s="57">
        <v>0</v>
      </c>
      <c r="C269" s="57">
        <v>0</v>
      </c>
      <c r="D269" s="57">
        <v>127.804</v>
      </c>
      <c r="E269" s="57">
        <v>165.67596058906153</v>
      </c>
      <c r="F269" s="57">
        <v>90.414149999999992</v>
      </c>
      <c r="G269" s="57">
        <v>91.854996754291534</v>
      </c>
      <c r="H269" s="58">
        <v>0.29632844503350064</v>
      </c>
      <c r="I269" s="58">
        <v>1.5936075871880062E-2</v>
      </c>
      <c r="J269" s="58">
        <v>0.1801537009792864</v>
      </c>
    </row>
    <row r="270" spans="1:10" ht="11.25" customHeight="1" x14ac:dyDescent="0.2">
      <c r="A270" s="67">
        <v>44621</v>
      </c>
      <c r="B270" s="57">
        <v>0</v>
      </c>
      <c r="C270" s="57">
        <v>0</v>
      </c>
      <c r="D270" s="57">
        <v>146.316</v>
      </c>
      <c r="E270" s="57">
        <v>189.6735927635217</v>
      </c>
      <c r="F270" s="57">
        <v>103.51034999999999</v>
      </c>
      <c r="G270" s="57">
        <v>105.15989879112486</v>
      </c>
      <c r="H270" s="58">
        <v>0.29632844503350064</v>
      </c>
      <c r="I270" s="58">
        <v>1.5936075871880062E-2</v>
      </c>
      <c r="J270" s="58">
        <v>0.18015370097928662</v>
      </c>
    </row>
    <row r="271" spans="1:10" ht="11.25" customHeight="1" x14ac:dyDescent="0.2">
      <c r="A271" s="67">
        <v>44652</v>
      </c>
      <c r="B271" s="57">
        <v>0</v>
      </c>
      <c r="C271" s="57">
        <v>0</v>
      </c>
      <c r="D271" s="57">
        <v>134.56800000000001</v>
      </c>
      <c r="E271" s="57">
        <v>174.44432619126815</v>
      </c>
      <c r="F271" s="57">
        <v>95.199299999999994</v>
      </c>
      <c r="G271" s="57">
        <v>96.716403267749868</v>
      </c>
      <c r="H271" s="58">
        <v>0.29632844503350086</v>
      </c>
      <c r="I271" s="58">
        <v>1.5936075871880062E-2</v>
      </c>
      <c r="J271" s="58">
        <v>0.1801537009792864</v>
      </c>
    </row>
    <row r="272" spans="1:10" ht="11.25" customHeight="1" x14ac:dyDescent="0.2">
      <c r="A272" s="66" t="s">
        <v>40</v>
      </c>
      <c r="B272" s="57">
        <v>0</v>
      </c>
      <c r="C272" s="57">
        <v>0</v>
      </c>
      <c r="D272" s="57">
        <v>151.84431999999998</v>
      </c>
      <c r="E272" s="57">
        <v>195.83381502374417</v>
      </c>
      <c r="F272" s="57">
        <v>41.303400000000003</v>
      </c>
      <c r="G272" s="57">
        <v>41.961614116166615</v>
      </c>
      <c r="H272" s="58">
        <v>0.2897012876329137</v>
      </c>
      <c r="I272" s="58">
        <v>1.5936075871880062E-2</v>
      </c>
      <c r="J272" s="58">
        <v>0.2311583545480671</v>
      </c>
    </row>
    <row r="273" spans="1:10" ht="11.25" customHeight="1" x14ac:dyDescent="0.2">
      <c r="A273" s="67">
        <v>44317</v>
      </c>
      <c r="B273" s="57">
        <v>0</v>
      </c>
      <c r="C273" s="57">
        <v>0</v>
      </c>
      <c r="D273" s="57">
        <v>10.18468</v>
      </c>
      <c r="E273" s="57">
        <v>13.135194910129181</v>
      </c>
      <c r="F273" s="57">
        <v>2.7703499999999996</v>
      </c>
      <c r="G273" s="57">
        <v>2.8144985077916629</v>
      </c>
      <c r="H273" s="58">
        <v>0.28970128763291347</v>
      </c>
      <c r="I273" s="58">
        <v>1.5936075871880284E-2</v>
      </c>
      <c r="J273" s="58">
        <v>0.23115835454806688</v>
      </c>
    </row>
    <row r="274" spans="1:10" ht="11.25" customHeight="1" x14ac:dyDescent="0.2">
      <c r="A274" s="67">
        <v>44348</v>
      </c>
      <c r="B274" s="57">
        <v>0</v>
      </c>
      <c r="C274" s="57">
        <v>0</v>
      </c>
      <c r="D274" s="57">
        <v>8.3329199999999997</v>
      </c>
      <c r="E274" s="57">
        <v>10.746977653742057</v>
      </c>
      <c r="F274" s="57">
        <v>2.2666499999999998</v>
      </c>
      <c r="G274" s="57">
        <v>2.3027715063749969</v>
      </c>
      <c r="H274" s="58">
        <v>0.28970128763291347</v>
      </c>
      <c r="I274" s="58">
        <v>1.5936075871880062E-2</v>
      </c>
      <c r="J274" s="58">
        <v>0.23115835454806688</v>
      </c>
    </row>
    <row r="275" spans="1:10" ht="11.25" customHeight="1" x14ac:dyDescent="0.2">
      <c r="A275" s="67">
        <v>44378</v>
      </c>
      <c r="B275" s="57">
        <v>0</v>
      </c>
      <c r="C275" s="57">
        <v>0</v>
      </c>
      <c r="D275" s="57">
        <v>17.591719999999999</v>
      </c>
      <c r="E275" s="57">
        <v>22.688063935677679</v>
      </c>
      <c r="F275" s="57">
        <v>4.7851499999999998</v>
      </c>
      <c r="G275" s="57">
        <v>4.8614065134583271</v>
      </c>
      <c r="H275" s="58">
        <v>0.2897012876329137</v>
      </c>
      <c r="I275" s="58">
        <v>1.5936075871880062E-2</v>
      </c>
      <c r="J275" s="58">
        <v>0.23115835454806732</v>
      </c>
    </row>
    <row r="276" spans="1:10" ht="11.25" customHeight="1" x14ac:dyDescent="0.2">
      <c r="A276" s="67">
        <v>44409</v>
      </c>
      <c r="B276" s="57">
        <v>0</v>
      </c>
      <c r="C276" s="57">
        <v>0</v>
      </c>
      <c r="D276" s="57">
        <v>12.036439999999999</v>
      </c>
      <c r="E276" s="57">
        <v>15.523412166516305</v>
      </c>
      <c r="F276" s="57">
        <v>3.2740499999999999</v>
      </c>
      <c r="G276" s="57">
        <v>3.3262255092083288</v>
      </c>
      <c r="H276" s="58">
        <v>0.2897012876329137</v>
      </c>
      <c r="I276" s="58">
        <v>1.5936075871880062E-2</v>
      </c>
      <c r="J276" s="58">
        <v>0.2311583545480671</v>
      </c>
    </row>
    <row r="277" spans="1:10" ht="11.25" customHeight="1" x14ac:dyDescent="0.2">
      <c r="A277" s="67">
        <v>44440</v>
      </c>
      <c r="B277" s="57">
        <v>0</v>
      </c>
      <c r="C277" s="57">
        <v>0</v>
      </c>
      <c r="D277" s="57">
        <v>11.11056</v>
      </c>
      <c r="E277" s="57">
        <v>14.329303538322744</v>
      </c>
      <c r="F277" s="57">
        <v>3.0221999999999998</v>
      </c>
      <c r="G277" s="57">
        <v>3.0703620084999961</v>
      </c>
      <c r="H277" s="58">
        <v>0.2897012876329137</v>
      </c>
      <c r="I277" s="58">
        <v>1.5936075871880284E-2</v>
      </c>
      <c r="J277" s="58">
        <v>0.2311583545480671</v>
      </c>
    </row>
    <row r="278" spans="1:10" ht="11.25" customHeight="1" x14ac:dyDescent="0.2">
      <c r="A278" s="67">
        <v>44470</v>
      </c>
      <c r="B278" s="57">
        <v>0</v>
      </c>
      <c r="C278" s="57">
        <v>0</v>
      </c>
      <c r="D278" s="57">
        <v>10.18468</v>
      </c>
      <c r="E278" s="57">
        <v>13.135194910129181</v>
      </c>
      <c r="F278" s="57">
        <v>2.7703499999999996</v>
      </c>
      <c r="G278" s="57">
        <v>2.8144985077916629</v>
      </c>
      <c r="H278" s="58">
        <v>0.28970128763291347</v>
      </c>
      <c r="I278" s="58">
        <v>1.5936075871880284E-2</v>
      </c>
      <c r="J278" s="58">
        <v>0.23115835454806688</v>
      </c>
    </row>
    <row r="279" spans="1:10" ht="11.25" customHeight="1" x14ac:dyDescent="0.2">
      <c r="A279" s="67">
        <v>44501</v>
      </c>
      <c r="B279" s="57">
        <v>0</v>
      </c>
      <c r="C279" s="57">
        <v>0</v>
      </c>
      <c r="D279" s="57">
        <v>17.591719999999999</v>
      </c>
      <c r="E279" s="57">
        <v>22.688063935677679</v>
      </c>
      <c r="F279" s="57">
        <v>4.7851499999999998</v>
      </c>
      <c r="G279" s="57">
        <v>4.8614065134583271</v>
      </c>
      <c r="H279" s="58">
        <v>0.2897012876329137</v>
      </c>
      <c r="I279" s="58">
        <v>1.5936075871880062E-2</v>
      </c>
      <c r="J279" s="58">
        <v>0.23115835454806732</v>
      </c>
    </row>
    <row r="280" spans="1:10" ht="11.25" customHeight="1" x14ac:dyDescent="0.2">
      <c r="A280" s="67">
        <v>44531</v>
      </c>
      <c r="B280" s="57">
        <v>0</v>
      </c>
      <c r="C280" s="57">
        <v>0</v>
      </c>
      <c r="D280" s="57">
        <v>18.517600000000002</v>
      </c>
      <c r="E280" s="57">
        <v>23.88217256387124</v>
      </c>
      <c r="F280" s="57">
        <v>5.0369999999999999</v>
      </c>
      <c r="G280" s="57">
        <v>5.1172700141666603</v>
      </c>
      <c r="H280" s="58">
        <v>0.28970128763291347</v>
      </c>
      <c r="I280" s="58">
        <v>1.5936075871880062E-2</v>
      </c>
      <c r="J280" s="58">
        <v>0.2311583545480671</v>
      </c>
    </row>
    <row r="281" spans="1:10" ht="11.25" customHeight="1" x14ac:dyDescent="0.2">
      <c r="A281" s="67">
        <v>44562</v>
      </c>
      <c r="B281" s="57">
        <v>0</v>
      </c>
      <c r="C281" s="57">
        <v>0</v>
      </c>
      <c r="D281" s="57">
        <v>12.036439999999999</v>
      </c>
      <c r="E281" s="57">
        <v>15.523412166516305</v>
      </c>
      <c r="F281" s="57">
        <v>3.2740499999999999</v>
      </c>
      <c r="G281" s="57">
        <v>3.3262255092083288</v>
      </c>
      <c r="H281" s="58">
        <v>0.2897012876329137</v>
      </c>
      <c r="I281" s="58">
        <v>1.5936075871880062E-2</v>
      </c>
      <c r="J281" s="58">
        <v>0.2311583545480671</v>
      </c>
    </row>
    <row r="282" spans="1:10" ht="11.25" customHeight="1" x14ac:dyDescent="0.2">
      <c r="A282" s="67">
        <v>44593</v>
      </c>
      <c r="B282" s="57">
        <v>0</v>
      </c>
      <c r="C282" s="57">
        <v>0</v>
      </c>
      <c r="D282" s="57">
        <v>11.11056</v>
      </c>
      <c r="E282" s="57">
        <v>14.329303538322744</v>
      </c>
      <c r="F282" s="57">
        <v>3.0221999999999998</v>
      </c>
      <c r="G282" s="57">
        <v>3.0703620084999961</v>
      </c>
      <c r="H282" s="58">
        <v>0.2897012876329137</v>
      </c>
      <c r="I282" s="58">
        <v>1.5936075871880284E-2</v>
      </c>
      <c r="J282" s="58">
        <v>0.2311583545480671</v>
      </c>
    </row>
    <row r="283" spans="1:10" ht="11.25" customHeight="1" x14ac:dyDescent="0.2">
      <c r="A283" s="67">
        <v>44621</v>
      </c>
      <c r="B283" s="57">
        <v>0</v>
      </c>
      <c r="C283" s="57">
        <v>0</v>
      </c>
      <c r="D283" s="57">
        <v>12.96232</v>
      </c>
      <c r="E283" s="57">
        <v>16.71752079470987</v>
      </c>
      <c r="F283" s="57">
        <v>3.5259</v>
      </c>
      <c r="G283" s="57">
        <v>3.582089009916662</v>
      </c>
      <c r="H283" s="58">
        <v>0.2897012876329137</v>
      </c>
      <c r="I283" s="58">
        <v>1.5936075871880062E-2</v>
      </c>
      <c r="J283" s="58">
        <v>0.23115835454806732</v>
      </c>
    </row>
    <row r="284" spans="1:10" ht="11.25" customHeight="1" x14ac:dyDescent="0.2">
      <c r="A284" s="67">
        <v>44652</v>
      </c>
      <c r="B284" s="57">
        <v>0</v>
      </c>
      <c r="C284" s="57">
        <v>0</v>
      </c>
      <c r="D284" s="57">
        <v>10.18468</v>
      </c>
      <c r="E284" s="57">
        <v>13.135194910129181</v>
      </c>
      <c r="F284" s="57">
        <v>2.7703499999999996</v>
      </c>
      <c r="G284" s="57">
        <v>2.8144985077916629</v>
      </c>
      <c r="H284" s="58">
        <v>0.28970128763291347</v>
      </c>
      <c r="I284" s="58">
        <v>1.5936075871880284E-2</v>
      </c>
      <c r="J284" s="58">
        <v>0.23115835454806688</v>
      </c>
    </row>
    <row r="285" spans="1:10" ht="11.25" customHeight="1" x14ac:dyDescent="0.2">
      <c r="A285" s="66" t="s">
        <v>36</v>
      </c>
      <c r="B285" s="57">
        <v>0</v>
      </c>
      <c r="C285" s="57">
        <v>0</v>
      </c>
      <c r="D285" s="57">
        <v>203.42472000000001</v>
      </c>
      <c r="E285" s="57">
        <v>262.03416762313577</v>
      </c>
      <c r="F285" s="57">
        <v>34.251600000000003</v>
      </c>
      <c r="G285" s="57">
        <v>34.797436096333293</v>
      </c>
      <c r="H285" s="58">
        <v>0.2881136944572702</v>
      </c>
      <c r="I285" s="58">
        <v>1.5936075871880062E-2</v>
      </c>
      <c r="J285" s="58">
        <v>0.2488901028064936</v>
      </c>
    </row>
    <row r="286" spans="1:10" ht="11.25" customHeight="1" x14ac:dyDescent="0.2">
      <c r="A286" s="67">
        <v>44317</v>
      </c>
      <c r="B286" s="57">
        <v>0</v>
      </c>
      <c r="C286" s="57">
        <v>0</v>
      </c>
      <c r="D286" s="57">
        <v>13.461929999999999</v>
      </c>
      <c r="E286" s="57">
        <v>17.340496386825162</v>
      </c>
      <c r="F286" s="57">
        <v>2.2666499999999998</v>
      </c>
      <c r="G286" s="57">
        <v>2.3027715063749969</v>
      </c>
      <c r="H286" s="58">
        <v>0.28811369445727042</v>
      </c>
      <c r="I286" s="58">
        <v>1.5936075871880062E-2</v>
      </c>
      <c r="J286" s="58">
        <v>0.24889010280649382</v>
      </c>
    </row>
    <row r="287" spans="1:10" ht="11.25" customHeight="1" x14ac:dyDescent="0.2">
      <c r="A287" s="67">
        <v>44348</v>
      </c>
      <c r="B287" s="57">
        <v>0</v>
      </c>
      <c r="C287" s="57">
        <v>0</v>
      </c>
      <c r="D287" s="57">
        <v>17.94924</v>
      </c>
      <c r="E287" s="57">
        <v>23.120661849100216</v>
      </c>
      <c r="F287" s="57">
        <v>3.0221999999999998</v>
      </c>
      <c r="G287" s="57">
        <v>3.0703620084999961</v>
      </c>
      <c r="H287" s="58">
        <v>0.28811369445727042</v>
      </c>
      <c r="I287" s="58">
        <v>1.5936075871880284E-2</v>
      </c>
      <c r="J287" s="58">
        <v>0.24889010280649337</v>
      </c>
    </row>
    <row r="288" spans="1:10" ht="11.25" customHeight="1" x14ac:dyDescent="0.2">
      <c r="A288" s="67">
        <v>44378</v>
      </c>
      <c r="B288" s="57">
        <v>0</v>
      </c>
      <c r="C288" s="57">
        <v>0</v>
      </c>
      <c r="D288" s="57">
        <v>20.94078</v>
      </c>
      <c r="E288" s="57">
        <v>26.974105490616921</v>
      </c>
      <c r="F288" s="57">
        <v>3.5259</v>
      </c>
      <c r="G288" s="57">
        <v>3.582089009916662</v>
      </c>
      <c r="H288" s="58">
        <v>0.28811369445727042</v>
      </c>
      <c r="I288" s="58">
        <v>1.5936075871880062E-2</v>
      </c>
      <c r="J288" s="58">
        <v>0.2488901028064936</v>
      </c>
    </row>
    <row r="289" spans="1:10" ht="11.25" customHeight="1" x14ac:dyDescent="0.2">
      <c r="A289" s="67">
        <v>44409</v>
      </c>
      <c r="B289" s="57">
        <v>0</v>
      </c>
      <c r="C289" s="57">
        <v>0</v>
      </c>
      <c r="D289" s="57">
        <v>22.43655</v>
      </c>
      <c r="E289" s="57">
        <v>28.90082731137527</v>
      </c>
      <c r="F289" s="57">
        <v>3.7777499999999997</v>
      </c>
      <c r="G289" s="57">
        <v>3.8379525106249948</v>
      </c>
      <c r="H289" s="58">
        <v>0.28811369445727042</v>
      </c>
      <c r="I289" s="58">
        <v>1.5936075871880062E-2</v>
      </c>
      <c r="J289" s="58">
        <v>0.2488901028064936</v>
      </c>
    </row>
    <row r="290" spans="1:10" ht="11.25" customHeight="1" x14ac:dyDescent="0.2">
      <c r="A290" s="67">
        <v>44440</v>
      </c>
      <c r="B290" s="57">
        <v>0</v>
      </c>
      <c r="C290" s="57">
        <v>0</v>
      </c>
      <c r="D290" s="57">
        <v>17.94924</v>
      </c>
      <c r="E290" s="57">
        <v>23.120661849100216</v>
      </c>
      <c r="F290" s="57">
        <v>3.0221999999999998</v>
      </c>
      <c r="G290" s="57">
        <v>3.0703620084999961</v>
      </c>
      <c r="H290" s="58">
        <v>0.28811369445727042</v>
      </c>
      <c r="I290" s="58">
        <v>1.5936075871880284E-2</v>
      </c>
      <c r="J290" s="58">
        <v>0.24889010280649337</v>
      </c>
    </row>
    <row r="291" spans="1:10" ht="11.25" customHeight="1" x14ac:dyDescent="0.2">
      <c r="A291" s="67">
        <v>44470</v>
      </c>
      <c r="B291" s="57">
        <v>0</v>
      </c>
      <c r="C291" s="57">
        <v>0</v>
      </c>
      <c r="D291" s="57">
        <v>19.44501</v>
      </c>
      <c r="E291" s="57">
        <v>25.047383669858569</v>
      </c>
      <c r="F291" s="57">
        <v>3.2740499999999999</v>
      </c>
      <c r="G291" s="57">
        <v>3.3262255092083288</v>
      </c>
      <c r="H291" s="58">
        <v>0.28811369445727042</v>
      </c>
      <c r="I291" s="58">
        <v>1.5936075871880062E-2</v>
      </c>
      <c r="J291" s="58">
        <v>0.2488901028064936</v>
      </c>
    </row>
    <row r="292" spans="1:10" ht="11.25" customHeight="1" x14ac:dyDescent="0.2">
      <c r="A292" s="67">
        <v>44501</v>
      </c>
      <c r="B292" s="57">
        <v>0</v>
      </c>
      <c r="C292" s="57">
        <v>0</v>
      </c>
      <c r="D292" s="57">
        <v>17.94924</v>
      </c>
      <c r="E292" s="57">
        <v>23.120661849100216</v>
      </c>
      <c r="F292" s="57">
        <v>3.0221999999999998</v>
      </c>
      <c r="G292" s="57">
        <v>3.0703620084999961</v>
      </c>
      <c r="H292" s="58">
        <v>0.28811369445727042</v>
      </c>
      <c r="I292" s="58">
        <v>1.5936075871880284E-2</v>
      </c>
      <c r="J292" s="58">
        <v>0.24889010280649337</v>
      </c>
    </row>
    <row r="293" spans="1:10" ht="11.25" customHeight="1" x14ac:dyDescent="0.2">
      <c r="A293" s="67">
        <v>44531</v>
      </c>
      <c r="B293" s="57">
        <v>0</v>
      </c>
      <c r="C293" s="57">
        <v>0</v>
      </c>
      <c r="D293" s="57">
        <v>25.428090000000001</v>
      </c>
      <c r="E293" s="57">
        <v>32.754270952891979</v>
      </c>
      <c r="F293" s="57">
        <v>4.2814500000000004</v>
      </c>
      <c r="G293" s="57">
        <v>4.3496795120416616</v>
      </c>
      <c r="H293" s="58">
        <v>0.28811369445727064</v>
      </c>
      <c r="I293" s="58">
        <v>1.5936075871880062E-2</v>
      </c>
      <c r="J293" s="58">
        <v>0.24889010280649382</v>
      </c>
    </row>
    <row r="294" spans="1:10" ht="11.25" customHeight="1" x14ac:dyDescent="0.2">
      <c r="A294" s="67">
        <v>44562</v>
      </c>
      <c r="B294" s="57">
        <v>0</v>
      </c>
      <c r="C294" s="57">
        <v>0</v>
      </c>
      <c r="D294" s="57">
        <v>10.47039</v>
      </c>
      <c r="E294" s="57">
        <v>13.487052745308461</v>
      </c>
      <c r="F294" s="57">
        <v>1.76295</v>
      </c>
      <c r="G294" s="57">
        <v>1.791044504958331</v>
      </c>
      <c r="H294" s="58">
        <v>0.28811369445727042</v>
      </c>
      <c r="I294" s="58">
        <v>1.5936075871880062E-2</v>
      </c>
      <c r="J294" s="58">
        <v>0.2488901028064936</v>
      </c>
    </row>
    <row r="295" spans="1:10" ht="11.25" customHeight="1" x14ac:dyDescent="0.2">
      <c r="A295" s="67">
        <v>44593</v>
      </c>
      <c r="B295" s="57">
        <v>0</v>
      </c>
      <c r="C295" s="57">
        <v>0</v>
      </c>
      <c r="D295" s="57">
        <v>7.4788500000000004</v>
      </c>
      <c r="E295" s="57">
        <v>9.6336091037917573</v>
      </c>
      <c r="F295" s="57">
        <v>1.25925</v>
      </c>
      <c r="G295" s="57">
        <v>1.2793175035416651</v>
      </c>
      <c r="H295" s="58">
        <v>0.28811369445727042</v>
      </c>
      <c r="I295" s="58">
        <v>1.5936075871880062E-2</v>
      </c>
      <c r="J295" s="58">
        <v>0.24889010280649337</v>
      </c>
    </row>
    <row r="296" spans="1:10" ht="11.25" customHeight="1" x14ac:dyDescent="0.2">
      <c r="A296" s="67">
        <v>44621</v>
      </c>
      <c r="B296" s="57">
        <v>0</v>
      </c>
      <c r="C296" s="57">
        <v>0</v>
      </c>
      <c r="D296" s="57">
        <v>17.94924</v>
      </c>
      <c r="E296" s="57">
        <v>23.120661849100216</v>
      </c>
      <c r="F296" s="57">
        <v>3.0221999999999998</v>
      </c>
      <c r="G296" s="57">
        <v>3.0703620084999961</v>
      </c>
      <c r="H296" s="58">
        <v>0.28811369445727042</v>
      </c>
      <c r="I296" s="58">
        <v>1.5936075871880284E-2</v>
      </c>
      <c r="J296" s="58">
        <v>0.24889010280649337</v>
      </c>
    </row>
    <row r="297" spans="1:10" ht="11.25" customHeight="1" x14ac:dyDescent="0.2">
      <c r="A297" s="67">
        <v>44652</v>
      </c>
      <c r="B297" s="57">
        <v>0</v>
      </c>
      <c r="C297" s="57">
        <v>0</v>
      </c>
      <c r="D297" s="57">
        <v>11.96616</v>
      </c>
      <c r="E297" s="57">
        <v>15.413774566066811</v>
      </c>
      <c r="F297" s="57">
        <v>2.0148000000000001</v>
      </c>
      <c r="G297" s="57">
        <v>2.0469080056666642</v>
      </c>
      <c r="H297" s="58">
        <v>0.28811369445727042</v>
      </c>
      <c r="I297" s="58">
        <v>1.5936075871880062E-2</v>
      </c>
      <c r="J297" s="58">
        <v>0.2488901028064936</v>
      </c>
    </row>
    <row r="298" spans="1:10" ht="11.25" customHeight="1" x14ac:dyDescent="0.2">
      <c r="A298" s="61" t="s">
        <v>23</v>
      </c>
      <c r="B298" s="57">
        <v>0</v>
      </c>
      <c r="C298" s="57">
        <v>0</v>
      </c>
      <c r="D298" s="57">
        <v>889667.83879800013</v>
      </c>
      <c r="E298" s="57">
        <v>1150411.5864975441</v>
      </c>
      <c r="F298" s="57">
        <v>439830.48740999989</v>
      </c>
      <c r="G298" s="57">
        <v>446839.65942813177</v>
      </c>
      <c r="H298" s="58">
        <v>0.29307988479366154</v>
      </c>
      <c r="I298" s="58">
        <v>1.5936075871880506E-2</v>
      </c>
      <c r="J298" s="58">
        <v>0.20139395021380846</v>
      </c>
    </row>
    <row r="299" spans="1:10" ht="11.25" customHeight="1" x14ac:dyDescent="0.2">
      <c r="A299" s="62" t="s">
        <v>38</v>
      </c>
      <c r="B299" s="57">
        <v>0</v>
      </c>
      <c r="C299" s="57">
        <v>0</v>
      </c>
      <c r="D299" s="57">
        <v>405743.67437999998</v>
      </c>
      <c r="E299" s="57">
        <v>524658.98372304742</v>
      </c>
      <c r="F299" s="57">
        <v>200589.96209999998</v>
      </c>
      <c r="G299" s="57">
        <v>203786.57895516313</v>
      </c>
      <c r="H299" s="58">
        <v>0.29307988479366154</v>
      </c>
      <c r="I299" s="58">
        <v>1.5936075871880506E-2</v>
      </c>
      <c r="J299" s="58">
        <v>0.20139395021380846</v>
      </c>
    </row>
    <row r="300" spans="1:10" ht="11.25" customHeight="1" x14ac:dyDescent="0.2">
      <c r="A300" s="63" t="s">
        <v>25</v>
      </c>
      <c r="B300" s="57">
        <v>0</v>
      </c>
      <c r="C300" s="57">
        <v>0</v>
      </c>
      <c r="D300" s="57">
        <v>405743.67437999998</v>
      </c>
      <c r="E300" s="57">
        <v>524658.98372304742</v>
      </c>
      <c r="F300" s="57">
        <v>200589.96209999998</v>
      </c>
      <c r="G300" s="57">
        <v>203786.57895516313</v>
      </c>
      <c r="H300" s="58">
        <v>0.29307988479366154</v>
      </c>
      <c r="I300" s="58">
        <v>1.5936075871880506E-2</v>
      </c>
      <c r="J300" s="58">
        <v>0.20139395021380846</v>
      </c>
    </row>
    <row r="301" spans="1:10" ht="11.25" customHeight="1" x14ac:dyDescent="0.2">
      <c r="A301" s="64" t="s">
        <v>25</v>
      </c>
      <c r="B301" s="57">
        <v>0</v>
      </c>
      <c r="C301" s="57">
        <v>0</v>
      </c>
      <c r="D301" s="57">
        <v>405743.67437999998</v>
      </c>
      <c r="E301" s="57">
        <v>524658.98372304742</v>
      </c>
      <c r="F301" s="57">
        <v>200589.96209999998</v>
      </c>
      <c r="G301" s="57">
        <v>203786.57895516313</v>
      </c>
      <c r="H301" s="58">
        <v>0.29307988479366154</v>
      </c>
      <c r="I301" s="58">
        <v>1.5936075871880506E-2</v>
      </c>
      <c r="J301" s="58">
        <v>0.20139395021380846</v>
      </c>
    </row>
    <row r="302" spans="1:10" ht="11.25" customHeight="1" x14ac:dyDescent="0.2">
      <c r="A302" s="65" t="s">
        <v>25</v>
      </c>
      <c r="B302" s="57">
        <v>0</v>
      </c>
      <c r="C302" s="57">
        <v>0</v>
      </c>
      <c r="D302" s="57">
        <v>405743.67437999998</v>
      </c>
      <c r="E302" s="57">
        <v>524658.98372304742</v>
      </c>
      <c r="F302" s="57">
        <v>200589.96209999998</v>
      </c>
      <c r="G302" s="57">
        <v>203786.57895516313</v>
      </c>
      <c r="H302" s="58">
        <v>0.29307988479366154</v>
      </c>
      <c r="I302" s="58">
        <v>1.5936075871880506E-2</v>
      </c>
      <c r="J302" s="58">
        <v>0.20139395021380846</v>
      </c>
    </row>
    <row r="303" spans="1:10" ht="11.25" customHeight="1" x14ac:dyDescent="0.2">
      <c r="A303" s="66" t="s">
        <v>25</v>
      </c>
      <c r="B303" s="57">
        <v>0</v>
      </c>
      <c r="C303" s="57">
        <v>0</v>
      </c>
      <c r="D303" s="57">
        <v>405743.67437999998</v>
      </c>
      <c r="E303" s="57">
        <v>524658.98372304742</v>
      </c>
      <c r="F303" s="57">
        <v>200589.96209999998</v>
      </c>
      <c r="G303" s="57">
        <v>203786.57895516313</v>
      </c>
      <c r="H303" s="58">
        <v>0.29307988479366154</v>
      </c>
      <c r="I303" s="58">
        <v>1.5936075871880506E-2</v>
      </c>
      <c r="J303" s="58">
        <v>0.20139395021380846</v>
      </c>
    </row>
    <row r="304" spans="1:10" ht="11.25" customHeight="1" x14ac:dyDescent="0.2">
      <c r="A304" s="67">
        <v>44317</v>
      </c>
      <c r="B304" s="57">
        <v>0</v>
      </c>
      <c r="C304" s="57">
        <v>0</v>
      </c>
      <c r="D304" s="57">
        <v>34404.355050000006</v>
      </c>
      <c r="E304" s="57">
        <v>44487.579464454233</v>
      </c>
      <c r="F304" s="57">
        <v>17008.689750000001</v>
      </c>
      <c r="G304" s="57">
        <v>17279.741520337269</v>
      </c>
      <c r="H304" s="58">
        <v>0.29307988479366154</v>
      </c>
      <c r="I304" s="58">
        <v>1.5936075871880062E-2</v>
      </c>
      <c r="J304" s="58">
        <v>0.20139395021380824</v>
      </c>
    </row>
    <row r="305" spans="1:10" ht="11.25" customHeight="1" x14ac:dyDescent="0.2">
      <c r="A305" s="67">
        <v>44348</v>
      </c>
      <c r="B305" s="57">
        <v>0</v>
      </c>
      <c r="C305" s="57">
        <v>0</v>
      </c>
      <c r="D305" s="57">
        <v>30209.708429999999</v>
      </c>
      <c r="E305" s="57">
        <v>39063.566296314515</v>
      </c>
      <c r="F305" s="57">
        <v>14934.95685</v>
      </c>
      <c r="G305" s="57">
        <v>15172.961455504856</v>
      </c>
      <c r="H305" s="58">
        <v>0.29307988479366198</v>
      </c>
      <c r="I305" s="58">
        <v>1.5936075871880062E-2</v>
      </c>
      <c r="J305" s="58">
        <v>0.20139395021380846</v>
      </c>
    </row>
    <row r="306" spans="1:10" ht="11.25" customHeight="1" x14ac:dyDescent="0.2">
      <c r="A306" s="67">
        <v>44378</v>
      </c>
      <c r="B306" s="57">
        <v>0</v>
      </c>
      <c r="C306" s="57">
        <v>0</v>
      </c>
      <c r="D306" s="57">
        <v>29357.43204</v>
      </c>
      <c r="E306" s="57">
        <v>37961.50484012095</v>
      </c>
      <c r="F306" s="57">
        <v>14513.611799999999</v>
      </c>
      <c r="G306" s="57">
        <v>14744.901818819813</v>
      </c>
      <c r="H306" s="58">
        <v>0.29307988479366154</v>
      </c>
      <c r="I306" s="58">
        <v>1.5936075871880062E-2</v>
      </c>
      <c r="J306" s="58">
        <v>0.20139395021380824</v>
      </c>
    </row>
    <row r="307" spans="1:10" ht="11.25" customHeight="1" x14ac:dyDescent="0.2">
      <c r="A307" s="67">
        <v>44409</v>
      </c>
      <c r="B307" s="57">
        <v>0</v>
      </c>
      <c r="C307" s="57">
        <v>0</v>
      </c>
      <c r="D307" s="57">
        <v>29587.6944</v>
      </c>
      <c r="E307" s="57">
        <v>38259.252466062069</v>
      </c>
      <c r="F307" s="57">
        <v>14627.448</v>
      </c>
      <c r="G307" s="57">
        <v>14860.552121139981</v>
      </c>
      <c r="H307" s="58">
        <v>0.29307988479366176</v>
      </c>
      <c r="I307" s="58">
        <v>1.5936075871880062E-2</v>
      </c>
      <c r="J307" s="58">
        <v>0.20139395021380846</v>
      </c>
    </row>
    <row r="308" spans="1:10" ht="11.25" customHeight="1" x14ac:dyDescent="0.2">
      <c r="A308" s="67">
        <v>44440</v>
      </c>
      <c r="B308" s="57">
        <v>0</v>
      </c>
      <c r="C308" s="57">
        <v>0</v>
      </c>
      <c r="D308" s="57">
        <v>30768.55314</v>
      </c>
      <c r="E308" s="57">
        <v>39786.197149538857</v>
      </c>
      <c r="F308" s="57">
        <v>15211.236299999999</v>
      </c>
      <c r="G308" s="57">
        <v>15453.643715781895</v>
      </c>
      <c r="H308" s="58">
        <v>0.29307988479366176</v>
      </c>
      <c r="I308" s="58">
        <v>1.5936075871880062E-2</v>
      </c>
      <c r="J308" s="58">
        <v>0.20139395021380846</v>
      </c>
    </row>
    <row r="309" spans="1:10" ht="11.25" customHeight="1" x14ac:dyDescent="0.2">
      <c r="A309" s="67">
        <v>44470</v>
      </c>
      <c r="B309" s="57">
        <v>0</v>
      </c>
      <c r="C309" s="57">
        <v>0</v>
      </c>
      <c r="D309" s="57">
        <v>33031.950629999999</v>
      </c>
      <c r="E309" s="57">
        <v>42712.950915150323</v>
      </c>
      <c r="F309" s="57">
        <v>16330.20585</v>
      </c>
      <c r="G309" s="57">
        <v>16590.44524942902</v>
      </c>
      <c r="H309" s="58">
        <v>0.29307988479366176</v>
      </c>
      <c r="I309" s="58">
        <v>1.5936075871880062E-2</v>
      </c>
      <c r="J309" s="58">
        <v>0.20139395021380868</v>
      </c>
    </row>
    <row r="310" spans="1:10" ht="11.25" customHeight="1" x14ac:dyDescent="0.2">
      <c r="A310" s="67">
        <v>44501</v>
      </c>
      <c r="B310" s="57">
        <v>0</v>
      </c>
      <c r="C310" s="57">
        <v>0</v>
      </c>
      <c r="D310" s="57">
        <v>38258.702430000005</v>
      </c>
      <c r="E310" s="57">
        <v>49471.558530539391</v>
      </c>
      <c r="F310" s="57">
        <v>18914.186850000002</v>
      </c>
      <c r="G310" s="57">
        <v>19215.604766696517</v>
      </c>
      <c r="H310" s="58">
        <v>0.29307988479366176</v>
      </c>
      <c r="I310" s="58">
        <v>1.5936075871880062E-2</v>
      </c>
      <c r="J310" s="58">
        <v>0.20139395021380846</v>
      </c>
    </row>
    <row r="311" spans="1:10" ht="11.25" customHeight="1" x14ac:dyDescent="0.2">
      <c r="A311" s="67">
        <v>44531</v>
      </c>
      <c r="B311" s="57">
        <v>0</v>
      </c>
      <c r="C311" s="57">
        <v>0</v>
      </c>
      <c r="D311" s="57">
        <v>36641.262180000005</v>
      </c>
      <c r="E311" s="57">
        <v>47380.079078408751</v>
      </c>
      <c r="F311" s="57">
        <v>18114.563099999999</v>
      </c>
      <c r="G311" s="57">
        <v>18403.23815194756</v>
      </c>
      <c r="H311" s="58">
        <v>0.29307988479366154</v>
      </c>
      <c r="I311" s="58">
        <v>1.5936075871880062E-2</v>
      </c>
      <c r="J311" s="58">
        <v>0.20139395021380824</v>
      </c>
    </row>
    <row r="312" spans="1:10" ht="11.25" customHeight="1" x14ac:dyDescent="0.2">
      <c r="A312" s="67">
        <v>44562</v>
      </c>
      <c r="B312" s="57">
        <v>0</v>
      </c>
      <c r="C312" s="57">
        <v>0</v>
      </c>
      <c r="D312" s="57">
        <v>38667.265290000003</v>
      </c>
      <c r="E312" s="57">
        <v>49999.862946479152</v>
      </c>
      <c r="F312" s="57">
        <v>19116.170549999999</v>
      </c>
      <c r="G312" s="57">
        <v>19420.807294264599</v>
      </c>
      <c r="H312" s="58">
        <v>0.29307988479366154</v>
      </c>
      <c r="I312" s="58">
        <v>1.5936075871880062E-2</v>
      </c>
      <c r="J312" s="58">
        <v>0.20139395021380824</v>
      </c>
    </row>
    <row r="313" spans="1:10" ht="11.25" customHeight="1" x14ac:dyDescent="0.2">
      <c r="A313" s="67">
        <v>44593</v>
      </c>
      <c r="B313" s="57">
        <v>0</v>
      </c>
      <c r="C313" s="57">
        <v>0</v>
      </c>
      <c r="D313" s="57">
        <v>34751.786310000003</v>
      </c>
      <c r="E313" s="57">
        <v>44936.835838108753</v>
      </c>
      <c r="F313" s="57">
        <v>17180.45145</v>
      </c>
      <c r="G313" s="57">
        <v>17454.240427820354</v>
      </c>
      <c r="H313" s="58">
        <v>0.29307988479366176</v>
      </c>
      <c r="I313" s="58">
        <v>1.5936075871880062E-2</v>
      </c>
      <c r="J313" s="58">
        <v>0.20139395021380846</v>
      </c>
    </row>
    <row r="314" spans="1:10" ht="11.25" customHeight="1" x14ac:dyDescent="0.2">
      <c r="A314" s="67">
        <v>44621</v>
      </c>
      <c r="B314" s="57">
        <v>0</v>
      </c>
      <c r="C314" s="57">
        <v>0</v>
      </c>
      <c r="D314" s="57">
        <v>36812.940090000004</v>
      </c>
      <c r="E314" s="57">
        <v>47602.072330493174</v>
      </c>
      <c r="F314" s="57">
        <v>18199.436549999999</v>
      </c>
      <c r="G314" s="57">
        <v>18489.464151686268</v>
      </c>
      <c r="H314" s="58">
        <v>0.29307988479366176</v>
      </c>
      <c r="I314" s="58">
        <v>1.5936075871880284E-2</v>
      </c>
      <c r="J314" s="58">
        <v>0.20139395021380868</v>
      </c>
    </row>
    <row r="315" spans="1:10" ht="11.25" customHeight="1" x14ac:dyDescent="0.2">
      <c r="A315" s="67">
        <v>44652</v>
      </c>
      <c r="B315" s="57">
        <v>0</v>
      </c>
      <c r="C315" s="57">
        <v>0</v>
      </c>
      <c r="D315" s="57">
        <v>33252.024389999999</v>
      </c>
      <c r="E315" s="57">
        <v>42997.523867377233</v>
      </c>
      <c r="F315" s="57">
        <v>16439.00505</v>
      </c>
      <c r="G315" s="57">
        <v>16700.978281735021</v>
      </c>
      <c r="H315" s="58">
        <v>0.29307988479366176</v>
      </c>
      <c r="I315" s="58">
        <v>1.5936075871880062E-2</v>
      </c>
      <c r="J315" s="58">
        <v>0.20139395021380846</v>
      </c>
    </row>
    <row r="316" spans="1:10" ht="11.25" customHeight="1" x14ac:dyDescent="0.2">
      <c r="A316" s="62" t="s">
        <v>49</v>
      </c>
      <c r="B316" s="57">
        <v>0</v>
      </c>
      <c r="C316" s="57">
        <v>0</v>
      </c>
      <c r="D316" s="57">
        <v>19168.322609999999</v>
      </c>
      <c r="E316" s="57">
        <v>24786.172392226545</v>
      </c>
      <c r="F316" s="57">
        <v>9476.35995</v>
      </c>
      <c r="G316" s="57">
        <v>9627.3759411524461</v>
      </c>
      <c r="H316" s="58">
        <v>0.29307988479366198</v>
      </c>
      <c r="I316" s="58">
        <v>1.5936075871880062E-2</v>
      </c>
      <c r="J316" s="58">
        <v>0.20139395021380846</v>
      </c>
    </row>
    <row r="317" spans="1:10" ht="11.25" customHeight="1" x14ac:dyDescent="0.2">
      <c r="A317" s="63" t="s">
        <v>25</v>
      </c>
      <c r="B317" s="57">
        <v>0</v>
      </c>
      <c r="C317" s="57">
        <v>0</v>
      </c>
      <c r="D317" s="57">
        <v>19168.322609999999</v>
      </c>
      <c r="E317" s="57">
        <v>24786.172392226545</v>
      </c>
      <c r="F317" s="57">
        <v>9476.35995</v>
      </c>
      <c r="G317" s="57">
        <v>9627.3759411524461</v>
      </c>
      <c r="H317" s="58">
        <v>0.29307988479366198</v>
      </c>
      <c r="I317" s="58">
        <v>1.5936075871880062E-2</v>
      </c>
      <c r="J317" s="58">
        <v>0.20139395021380846</v>
      </c>
    </row>
    <row r="318" spans="1:10" ht="11.25" customHeight="1" x14ac:dyDescent="0.2">
      <c r="A318" s="64" t="s">
        <v>25</v>
      </c>
      <c r="B318" s="57">
        <v>0</v>
      </c>
      <c r="C318" s="57">
        <v>0</v>
      </c>
      <c r="D318" s="57">
        <v>19168.322609999999</v>
      </c>
      <c r="E318" s="57">
        <v>24786.172392226545</v>
      </c>
      <c r="F318" s="57">
        <v>9476.35995</v>
      </c>
      <c r="G318" s="57">
        <v>9627.3759411524461</v>
      </c>
      <c r="H318" s="58">
        <v>0.29307988479366198</v>
      </c>
      <c r="I318" s="58">
        <v>1.5936075871880062E-2</v>
      </c>
      <c r="J318" s="58">
        <v>0.20139395021380846</v>
      </c>
    </row>
    <row r="319" spans="1:10" ht="11.25" customHeight="1" x14ac:dyDescent="0.2">
      <c r="A319" s="65" t="s">
        <v>25</v>
      </c>
      <c r="B319" s="57">
        <v>0</v>
      </c>
      <c r="C319" s="57">
        <v>0</v>
      </c>
      <c r="D319" s="57">
        <v>19168.322609999999</v>
      </c>
      <c r="E319" s="57">
        <v>24786.172392226545</v>
      </c>
      <c r="F319" s="57">
        <v>9476.35995</v>
      </c>
      <c r="G319" s="57">
        <v>9627.3759411524461</v>
      </c>
      <c r="H319" s="58">
        <v>0.29307988479366198</v>
      </c>
      <c r="I319" s="58">
        <v>1.5936075871880062E-2</v>
      </c>
      <c r="J319" s="58">
        <v>0.20139395021380846</v>
      </c>
    </row>
    <row r="320" spans="1:10" ht="11.25" customHeight="1" x14ac:dyDescent="0.2">
      <c r="A320" s="66" t="s">
        <v>25</v>
      </c>
      <c r="B320" s="57">
        <v>0</v>
      </c>
      <c r="C320" s="57">
        <v>0</v>
      </c>
      <c r="D320" s="57">
        <v>19168.322609999999</v>
      </c>
      <c r="E320" s="57">
        <v>24786.172392226545</v>
      </c>
      <c r="F320" s="57">
        <v>9476.35995</v>
      </c>
      <c r="G320" s="57">
        <v>9627.3759411524461</v>
      </c>
      <c r="H320" s="58">
        <v>0.29307988479366198</v>
      </c>
      <c r="I320" s="58">
        <v>1.5936075871880062E-2</v>
      </c>
      <c r="J320" s="58">
        <v>0.20139395021380846</v>
      </c>
    </row>
    <row r="321" spans="1:10" ht="11.25" customHeight="1" x14ac:dyDescent="0.2">
      <c r="A321" s="67">
        <v>44317</v>
      </c>
      <c r="B321" s="57">
        <v>0</v>
      </c>
      <c r="C321" s="57">
        <v>0</v>
      </c>
      <c r="D321" s="57">
        <v>1440.15861</v>
      </c>
      <c r="E321" s="57">
        <v>1862.2401295034001</v>
      </c>
      <c r="F321" s="57">
        <v>711.97994999999992</v>
      </c>
      <c r="G321" s="57">
        <v>723.32611650245735</v>
      </c>
      <c r="H321" s="58">
        <v>0.29307988479366176</v>
      </c>
      <c r="I321" s="58">
        <v>1.5936075871880062E-2</v>
      </c>
      <c r="J321" s="58">
        <v>0.20139395021380846</v>
      </c>
    </row>
    <row r="322" spans="1:10" ht="11.25" customHeight="1" x14ac:dyDescent="0.2">
      <c r="A322" s="67">
        <v>44348</v>
      </c>
      <c r="B322" s="57">
        <v>0</v>
      </c>
      <c r="C322" s="57">
        <v>0</v>
      </c>
      <c r="D322" s="57">
        <v>1200.7265100000002</v>
      </c>
      <c r="E322" s="57">
        <v>1552.6352972194957</v>
      </c>
      <c r="F322" s="57">
        <v>593.61045000000001</v>
      </c>
      <c r="G322" s="57">
        <v>603.07027116954089</v>
      </c>
      <c r="H322" s="58">
        <v>0.29307988479366176</v>
      </c>
      <c r="I322" s="58">
        <v>1.5936075871880062E-2</v>
      </c>
      <c r="J322" s="58">
        <v>0.20139395021380846</v>
      </c>
    </row>
    <row r="323" spans="1:10" ht="11.25" customHeight="1" x14ac:dyDescent="0.2">
      <c r="A323" s="67">
        <v>44378</v>
      </c>
      <c r="B323" s="57">
        <v>0</v>
      </c>
      <c r="C323" s="57">
        <v>0</v>
      </c>
      <c r="D323" s="57">
        <v>1114.1234099999999</v>
      </c>
      <c r="E323" s="57">
        <v>1440.6505706487214</v>
      </c>
      <c r="F323" s="57">
        <v>550.79594999999995</v>
      </c>
      <c r="G323" s="57">
        <v>559.57347604912422</v>
      </c>
      <c r="H323" s="58">
        <v>0.29307988479366176</v>
      </c>
      <c r="I323" s="58">
        <v>1.5936075871880062E-2</v>
      </c>
      <c r="J323" s="58">
        <v>0.20139395021380846</v>
      </c>
    </row>
    <row r="324" spans="1:10" ht="11.25" customHeight="1" x14ac:dyDescent="0.2">
      <c r="A324" s="67">
        <v>44409</v>
      </c>
      <c r="B324" s="57">
        <v>0</v>
      </c>
      <c r="C324" s="57">
        <v>0</v>
      </c>
      <c r="D324" s="57">
        <v>1061.1426900000001</v>
      </c>
      <c r="E324" s="57">
        <v>1372.1422673348366</v>
      </c>
      <c r="F324" s="57">
        <v>524.60355000000004</v>
      </c>
      <c r="G324" s="57">
        <v>532.96367197545771</v>
      </c>
      <c r="H324" s="58">
        <v>0.29307988479366176</v>
      </c>
      <c r="I324" s="58">
        <v>1.5936075871880062E-2</v>
      </c>
      <c r="J324" s="58">
        <v>0.20139395021380846</v>
      </c>
    </row>
    <row r="325" spans="1:10" ht="11.25" customHeight="1" x14ac:dyDescent="0.2">
      <c r="A325" s="67">
        <v>44440</v>
      </c>
      <c r="B325" s="57">
        <v>0</v>
      </c>
      <c r="C325" s="57">
        <v>0</v>
      </c>
      <c r="D325" s="57">
        <v>1195.63221</v>
      </c>
      <c r="E325" s="57">
        <v>1546.0479603623912</v>
      </c>
      <c r="F325" s="57">
        <v>591.09195</v>
      </c>
      <c r="G325" s="57">
        <v>600.51163616245753</v>
      </c>
      <c r="H325" s="58">
        <v>0.29307988479366176</v>
      </c>
      <c r="I325" s="58">
        <v>1.5936075871880062E-2</v>
      </c>
      <c r="J325" s="58">
        <v>0.20139395021380846</v>
      </c>
    </row>
    <row r="326" spans="1:10" ht="11.25" customHeight="1" x14ac:dyDescent="0.2">
      <c r="A326" s="67">
        <v>44470</v>
      </c>
      <c r="B326" s="57">
        <v>0</v>
      </c>
      <c r="C326" s="57">
        <v>0</v>
      </c>
      <c r="D326" s="57">
        <v>1667.87382</v>
      </c>
      <c r="E326" s="57">
        <v>2156.6940870159647</v>
      </c>
      <c r="F326" s="57">
        <v>824.55690000000004</v>
      </c>
      <c r="G326" s="57">
        <v>837.69710131908221</v>
      </c>
      <c r="H326" s="58">
        <v>0.29307988479366176</v>
      </c>
      <c r="I326" s="58">
        <v>1.5936075871880062E-2</v>
      </c>
      <c r="J326" s="58">
        <v>0.20139395021380846</v>
      </c>
    </row>
    <row r="327" spans="1:10" ht="11.25" customHeight="1" x14ac:dyDescent="0.2">
      <c r="A327" s="67">
        <v>44501</v>
      </c>
      <c r="B327" s="57">
        <v>0</v>
      </c>
      <c r="C327" s="57">
        <v>0</v>
      </c>
      <c r="D327" s="57">
        <v>1763.6466600000001</v>
      </c>
      <c r="E327" s="57">
        <v>2280.5360199295264</v>
      </c>
      <c r="F327" s="57">
        <v>871.90470000000005</v>
      </c>
      <c r="G327" s="57">
        <v>885.79943945224886</v>
      </c>
      <c r="H327" s="58">
        <v>0.29307988479366176</v>
      </c>
      <c r="I327" s="58">
        <v>1.5936075871880062E-2</v>
      </c>
      <c r="J327" s="58">
        <v>0.20139395021380824</v>
      </c>
    </row>
    <row r="328" spans="1:10" ht="11.25" customHeight="1" x14ac:dyDescent="0.2">
      <c r="A328" s="67">
        <v>44531</v>
      </c>
      <c r="B328" s="57">
        <v>0</v>
      </c>
      <c r="C328" s="57">
        <v>0</v>
      </c>
      <c r="D328" s="57">
        <v>2073.3801000000003</v>
      </c>
      <c r="E328" s="57">
        <v>2681.0461008414709</v>
      </c>
      <c r="F328" s="57">
        <v>1025.0295000000001</v>
      </c>
      <c r="G328" s="57">
        <v>1041.3644478829153</v>
      </c>
      <c r="H328" s="58">
        <v>0.29307988479366154</v>
      </c>
      <c r="I328" s="58">
        <v>1.5936075871880062E-2</v>
      </c>
      <c r="J328" s="58">
        <v>0.20139395021380824</v>
      </c>
    </row>
    <row r="329" spans="1:10" ht="11.25" customHeight="1" x14ac:dyDescent="0.2">
      <c r="A329" s="67">
        <v>44562</v>
      </c>
      <c r="B329" s="57">
        <v>0</v>
      </c>
      <c r="C329" s="57">
        <v>0</v>
      </c>
      <c r="D329" s="57">
        <v>1928.1925500000002</v>
      </c>
      <c r="E329" s="57">
        <v>2493.3070004139968</v>
      </c>
      <c r="F329" s="57">
        <v>953.25225</v>
      </c>
      <c r="G329" s="57">
        <v>968.44335018104039</v>
      </c>
      <c r="H329" s="58">
        <v>0.29307988479366154</v>
      </c>
      <c r="I329" s="58">
        <v>1.5936075871880062E-2</v>
      </c>
      <c r="J329" s="58">
        <v>0.20139395021380824</v>
      </c>
    </row>
    <row r="330" spans="1:10" ht="11.25" customHeight="1" x14ac:dyDescent="0.2">
      <c r="A330" s="67">
        <v>44593</v>
      </c>
      <c r="B330" s="57">
        <v>0</v>
      </c>
      <c r="C330" s="57">
        <v>0</v>
      </c>
      <c r="D330" s="57">
        <v>1882.85328</v>
      </c>
      <c r="E330" s="57">
        <v>2434.6797023857685</v>
      </c>
      <c r="F330" s="57">
        <v>930.83760000000007</v>
      </c>
      <c r="G330" s="57">
        <v>945.67149861799874</v>
      </c>
      <c r="H330" s="58">
        <v>0.29307988479366198</v>
      </c>
      <c r="I330" s="58">
        <v>1.5936075871880062E-2</v>
      </c>
      <c r="J330" s="58">
        <v>0.20139395021380846</v>
      </c>
    </row>
    <row r="331" spans="1:10" ht="11.25" customHeight="1" x14ac:dyDescent="0.2">
      <c r="A331" s="67">
        <v>44621</v>
      </c>
      <c r="B331" s="57">
        <v>0</v>
      </c>
      <c r="C331" s="57">
        <v>0</v>
      </c>
      <c r="D331" s="57">
        <v>2029.05969</v>
      </c>
      <c r="E331" s="57">
        <v>2623.7362701846632</v>
      </c>
      <c r="F331" s="57">
        <v>1003.11855</v>
      </c>
      <c r="G331" s="57">
        <v>1019.1043233212903</v>
      </c>
      <c r="H331" s="58">
        <v>0.29307988479366176</v>
      </c>
      <c r="I331" s="58">
        <v>1.5936075871880062E-2</v>
      </c>
      <c r="J331" s="58">
        <v>0.20139395021380846</v>
      </c>
    </row>
    <row r="332" spans="1:10" ht="11.25" customHeight="1" x14ac:dyDescent="0.2">
      <c r="A332" s="67">
        <v>44652</v>
      </c>
      <c r="B332" s="57">
        <v>0</v>
      </c>
      <c r="C332" s="57">
        <v>0</v>
      </c>
      <c r="D332" s="57">
        <v>1811.5330800000002</v>
      </c>
      <c r="E332" s="57">
        <v>2342.4569863863071</v>
      </c>
      <c r="F332" s="57">
        <v>895.57859999999994</v>
      </c>
      <c r="G332" s="57">
        <v>909.85060851883213</v>
      </c>
      <c r="H332" s="58">
        <v>0.29307988479366154</v>
      </c>
      <c r="I332" s="58">
        <v>1.5936075871880062E-2</v>
      </c>
      <c r="J332" s="58">
        <v>0.20139395021380824</v>
      </c>
    </row>
    <row r="333" spans="1:10" ht="11.25" customHeight="1" x14ac:dyDescent="0.2">
      <c r="A333" s="62" t="s">
        <v>33</v>
      </c>
      <c r="B333" s="57">
        <v>0</v>
      </c>
      <c r="C333" s="57">
        <v>0</v>
      </c>
      <c r="D333" s="57">
        <v>3419.8035900000004</v>
      </c>
      <c r="E333" s="57">
        <v>4422.079232174151</v>
      </c>
      <c r="F333" s="57">
        <v>1690.66905</v>
      </c>
      <c r="G333" s="57">
        <v>1717.6116802550396</v>
      </c>
      <c r="H333" s="58">
        <v>0.29307988479366154</v>
      </c>
      <c r="I333" s="58">
        <v>1.5936075871880284E-2</v>
      </c>
      <c r="J333" s="58">
        <v>0.20139395021380846</v>
      </c>
    </row>
    <row r="334" spans="1:10" ht="11.25" customHeight="1" x14ac:dyDescent="0.2">
      <c r="A334" s="63" t="s">
        <v>25</v>
      </c>
      <c r="B334" s="57">
        <v>0</v>
      </c>
      <c r="C334" s="57">
        <v>0</v>
      </c>
      <c r="D334" s="57">
        <v>3419.8035900000004</v>
      </c>
      <c r="E334" s="57">
        <v>4422.079232174151</v>
      </c>
      <c r="F334" s="57">
        <v>1690.66905</v>
      </c>
      <c r="G334" s="57">
        <v>1717.6116802550396</v>
      </c>
      <c r="H334" s="58">
        <v>0.29307988479366154</v>
      </c>
      <c r="I334" s="58">
        <v>1.5936075871880284E-2</v>
      </c>
      <c r="J334" s="58">
        <v>0.20139395021380846</v>
      </c>
    </row>
    <row r="335" spans="1:10" ht="11.25" customHeight="1" x14ac:dyDescent="0.2">
      <c r="A335" s="64" t="s">
        <v>25</v>
      </c>
      <c r="B335" s="57">
        <v>0</v>
      </c>
      <c r="C335" s="57">
        <v>0</v>
      </c>
      <c r="D335" s="57">
        <v>3419.8035900000004</v>
      </c>
      <c r="E335" s="57">
        <v>4422.079232174151</v>
      </c>
      <c r="F335" s="57">
        <v>1690.66905</v>
      </c>
      <c r="G335" s="57">
        <v>1717.6116802550396</v>
      </c>
      <c r="H335" s="58">
        <v>0.29307988479366154</v>
      </c>
      <c r="I335" s="58">
        <v>1.5936075871880284E-2</v>
      </c>
      <c r="J335" s="58">
        <v>0.20139395021380846</v>
      </c>
    </row>
    <row r="336" spans="1:10" ht="11.25" customHeight="1" x14ac:dyDescent="0.2">
      <c r="A336" s="65" t="s">
        <v>25</v>
      </c>
      <c r="B336" s="57">
        <v>0</v>
      </c>
      <c r="C336" s="57">
        <v>0</v>
      </c>
      <c r="D336" s="57">
        <v>3419.8035900000004</v>
      </c>
      <c r="E336" s="57">
        <v>4422.079232174151</v>
      </c>
      <c r="F336" s="57">
        <v>1690.66905</v>
      </c>
      <c r="G336" s="57">
        <v>1717.6116802550396</v>
      </c>
      <c r="H336" s="58">
        <v>0.29307988479366154</v>
      </c>
      <c r="I336" s="58">
        <v>1.5936075871880284E-2</v>
      </c>
      <c r="J336" s="58">
        <v>0.20139395021380846</v>
      </c>
    </row>
    <row r="337" spans="1:10" ht="11.25" customHeight="1" x14ac:dyDescent="0.2">
      <c r="A337" s="66" t="s">
        <v>25</v>
      </c>
      <c r="B337" s="57">
        <v>0</v>
      </c>
      <c r="C337" s="57">
        <v>0</v>
      </c>
      <c r="D337" s="57">
        <v>3419.8035900000004</v>
      </c>
      <c r="E337" s="57">
        <v>4422.079232174151</v>
      </c>
      <c r="F337" s="57">
        <v>1690.66905</v>
      </c>
      <c r="G337" s="57">
        <v>1717.6116802550396</v>
      </c>
      <c r="H337" s="58">
        <v>0.29307988479366154</v>
      </c>
      <c r="I337" s="58">
        <v>1.5936075871880284E-2</v>
      </c>
      <c r="J337" s="58">
        <v>0.20139395021380846</v>
      </c>
    </row>
    <row r="338" spans="1:10" ht="11.25" customHeight="1" x14ac:dyDescent="0.2">
      <c r="A338" s="67">
        <v>44317</v>
      </c>
      <c r="B338" s="57">
        <v>0</v>
      </c>
      <c r="C338" s="57">
        <v>0</v>
      </c>
      <c r="D338" s="57">
        <v>178.3005</v>
      </c>
      <c r="E338" s="57">
        <v>230.55678999865228</v>
      </c>
      <c r="F338" s="57">
        <v>88.147499999999994</v>
      </c>
      <c r="G338" s="57">
        <v>89.552225247916539</v>
      </c>
      <c r="H338" s="58">
        <v>0.29307988479366176</v>
      </c>
      <c r="I338" s="58">
        <v>1.5936075871880062E-2</v>
      </c>
      <c r="J338" s="58">
        <v>0.20139395021380846</v>
      </c>
    </row>
    <row r="339" spans="1:10" ht="11.25" customHeight="1" x14ac:dyDescent="0.2">
      <c r="A339" s="67">
        <v>44348</v>
      </c>
      <c r="B339" s="57">
        <v>0</v>
      </c>
      <c r="C339" s="57">
        <v>0</v>
      </c>
      <c r="D339" s="57">
        <v>184.92309</v>
      </c>
      <c r="E339" s="57">
        <v>239.12032791288794</v>
      </c>
      <c r="F339" s="57">
        <v>91.421549999999996</v>
      </c>
      <c r="G339" s="57">
        <v>92.878450757124867</v>
      </c>
      <c r="H339" s="58">
        <v>0.29307988479366176</v>
      </c>
      <c r="I339" s="58">
        <v>1.5936075871880062E-2</v>
      </c>
      <c r="J339" s="58">
        <v>0.20139395021380846</v>
      </c>
    </row>
    <row r="340" spans="1:10" ht="11.25" customHeight="1" x14ac:dyDescent="0.2">
      <c r="A340" s="67">
        <v>44378</v>
      </c>
      <c r="B340" s="57">
        <v>0</v>
      </c>
      <c r="C340" s="57">
        <v>0</v>
      </c>
      <c r="D340" s="57">
        <v>181.86651000000001</v>
      </c>
      <c r="E340" s="57">
        <v>235.16792579862533</v>
      </c>
      <c r="F340" s="57">
        <v>89.910449999999997</v>
      </c>
      <c r="G340" s="57">
        <v>91.343269752874875</v>
      </c>
      <c r="H340" s="58">
        <v>0.29307988479366176</v>
      </c>
      <c r="I340" s="58">
        <v>1.5936075871880062E-2</v>
      </c>
      <c r="J340" s="58">
        <v>0.20139395021380846</v>
      </c>
    </row>
    <row r="341" spans="1:10" ht="11.25" customHeight="1" x14ac:dyDescent="0.2">
      <c r="A341" s="67">
        <v>44409</v>
      </c>
      <c r="B341" s="57">
        <v>0</v>
      </c>
      <c r="C341" s="57">
        <v>0</v>
      </c>
      <c r="D341" s="57">
        <v>198.67770000000002</v>
      </c>
      <c r="E341" s="57">
        <v>256.90613742706972</v>
      </c>
      <c r="F341" s="57">
        <v>98.221500000000006</v>
      </c>
      <c r="G341" s="57">
        <v>99.786765276249866</v>
      </c>
      <c r="H341" s="58">
        <v>0.29307988479366176</v>
      </c>
      <c r="I341" s="58">
        <v>1.5936075871880062E-2</v>
      </c>
      <c r="J341" s="58">
        <v>0.20139395021380846</v>
      </c>
    </row>
    <row r="342" spans="1:10" ht="11.25" customHeight="1" x14ac:dyDescent="0.2">
      <c r="A342" s="67">
        <v>44440</v>
      </c>
      <c r="B342" s="57">
        <v>0</v>
      </c>
      <c r="C342" s="57">
        <v>0</v>
      </c>
      <c r="D342" s="57">
        <v>209.88515999999998</v>
      </c>
      <c r="E342" s="57">
        <v>271.39827851269928</v>
      </c>
      <c r="F342" s="57">
        <v>103.76219999999999</v>
      </c>
      <c r="G342" s="57">
        <v>105.41576229183319</v>
      </c>
      <c r="H342" s="58">
        <v>0.29307988479366198</v>
      </c>
      <c r="I342" s="58">
        <v>1.5936075871880062E-2</v>
      </c>
      <c r="J342" s="58">
        <v>0.20139395021380846</v>
      </c>
    </row>
    <row r="343" spans="1:10" ht="11.25" customHeight="1" x14ac:dyDescent="0.2">
      <c r="A343" s="67">
        <v>44470</v>
      </c>
      <c r="B343" s="57">
        <v>0</v>
      </c>
      <c r="C343" s="57">
        <v>0</v>
      </c>
      <c r="D343" s="57">
        <v>222.62091000000001</v>
      </c>
      <c r="E343" s="57">
        <v>287.86662065546017</v>
      </c>
      <c r="F343" s="57">
        <v>110.05844999999999</v>
      </c>
      <c r="G343" s="57">
        <v>111.81234980954152</v>
      </c>
      <c r="H343" s="58">
        <v>0.29307988479366176</v>
      </c>
      <c r="I343" s="58">
        <v>1.5936075871880062E-2</v>
      </c>
      <c r="J343" s="58">
        <v>0.20139395021380868</v>
      </c>
    </row>
    <row r="344" spans="1:10" ht="11.25" customHeight="1" x14ac:dyDescent="0.2">
      <c r="A344" s="67">
        <v>44501</v>
      </c>
      <c r="B344" s="57">
        <v>0</v>
      </c>
      <c r="C344" s="57">
        <v>0</v>
      </c>
      <c r="D344" s="57">
        <v>227.20578</v>
      </c>
      <c r="E344" s="57">
        <v>293.79522382685406</v>
      </c>
      <c r="F344" s="57">
        <v>112.32510000000001</v>
      </c>
      <c r="G344" s="57">
        <v>114.11512131591651</v>
      </c>
      <c r="H344" s="58">
        <v>0.29307988479366176</v>
      </c>
      <c r="I344" s="58">
        <v>1.5936075871880062E-2</v>
      </c>
      <c r="J344" s="58">
        <v>0.20139395021380824</v>
      </c>
    </row>
    <row r="345" spans="1:10" ht="11.25" customHeight="1" x14ac:dyDescent="0.2">
      <c r="A345" s="67">
        <v>44531</v>
      </c>
      <c r="B345" s="57">
        <v>0</v>
      </c>
      <c r="C345" s="57">
        <v>0</v>
      </c>
      <c r="D345" s="57">
        <v>227.20578</v>
      </c>
      <c r="E345" s="57">
        <v>293.79522382685406</v>
      </c>
      <c r="F345" s="57">
        <v>112.32510000000001</v>
      </c>
      <c r="G345" s="57">
        <v>114.11512131591651</v>
      </c>
      <c r="H345" s="58">
        <v>0.29307988479366176</v>
      </c>
      <c r="I345" s="58">
        <v>1.5936075871880062E-2</v>
      </c>
      <c r="J345" s="58">
        <v>0.20139395021380824</v>
      </c>
    </row>
    <row r="346" spans="1:10" ht="11.25" customHeight="1" x14ac:dyDescent="0.2">
      <c r="A346" s="67">
        <v>44562</v>
      </c>
      <c r="B346" s="57">
        <v>0</v>
      </c>
      <c r="C346" s="57">
        <v>0</v>
      </c>
      <c r="D346" s="57">
        <v>221.60204999999999</v>
      </c>
      <c r="E346" s="57">
        <v>286.54915328403928</v>
      </c>
      <c r="F346" s="57">
        <v>109.55475</v>
      </c>
      <c r="G346" s="57">
        <v>111.30062280812486</v>
      </c>
      <c r="H346" s="58">
        <v>0.29307988479366176</v>
      </c>
      <c r="I346" s="58">
        <v>1.5936075871880062E-2</v>
      </c>
      <c r="J346" s="58">
        <v>0.20139395021380846</v>
      </c>
    </row>
    <row r="347" spans="1:10" ht="11.25" customHeight="1" x14ac:dyDescent="0.2">
      <c r="A347" s="67">
        <v>44593</v>
      </c>
      <c r="B347" s="57">
        <v>0</v>
      </c>
      <c r="C347" s="57">
        <v>0</v>
      </c>
      <c r="D347" s="57">
        <v>200.71542000000002</v>
      </c>
      <c r="E347" s="57">
        <v>259.54107216991144</v>
      </c>
      <c r="F347" s="57">
        <v>99.228899999999996</v>
      </c>
      <c r="G347" s="57">
        <v>100.8102192790832</v>
      </c>
      <c r="H347" s="58">
        <v>0.29307988479366176</v>
      </c>
      <c r="I347" s="58">
        <v>1.5936075871880062E-2</v>
      </c>
      <c r="J347" s="58">
        <v>0.20139395021380846</v>
      </c>
    </row>
    <row r="348" spans="1:10" ht="11.25" customHeight="1" x14ac:dyDescent="0.2">
      <c r="A348" s="67">
        <v>44621</v>
      </c>
      <c r="B348" s="57">
        <v>0</v>
      </c>
      <c r="C348" s="57">
        <v>0</v>
      </c>
      <c r="D348" s="57">
        <v>693.84366000000011</v>
      </c>
      <c r="E348" s="57">
        <v>897.19527993761267</v>
      </c>
      <c r="F348" s="57">
        <v>343.0197</v>
      </c>
      <c r="G348" s="57">
        <v>348.48608796474957</v>
      </c>
      <c r="H348" s="58">
        <v>0.29307988479366154</v>
      </c>
      <c r="I348" s="58">
        <v>1.5936075871880062E-2</v>
      </c>
      <c r="J348" s="58">
        <v>0.20139395021380846</v>
      </c>
    </row>
    <row r="349" spans="1:10" ht="11.25" customHeight="1" x14ac:dyDescent="0.2">
      <c r="A349" s="67">
        <v>44652</v>
      </c>
      <c r="B349" s="57">
        <v>0</v>
      </c>
      <c r="C349" s="57">
        <v>0</v>
      </c>
      <c r="D349" s="57">
        <v>672.95703000000003</v>
      </c>
      <c r="E349" s="57">
        <v>870.18719882348478</v>
      </c>
      <c r="F349" s="57">
        <v>332.69385</v>
      </c>
      <c r="G349" s="57">
        <v>337.99568443570786</v>
      </c>
      <c r="H349" s="58">
        <v>0.29307988479366176</v>
      </c>
      <c r="I349" s="58">
        <v>1.5936075871880062E-2</v>
      </c>
      <c r="J349" s="58">
        <v>0.20139395021380846</v>
      </c>
    </row>
    <row r="350" spans="1:10" ht="11.25" customHeight="1" x14ac:dyDescent="0.2">
      <c r="A350" s="62" t="s">
        <v>43</v>
      </c>
      <c r="B350" s="57">
        <v>0</v>
      </c>
      <c r="C350" s="57">
        <v>0</v>
      </c>
      <c r="D350" s="57">
        <v>102001.13118000001</v>
      </c>
      <c r="E350" s="57">
        <v>131895.61095505758</v>
      </c>
      <c r="F350" s="57">
        <v>50426.918099999995</v>
      </c>
      <c r="G350" s="57">
        <v>51230.525292826685</v>
      </c>
      <c r="H350" s="58">
        <v>0.29307988479366154</v>
      </c>
      <c r="I350" s="58">
        <v>1.5936075871880284E-2</v>
      </c>
      <c r="J350" s="58">
        <v>0.20139395021380824</v>
      </c>
    </row>
    <row r="351" spans="1:10" ht="11.25" customHeight="1" x14ac:dyDescent="0.2">
      <c r="A351" s="63" t="s">
        <v>25</v>
      </c>
      <c r="B351" s="57">
        <v>0</v>
      </c>
      <c r="C351" s="57">
        <v>0</v>
      </c>
      <c r="D351" s="57">
        <v>102001.13118000001</v>
      </c>
      <c r="E351" s="57">
        <v>131895.61095505758</v>
      </c>
      <c r="F351" s="57">
        <v>50426.918099999995</v>
      </c>
      <c r="G351" s="57">
        <v>51230.525292826685</v>
      </c>
      <c r="H351" s="58">
        <v>0.29307988479366154</v>
      </c>
      <c r="I351" s="58">
        <v>1.5936075871880284E-2</v>
      </c>
      <c r="J351" s="58">
        <v>0.20139395021380824</v>
      </c>
    </row>
    <row r="352" spans="1:10" ht="11.25" customHeight="1" x14ac:dyDescent="0.2">
      <c r="A352" s="64" t="s">
        <v>25</v>
      </c>
      <c r="B352" s="57">
        <v>0</v>
      </c>
      <c r="C352" s="57">
        <v>0</v>
      </c>
      <c r="D352" s="57">
        <v>102001.13118000001</v>
      </c>
      <c r="E352" s="57">
        <v>131895.61095505758</v>
      </c>
      <c r="F352" s="57">
        <v>50426.918099999995</v>
      </c>
      <c r="G352" s="57">
        <v>51230.525292826685</v>
      </c>
      <c r="H352" s="58">
        <v>0.29307988479366154</v>
      </c>
      <c r="I352" s="58">
        <v>1.5936075871880284E-2</v>
      </c>
      <c r="J352" s="58">
        <v>0.20139395021380824</v>
      </c>
    </row>
    <row r="353" spans="1:10" ht="11.25" customHeight="1" x14ac:dyDescent="0.2">
      <c r="A353" s="65" t="s">
        <v>25</v>
      </c>
      <c r="B353" s="57">
        <v>0</v>
      </c>
      <c r="C353" s="57">
        <v>0</v>
      </c>
      <c r="D353" s="57">
        <v>102001.13118000001</v>
      </c>
      <c r="E353" s="57">
        <v>131895.61095505758</v>
      </c>
      <c r="F353" s="57">
        <v>50426.918099999995</v>
      </c>
      <c r="G353" s="57">
        <v>51230.525292826685</v>
      </c>
      <c r="H353" s="58">
        <v>0.29307988479366154</v>
      </c>
      <c r="I353" s="58">
        <v>1.5936075871880284E-2</v>
      </c>
      <c r="J353" s="58">
        <v>0.20139395021380824</v>
      </c>
    </row>
    <row r="354" spans="1:10" ht="11.25" customHeight="1" x14ac:dyDescent="0.2">
      <c r="A354" s="66" t="s">
        <v>25</v>
      </c>
      <c r="B354" s="57">
        <v>0</v>
      </c>
      <c r="C354" s="57">
        <v>0</v>
      </c>
      <c r="D354" s="57">
        <v>102001.13118000001</v>
      </c>
      <c r="E354" s="57">
        <v>131895.61095505758</v>
      </c>
      <c r="F354" s="57">
        <v>50426.918099999995</v>
      </c>
      <c r="G354" s="57">
        <v>51230.525292826685</v>
      </c>
      <c r="H354" s="58">
        <v>0.29307988479366154</v>
      </c>
      <c r="I354" s="58">
        <v>1.5936075871880284E-2</v>
      </c>
      <c r="J354" s="58">
        <v>0.20139395021380824</v>
      </c>
    </row>
    <row r="355" spans="1:10" ht="11.25" customHeight="1" x14ac:dyDescent="0.2">
      <c r="A355" s="67">
        <v>44317</v>
      </c>
      <c r="B355" s="57">
        <v>0</v>
      </c>
      <c r="C355" s="57">
        <v>0</v>
      </c>
      <c r="D355" s="57">
        <v>7780.0149600000004</v>
      </c>
      <c r="E355" s="57">
        <v>10060.180848169764</v>
      </c>
      <c r="F355" s="57">
        <v>3846.2532000000001</v>
      </c>
      <c r="G355" s="57">
        <v>3907.5473828176614</v>
      </c>
      <c r="H355" s="58">
        <v>0.29307988479366154</v>
      </c>
      <c r="I355" s="58">
        <v>1.5936075871880062E-2</v>
      </c>
      <c r="J355" s="58">
        <v>0.20139395021380846</v>
      </c>
    </row>
    <row r="356" spans="1:10" ht="11.25" customHeight="1" x14ac:dyDescent="0.2">
      <c r="A356" s="67">
        <v>44348</v>
      </c>
      <c r="B356" s="57">
        <v>0</v>
      </c>
      <c r="C356" s="57">
        <v>0</v>
      </c>
      <c r="D356" s="57">
        <v>6652.6463699999995</v>
      </c>
      <c r="E356" s="57">
        <v>8602.4032016925721</v>
      </c>
      <c r="F356" s="57">
        <v>3288.90915</v>
      </c>
      <c r="G356" s="57">
        <v>3341.3214557501205</v>
      </c>
      <c r="H356" s="58">
        <v>0.29307988479366176</v>
      </c>
      <c r="I356" s="58">
        <v>1.5936075871880062E-2</v>
      </c>
      <c r="J356" s="58">
        <v>0.20139395021380846</v>
      </c>
    </row>
    <row r="357" spans="1:10" ht="11.25" customHeight="1" x14ac:dyDescent="0.2">
      <c r="A357" s="67">
        <v>44378</v>
      </c>
      <c r="B357" s="57">
        <v>0</v>
      </c>
      <c r="C357" s="57">
        <v>0</v>
      </c>
      <c r="D357" s="57">
        <v>6723.4571400000004</v>
      </c>
      <c r="E357" s="57">
        <v>8693.967184006322</v>
      </c>
      <c r="F357" s="57">
        <v>3323.9162999999999</v>
      </c>
      <c r="G357" s="57">
        <v>3376.8864823485787</v>
      </c>
      <c r="H357" s="58">
        <v>0.29307988479366154</v>
      </c>
      <c r="I357" s="58">
        <v>1.5936075871880062E-2</v>
      </c>
      <c r="J357" s="58">
        <v>0.20139395021380846</v>
      </c>
    </row>
    <row r="358" spans="1:10" ht="11.25" customHeight="1" x14ac:dyDescent="0.2">
      <c r="A358" s="67">
        <v>44409</v>
      </c>
      <c r="B358" s="57">
        <v>0</v>
      </c>
      <c r="C358" s="57">
        <v>0</v>
      </c>
      <c r="D358" s="57">
        <v>8671.5174599999991</v>
      </c>
      <c r="E358" s="57">
        <v>11212.964798163026</v>
      </c>
      <c r="F358" s="57">
        <v>4286.9906999999994</v>
      </c>
      <c r="G358" s="57">
        <v>4355.308509057244</v>
      </c>
      <c r="H358" s="58">
        <v>0.29307988479366176</v>
      </c>
      <c r="I358" s="58">
        <v>1.5936075871880062E-2</v>
      </c>
      <c r="J358" s="58">
        <v>0.20139395021380868</v>
      </c>
    </row>
    <row r="359" spans="1:10" ht="11.25" customHeight="1" x14ac:dyDescent="0.2">
      <c r="A359" s="67">
        <v>44440</v>
      </c>
      <c r="B359" s="57">
        <v>0</v>
      </c>
      <c r="C359" s="57">
        <v>0</v>
      </c>
      <c r="D359" s="57">
        <v>8371.4631900000004</v>
      </c>
      <c r="E359" s="57">
        <v>10824.97065727958</v>
      </c>
      <c r="F359" s="57">
        <v>4138.6510499999995</v>
      </c>
      <c r="G359" s="57">
        <v>4204.6049071400357</v>
      </c>
      <c r="H359" s="58">
        <v>0.29307988479366176</v>
      </c>
      <c r="I359" s="58">
        <v>1.5936075871880062E-2</v>
      </c>
      <c r="J359" s="58">
        <v>0.20139395021380846</v>
      </c>
    </row>
    <row r="360" spans="1:10" ht="11.25" customHeight="1" x14ac:dyDescent="0.2">
      <c r="A360" s="67">
        <v>44470</v>
      </c>
      <c r="B360" s="57">
        <v>0</v>
      </c>
      <c r="C360" s="57">
        <v>0</v>
      </c>
      <c r="D360" s="57">
        <v>7093.8127500000001</v>
      </c>
      <c r="E360" s="57">
        <v>9172.8665735178092</v>
      </c>
      <c r="F360" s="57">
        <v>3507.01125</v>
      </c>
      <c r="G360" s="57">
        <v>3562.8992473635371</v>
      </c>
      <c r="H360" s="58">
        <v>0.29307988479366176</v>
      </c>
      <c r="I360" s="58">
        <v>1.5936075871880062E-2</v>
      </c>
      <c r="J360" s="58">
        <v>0.20139395021380846</v>
      </c>
    </row>
    <row r="361" spans="1:10" ht="11.25" customHeight="1" x14ac:dyDescent="0.2">
      <c r="A361" s="67">
        <v>44501</v>
      </c>
      <c r="B361" s="57">
        <v>0</v>
      </c>
      <c r="C361" s="57">
        <v>0</v>
      </c>
      <c r="D361" s="57">
        <v>9441.7756200000003</v>
      </c>
      <c r="E361" s="57">
        <v>12208.970130957203</v>
      </c>
      <c r="F361" s="57">
        <v>4667.7878999999994</v>
      </c>
      <c r="G361" s="57">
        <v>4742.1741221282437</v>
      </c>
      <c r="H361" s="58">
        <v>0.29307988479366154</v>
      </c>
      <c r="I361" s="58">
        <v>1.5936075871880284E-2</v>
      </c>
      <c r="J361" s="58">
        <v>0.20139395021380846</v>
      </c>
    </row>
    <row r="362" spans="1:10" ht="11.25" customHeight="1" x14ac:dyDescent="0.2">
      <c r="A362" s="67">
        <v>44531</v>
      </c>
      <c r="B362" s="57">
        <v>0</v>
      </c>
      <c r="C362" s="57">
        <v>0</v>
      </c>
      <c r="D362" s="57">
        <v>10033.73328</v>
      </c>
      <c r="E362" s="57">
        <v>12974.418673752731</v>
      </c>
      <c r="F362" s="57">
        <v>4960.4376000000002</v>
      </c>
      <c r="G362" s="57">
        <v>5039.4875099513274</v>
      </c>
      <c r="H362" s="58">
        <v>0.29307988479366176</v>
      </c>
      <c r="I362" s="58">
        <v>1.5936075871880284E-2</v>
      </c>
      <c r="J362" s="58">
        <v>0.20139395021380846</v>
      </c>
    </row>
    <row r="363" spans="1:10" ht="11.25" customHeight="1" x14ac:dyDescent="0.2">
      <c r="A363" s="67">
        <v>44562</v>
      </c>
      <c r="B363" s="57">
        <v>0</v>
      </c>
      <c r="C363" s="57">
        <v>0</v>
      </c>
      <c r="D363" s="57">
        <v>8392.8592500000013</v>
      </c>
      <c r="E363" s="57">
        <v>10852.637472079419</v>
      </c>
      <c r="F363" s="57">
        <v>4149.2287500000002</v>
      </c>
      <c r="G363" s="57">
        <v>4215.3511741697866</v>
      </c>
      <c r="H363" s="58">
        <v>0.29307988479366154</v>
      </c>
      <c r="I363" s="58">
        <v>1.5936075871880062E-2</v>
      </c>
      <c r="J363" s="58">
        <v>0.20139395021380846</v>
      </c>
    </row>
    <row r="364" spans="1:10" ht="11.25" customHeight="1" x14ac:dyDescent="0.2">
      <c r="A364" s="67">
        <v>44593</v>
      </c>
      <c r="B364" s="57">
        <v>0</v>
      </c>
      <c r="C364" s="57">
        <v>0</v>
      </c>
      <c r="D364" s="57">
        <v>8328.1616400000003</v>
      </c>
      <c r="E364" s="57">
        <v>10768.978293994192</v>
      </c>
      <c r="F364" s="57">
        <v>4117.2437999999993</v>
      </c>
      <c r="G364" s="57">
        <v>4182.8565095798276</v>
      </c>
      <c r="H364" s="58">
        <v>0.29307988479366154</v>
      </c>
      <c r="I364" s="58">
        <v>1.5936075871880284E-2</v>
      </c>
      <c r="J364" s="58">
        <v>0.20139395021380846</v>
      </c>
    </row>
    <row r="365" spans="1:10" ht="11.25" customHeight="1" x14ac:dyDescent="0.2">
      <c r="A365" s="67">
        <v>44621</v>
      </c>
      <c r="B365" s="57">
        <v>0</v>
      </c>
      <c r="C365" s="57">
        <v>0</v>
      </c>
      <c r="D365" s="57">
        <v>10234.958130000001</v>
      </c>
      <c r="E365" s="57">
        <v>13234.618479608353</v>
      </c>
      <c r="F365" s="57">
        <v>5059.9183499999999</v>
      </c>
      <c r="G365" s="57">
        <v>5140.5535927311184</v>
      </c>
      <c r="H365" s="58">
        <v>0.29307988479366176</v>
      </c>
      <c r="I365" s="58">
        <v>1.5936075871880062E-2</v>
      </c>
      <c r="J365" s="58">
        <v>0.20139395021380846</v>
      </c>
    </row>
    <row r="366" spans="1:10" ht="11.25" customHeight="1" x14ac:dyDescent="0.2">
      <c r="A366" s="67">
        <v>44652</v>
      </c>
      <c r="B366" s="57">
        <v>0</v>
      </c>
      <c r="C366" s="57">
        <v>0</v>
      </c>
      <c r="D366" s="57">
        <v>10276.731389999999</v>
      </c>
      <c r="E366" s="57">
        <v>13288.634641836607</v>
      </c>
      <c r="F366" s="57">
        <v>5080.5700499999994</v>
      </c>
      <c r="G366" s="57">
        <v>5161.5343997892014</v>
      </c>
      <c r="H366" s="58">
        <v>0.29307988479366176</v>
      </c>
      <c r="I366" s="58">
        <v>1.5936075871880284E-2</v>
      </c>
      <c r="J366" s="58">
        <v>0.20139395021380824</v>
      </c>
    </row>
    <row r="367" spans="1:10" ht="11.25" customHeight="1" x14ac:dyDescent="0.2">
      <c r="A367" s="62" t="s">
        <v>47</v>
      </c>
      <c r="B367" s="57">
        <v>0</v>
      </c>
      <c r="C367" s="57">
        <v>0</v>
      </c>
      <c r="D367" s="57">
        <v>359334.90703800006</v>
      </c>
      <c r="E367" s="57">
        <v>464648.74019503815</v>
      </c>
      <c r="F367" s="57">
        <v>177646.57820999998</v>
      </c>
      <c r="G367" s="57">
        <v>180477.56755873442</v>
      </c>
      <c r="H367" s="58">
        <v>0.29307988479366132</v>
      </c>
      <c r="I367" s="58">
        <v>1.5936075871880062E-2</v>
      </c>
      <c r="J367" s="58">
        <v>0.20139395021380846</v>
      </c>
    </row>
    <row r="368" spans="1:10" ht="11.25" customHeight="1" x14ac:dyDescent="0.2">
      <c r="A368" s="63" t="s">
        <v>48</v>
      </c>
      <c r="B368" s="57">
        <v>0</v>
      </c>
      <c r="C368" s="57">
        <v>0</v>
      </c>
      <c r="D368" s="57">
        <v>359334.90703800006</v>
      </c>
      <c r="E368" s="57">
        <v>464648.74019503815</v>
      </c>
      <c r="F368" s="57">
        <v>177646.57820999998</v>
      </c>
      <c r="G368" s="57">
        <v>180477.56755873442</v>
      </c>
      <c r="H368" s="58">
        <v>0.29307988479366132</v>
      </c>
      <c r="I368" s="58">
        <v>1.5936075871880062E-2</v>
      </c>
      <c r="J368" s="58">
        <v>0.20139395021380846</v>
      </c>
    </row>
    <row r="369" spans="1:10" ht="11.25" customHeight="1" x14ac:dyDescent="0.2">
      <c r="A369" s="64" t="s">
        <v>25</v>
      </c>
      <c r="B369" s="57">
        <v>0</v>
      </c>
      <c r="C369" s="57">
        <v>0</v>
      </c>
      <c r="D369" s="57">
        <v>359334.90703800006</v>
      </c>
      <c r="E369" s="57">
        <v>464648.74019503815</v>
      </c>
      <c r="F369" s="57">
        <v>177646.57820999998</v>
      </c>
      <c r="G369" s="57">
        <v>180477.56755873442</v>
      </c>
      <c r="H369" s="58">
        <v>0.29307988479366132</v>
      </c>
      <c r="I369" s="58">
        <v>1.5936075871880062E-2</v>
      </c>
      <c r="J369" s="58">
        <v>0.20139395021380846</v>
      </c>
    </row>
    <row r="370" spans="1:10" ht="11.25" customHeight="1" x14ac:dyDescent="0.2">
      <c r="A370" s="65" t="s">
        <v>25</v>
      </c>
      <c r="B370" s="57">
        <v>0</v>
      </c>
      <c r="C370" s="57">
        <v>0</v>
      </c>
      <c r="D370" s="57">
        <v>359334.90703800006</v>
      </c>
      <c r="E370" s="57">
        <v>464648.74019503815</v>
      </c>
      <c r="F370" s="57">
        <v>177646.57820999998</v>
      </c>
      <c r="G370" s="57">
        <v>180477.56755873442</v>
      </c>
      <c r="H370" s="58">
        <v>0.29307988479366132</v>
      </c>
      <c r="I370" s="58">
        <v>1.5936075871880062E-2</v>
      </c>
      <c r="J370" s="58">
        <v>0.20139395021380846</v>
      </c>
    </row>
    <row r="371" spans="1:10" ht="11.25" customHeight="1" x14ac:dyDescent="0.2">
      <c r="A371" s="66" t="s">
        <v>25</v>
      </c>
      <c r="B371" s="57">
        <v>0</v>
      </c>
      <c r="C371" s="57">
        <v>0</v>
      </c>
      <c r="D371" s="57">
        <v>359334.90703800006</v>
      </c>
      <c r="E371" s="57">
        <v>464648.74019503815</v>
      </c>
      <c r="F371" s="57">
        <v>177646.57820999998</v>
      </c>
      <c r="G371" s="57">
        <v>180477.56755873442</v>
      </c>
      <c r="H371" s="58">
        <v>0.29307988479366132</v>
      </c>
      <c r="I371" s="58">
        <v>1.5936075871880062E-2</v>
      </c>
      <c r="J371" s="58">
        <v>0.20139395021380846</v>
      </c>
    </row>
    <row r="372" spans="1:10" ht="11.25" customHeight="1" x14ac:dyDescent="0.2">
      <c r="A372" s="67">
        <v>44317</v>
      </c>
      <c r="B372" s="57">
        <v>0</v>
      </c>
      <c r="C372" s="57">
        <v>0</v>
      </c>
      <c r="D372" s="57">
        <v>28909.031753999996</v>
      </c>
      <c r="E372" s="57">
        <v>37381.687449958627</v>
      </c>
      <c r="F372" s="57">
        <v>14291.933429999997</v>
      </c>
      <c r="G372" s="57">
        <v>14519.690765496336</v>
      </c>
      <c r="H372" s="58">
        <v>0.29307988479366176</v>
      </c>
      <c r="I372" s="58">
        <v>1.5936075871880062E-2</v>
      </c>
      <c r="J372" s="58">
        <v>0.20139395021380846</v>
      </c>
    </row>
    <row r="373" spans="1:10" ht="11.25" customHeight="1" x14ac:dyDescent="0.2">
      <c r="A373" s="67">
        <v>44348</v>
      </c>
      <c r="B373" s="57">
        <v>0</v>
      </c>
      <c r="C373" s="57">
        <v>0</v>
      </c>
      <c r="D373" s="57">
        <v>31654.839076799995</v>
      </c>
      <c r="E373" s="57">
        <v>40932.235666590444</v>
      </c>
      <c r="F373" s="57">
        <v>15649.394855999997</v>
      </c>
      <c r="G373" s="57">
        <v>15898.784799774223</v>
      </c>
      <c r="H373" s="58">
        <v>0.29307988479366198</v>
      </c>
      <c r="I373" s="58">
        <v>1.5936075871880062E-2</v>
      </c>
      <c r="J373" s="58">
        <v>0.20139395021380846</v>
      </c>
    </row>
    <row r="374" spans="1:10" ht="11.25" customHeight="1" x14ac:dyDescent="0.2">
      <c r="A374" s="67">
        <v>44378</v>
      </c>
      <c r="B374" s="57">
        <v>0</v>
      </c>
      <c r="C374" s="57">
        <v>0</v>
      </c>
      <c r="D374" s="57">
        <v>30738.292998000001</v>
      </c>
      <c r="E374" s="57">
        <v>39747.068368607659</v>
      </c>
      <c r="F374" s="57">
        <v>15196.27641</v>
      </c>
      <c r="G374" s="57">
        <v>15438.445423839821</v>
      </c>
      <c r="H374" s="58">
        <v>0.29307988479366176</v>
      </c>
      <c r="I374" s="58">
        <v>1.5936075871880062E-2</v>
      </c>
      <c r="J374" s="58">
        <v>0.20139395021380846</v>
      </c>
    </row>
    <row r="375" spans="1:10" ht="11.25" customHeight="1" x14ac:dyDescent="0.2">
      <c r="A375" s="67">
        <v>44409</v>
      </c>
      <c r="B375" s="57">
        <v>0</v>
      </c>
      <c r="C375" s="57">
        <v>0</v>
      </c>
      <c r="D375" s="57">
        <v>26650.708186799999</v>
      </c>
      <c r="E375" s="57">
        <v>34461.494671856839</v>
      </c>
      <c r="F375" s="57">
        <v>13175.472306</v>
      </c>
      <c r="G375" s="57">
        <v>13385.437632316271</v>
      </c>
      <c r="H375" s="58">
        <v>0.29307988479366176</v>
      </c>
      <c r="I375" s="58">
        <v>1.5936075871880062E-2</v>
      </c>
      <c r="J375" s="58">
        <v>0.20139395021380846</v>
      </c>
    </row>
    <row r="376" spans="1:10" ht="11.25" customHeight="1" x14ac:dyDescent="0.2">
      <c r="A376" s="67">
        <v>44440</v>
      </c>
      <c r="B376" s="57">
        <v>0</v>
      </c>
      <c r="C376" s="57">
        <v>0</v>
      </c>
      <c r="D376" s="57">
        <v>31366.562828400001</v>
      </c>
      <c r="E376" s="57">
        <v>40559.471448520628</v>
      </c>
      <c r="F376" s="57">
        <v>15506.877978</v>
      </c>
      <c r="G376" s="57">
        <v>15753.996761993394</v>
      </c>
      <c r="H376" s="58">
        <v>0.29307988479366176</v>
      </c>
      <c r="I376" s="58">
        <v>1.5936075871880062E-2</v>
      </c>
      <c r="J376" s="58">
        <v>0.20139395021380846</v>
      </c>
    </row>
    <row r="377" spans="1:10" ht="11.25" customHeight="1" x14ac:dyDescent="0.2">
      <c r="A377" s="67">
        <v>44470</v>
      </c>
      <c r="B377" s="57">
        <v>0</v>
      </c>
      <c r="C377" s="57">
        <v>0</v>
      </c>
      <c r="D377" s="57">
        <v>27630.464339999999</v>
      </c>
      <c r="E377" s="57">
        <v>35728.397645562582</v>
      </c>
      <c r="F377" s="57">
        <v>13659.8403</v>
      </c>
      <c r="G377" s="57">
        <v>13877.524551418564</v>
      </c>
      <c r="H377" s="58">
        <v>0.29307988479366198</v>
      </c>
      <c r="I377" s="58">
        <v>1.5936075871880062E-2</v>
      </c>
      <c r="J377" s="58">
        <v>0.20139395021380846</v>
      </c>
    </row>
    <row r="378" spans="1:10" ht="11.25" customHeight="1" x14ac:dyDescent="0.2">
      <c r="A378" s="67">
        <v>44501</v>
      </c>
      <c r="B378" s="57">
        <v>0</v>
      </c>
      <c r="C378" s="57">
        <v>0</v>
      </c>
      <c r="D378" s="57">
        <v>32001.0578934</v>
      </c>
      <c r="E378" s="57">
        <v>41379.924254072976</v>
      </c>
      <c r="F378" s="57">
        <v>15820.557153</v>
      </c>
      <c r="G378" s="57">
        <v>16072.674752125622</v>
      </c>
      <c r="H378" s="58">
        <v>0.29307988479366176</v>
      </c>
      <c r="I378" s="58">
        <v>1.5936075871880062E-2</v>
      </c>
      <c r="J378" s="58">
        <v>0.20139395021380846</v>
      </c>
    </row>
    <row r="379" spans="1:10" ht="11.25" customHeight="1" x14ac:dyDescent="0.2">
      <c r="A379" s="67">
        <v>44531</v>
      </c>
      <c r="B379" s="57">
        <v>0</v>
      </c>
      <c r="C379" s="57">
        <v>0</v>
      </c>
      <c r="D379" s="57">
        <v>31178.369197800002</v>
      </c>
      <c r="E379" s="57">
        <v>40316.122050345475</v>
      </c>
      <c r="F379" s="57">
        <v>15413.839551000001</v>
      </c>
      <c r="G379" s="57">
        <v>15659.475667561723</v>
      </c>
      <c r="H379" s="58">
        <v>0.29307988479366154</v>
      </c>
      <c r="I379" s="58">
        <v>1.5936075871880062E-2</v>
      </c>
      <c r="J379" s="58">
        <v>0.20139395021380846</v>
      </c>
    </row>
    <row r="380" spans="1:10" ht="11.25" customHeight="1" x14ac:dyDescent="0.2">
      <c r="A380" s="67">
        <v>44562</v>
      </c>
      <c r="B380" s="57">
        <v>0</v>
      </c>
      <c r="C380" s="57">
        <v>0</v>
      </c>
      <c r="D380" s="57">
        <v>26597.0753964</v>
      </c>
      <c r="E380" s="57">
        <v>34392.143189425246</v>
      </c>
      <c r="F380" s="57">
        <v>13148.957537999999</v>
      </c>
      <c r="G380" s="57">
        <v>13358.500322961698</v>
      </c>
      <c r="H380" s="58">
        <v>0.29307988479366176</v>
      </c>
      <c r="I380" s="58">
        <v>1.5936075871880284E-2</v>
      </c>
      <c r="J380" s="58">
        <v>0.20139395021380846</v>
      </c>
    </row>
    <row r="381" spans="1:10" ht="11.25" customHeight="1" x14ac:dyDescent="0.2">
      <c r="A381" s="67">
        <v>44593</v>
      </c>
      <c r="B381" s="57">
        <v>0</v>
      </c>
      <c r="C381" s="57">
        <v>0</v>
      </c>
      <c r="D381" s="57">
        <v>27268.443004799999</v>
      </c>
      <c r="E381" s="57">
        <v>35260.275139149315</v>
      </c>
      <c r="F381" s="57">
        <v>13480.865616000001</v>
      </c>
      <c r="G381" s="57">
        <v>13695.697713275196</v>
      </c>
      <c r="H381" s="58">
        <v>0.29307988479366176</v>
      </c>
      <c r="I381" s="58">
        <v>1.5936075871880062E-2</v>
      </c>
      <c r="J381" s="58">
        <v>0.20139395021380846</v>
      </c>
    </row>
    <row r="382" spans="1:10" ht="11.25" customHeight="1" x14ac:dyDescent="0.2">
      <c r="A382" s="67">
        <v>44621</v>
      </c>
      <c r="B382" s="57">
        <v>0</v>
      </c>
      <c r="C382" s="57">
        <v>0</v>
      </c>
      <c r="D382" s="57">
        <v>29452.063756800002</v>
      </c>
      <c r="E382" s="57">
        <v>38083.871209578523</v>
      </c>
      <c r="F382" s="57">
        <v>14560.395456</v>
      </c>
      <c r="G382" s="57">
        <v>14792.431022711395</v>
      </c>
      <c r="H382" s="58">
        <v>0.29307988479366154</v>
      </c>
      <c r="I382" s="58">
        <v>1.5936075871880062E-2</v>
      </c>
      <c r="J382" s="58">
        <v>0.20139395021380846</v>
      </c>
    </row>
    <row r="383" spans="1:10" ht="11.25" customHeight="1" x14ac:dyDescent="0.2">
      <c r="A383" s="67">
        <v>44652</v>
      </c>
      <c r="B383" s="57">
        <v>0</v>
      </c>
      <c r="C383" s="57">
        <v>0</v>
      </c>
      <c r="D383" s="57">
        <v>35887.998604799999</v>
      </c>
      <c r="E383" s="57">
        <v>46406.049101369877</v>
      </c>
      <c r="F383" s="57">
        <v>17742.167615999999</v>
      </c>
      <c r="G383" s="57">
        <v>18024.908145260189</v>
      </c>
      <c r="H383" s="58">
        <v>0.29307988479366176</v>
      </c>
      <c r="I383" s="58">
        <v>1.5936075871880062E-2</v>
      </c>
      <c r="J383" s="58">
        <v>0.20139395021380846</v>
      </c>
    </row>
    <row r="384" spans="1:10" ht="11.25" customHeight="1" x14ac:dyDescent="0.2">
      <c r="A384" s="60" t="s">
        <v>44</v>
      </c>
      <c r="B384" s="57">
        <v>0</v>
      </c>
      <c r="C384" s="57">
        <v>0</v>
      </c>
      <c r="D384" s="57">
        <v>425332.29224000004</v>
      </c>
      <c r="E384" s="57">
        <v>550001.3908394879</v>
      </c>
      <c r="F384" s="57">
        <v>210282.77936000002</v>
      </c>
      <c r="G384" s="57">
        <v>213630.00603631369</v>
      </c>
      <c r="H384" s="58">
        <v>0.29310988343471811</v>
      </c>
      <c r="I384" s="58">
        <v>1.5917740323297069E-2</v>
      </c>
      <c r="J384" s="58">
        <v>0.20140542758615343</v>
      </c>
    </row>
    <row r="385" spans="1:10" ht="11.25" customHeight="1" x14ac:dyDescent="0.2">
      <c r="A385" s="61" t="s">
        <v>23</v>
      </c>
      <c r="B385" s="57">
        <v>0</v>
      </c>
      <c r="C385" s="57">
        <v>0</v>
      </c>
      <c r="D385" s="57">
        <v>425332.29224000004</v>
      </c>
      <c r="E385" s="57">
        <v>550001.3908394879</v>
      </c>
      <c r="F385" s="57">
        <v>210282.77936000002</v>
      </c>
      <c r="G385" s="57">
        <v>213630.00603631369</v>
      </c>
      <c r="H385" s="58">
        <v>0.29310988343471811</v>
      </c>
      <c r="I385" s="58">
        <v>1.5917740323297069E-2</v>
      </c>
      <c r="J385" s="58">
        <v>0.20140542758615343</v>
      </c>
    </row>
    <row r="386" spans="1:10" ht="11.25" customHeight="1" x14ac:dyDescent="0.2">
      <c r="A386" s="62" t="s">
        <v>45</v>
      </c>
      <c r="B386" s="57">
        <v>0</v>
      </c>
      <c r="C386" s="57">
        <v>0</v>
      </c>
      <c r="D386" s="57">
        <v>425332.29224000004</v>
      </c>
      <c r="E386" s="57">
        <v>550001.3908394879</v>
      </c>
      <c r="F386" s="57">
        <v>210282.77936000002</v>
      </c>
      <c r="G386" s="57">
        <v>213630.00603631369</v>
      </c>
      <c r="H386" s="58">
        <v>0.29310988343471811</v>
      </c>
      <c r="I386" s="58">
        <v>1.5917740323297069E-2</v>
      </c>
      <c r="J386" s="58">
        <v>0.20140542758615343</v>
      </c>
    </row>
    <row r="387" spans="1:10" ht="11.25" customHeight="1" x14ac:dyDescent="0.2">
      <c r="A387" s="63" t="s">
        <v>46</v>
      </c>
      <c r="B387" s="57">
        <v>0</v>
      </c>
      <c r="C387" s="57">
        <v>0</v>
      </c>
      <c r="D387" s="57">
        <v>425332.29224000004</v>
      </c>
      <c r="E387" s="57">
        <v>550001.3908394879</v>
      </c>
      <c r="F387" s="57">
        <v>210282.77936000002</v>
      </c>
      <c r="G387" s="57">
        <v>213630.00603631369</v>
      </c>
      <c r="H387" s="58">
        <v>0.29310988343471811</v>
      </c>
      <c r="I387" s="58">
        <v>1.5917740323297069E-2</v>
      </c>
      <c r="J387" s="58">
        <v>0.20140542758615343</v>
      </c>
    </row>
    <row r="388" spans="1:10" ht="11.25" customHeight="1" x14ac:dyDescent="0.2">
      <c r="A388" s="64" t="s">
        <v>25</v>
      </c>
      <c r="B388" s="57">
        <v>0</v>
      </c>
      <c r="C388" s="57">
        <v>0</v>
      </c>
      <c r="D388" s="57">
        <v>425332.29224000004</v>
      </c>
      <c r="E388" s="57">
        <v>550001.3908394879</v>
      </c>
      <c r="F388" s="57">
        <v>210282.77936000002</v>
      </c>
      <c r="G388" s="57">
        <v>213630.00603631369</v>
      </c>
      <c r="H388" s="58">
        <v>0.29310988343471811</v>
      </c>
      <c r="I388" s="58">
        <v>1.5917740323297069E-2</v>
      </c>
      <c r="J388" s="58">
        <v>0.20140542758615343</v>
      </c>
    </row>
    <row r="389" spans="1:10" ht="11.25" customHeight="1" x14ac:dyDescent="0.2">
      <c r="A389" s="65" t="s">
        <v>25</v>
      </c>
      <c r="B389" s="57">
        <v>0</v>
      </c>
      <c r="C389" s="57">
        <v>0</v>
      </c>
      <c r="D389" s="57">
        <v>425332.29224000004</v>
      </c>
      <c r="E389" s="57">
        <v>550001.3908394879</v>
      </c>
      <c r="F389" s="57">
        <v>210282.77936000002</v>
      </c>
      <c r="G389" s="57">
        <v>213630.00603631369</v>
      </c>
      <c r="H389" s="58">
        <v>0.29310988343471811</v>
      </c>
      <c r="I389" s="58">
        <v>1.5917740323297069E-2</v>
      </c>
      <c r="J389" s="58">
        <v>0.20140542758615343</v>
      </c>
    </row>
    <row r="390" spans="1:10" ht="11.25" customHeight="1" x14ac:dyDescent="0.2">
      <c r="A390" s="66" t="s">
        <v>25</v>
      </c>
      <c r="B390" s="57">
        <v>0</v>
      </c>
      <c r="C390" s="57">
        <v>0</v>
      </c>
      <c r="D390" s="57">
        <v>425332.29224000004</v>
      </c>
      <c r="E390" s="57">
        <v>550001.3908394879</v>
      </c>
      <c r="F390" s="57">
        <v>210282.77936000002</v>
      </c>
      <c r="G390" s="57">
        <v>213630.00603631369</v>
      </c>
      <c r="H390" s="58">
        <v>0.29310988343471811</v>
      </c>
      <c r="I390" s="58">
        <v>1.5917740323297069E-2</v>
      </c>
      <c r="J390" s="58">
        <v>0.20140542758615343</v>
      </c>
    </row>
    <row r="391" spans="1:10" ht="11.25" customHeight="1" x14ac:dyDescent="0.2">
      <c r="A391" s="67">
        <v>44317</v>
      </c>
      <c r="B391" s="57">
        <v>0</v>
      </c>
      <c r="C391" s="57">
        <v>0</v>
      </c>
      <c r="D391" s="57">
        <v>37061.65004</v>
      </c>
      <c r="E391" s="57">
        <v>47924.785963122726</v>
      </c>
      <c r="F391" s="57">
        <v>18323.148560000001</v>
      </c>
      <c r="G391" s="57">
        <v>18614.811680683277</v>
      </c>
      <c r="H391" s="58">
        <v>0.29310988343471833</v>
      </c>
      <c r="I391" s="58">
        <v>1.5917740323297069E-2</v>
      </c>
      <c r="J391" s="58">
        <v>0.20140542758615365</v>
      </c>
    </row>
    <row r="392" spans="1:10" ht="11.25" customHeight="1" x14ac:dyDescent="0.2">
      <c r="A392" s="67">
        <v>44348</v>
      </c>
      <c r="B392" s="57">
        <v>0</v>
      </c>
      <c r="C392" s="57">
        <v>0</v>
      </c>
      <c r="D392" s="57">
        <v>34970.666700000002</v>
      </c>
      <c r="E392" s="57">
        <v>45220.914740071385</v>
      </c>
      <c r="F392" s="57">
        <v>17289.373800000001</v>
      </c>
      <c r="G392" s="57">
        <v>17564.581562500822</v>
      </c>
      <c r="H392" s="58">
        <v>0.29310988343471833</v>
      </c>
      <c r="I392" s="58">
        <v>1.5917740323297291E-2</v>
      </c>
      <c r="J392" s="58">
        <v>0.20140542758615365</v>
      </c>
    </row>
    <row r="393" spans="1:10" ht="11.25" customHeight="1" x14ac:dyDescent="0.2">
      <c r="A393" s="67">
        <v>44378</v>
      </c>
      <c r="B393" s="57">
        <v>0</v>
      </c>
      <c r="C393" s="57">
        <v>0</v>
      </c>
      <c r="D393" s="57">
        <v>37882.857620000002</v>
      </c>
      <c r="E393" s="57">
        <v>48986.697601172236</v>
      </c>
      <c r="F393" s="57">
        <v>18729.150680000002</v>
      </c>
      <c r="G393" s="57">
        <v>19027.27643700015</v>
      </c>
      <c r="H393" s="58">
        <v>0.29310988343471833</v>
      </c>
      <c r="I393" s="58">
        <v>1.5917740323297291E-2</v>
      </c>
      <c r="J393" s="58">
        <v>0.20140542758615365</v>
      </c>
    </row>
    <row r="394" spans="1:10" ht="11.25" customHeight="1" x14ac:dyDescent="0.2">
      <c r="A394" s="67">
        <v>44409</v>
      </c>
      <c r="B394" s="57">
        <v>0</v>
      </c>
      <c r="C394" s="57">
        <v>0</v>
      </c>
      <c r="D394" s="57">
        <v>35674.759040000004</v>
      </c>
      <c r="E394" s="57">
        <v>46131.383503776065</v>
      </c>
      <c r="F394" s="57">
        <v>17637.474560000002</v>
      </c>
      <c r="G394" s="57">
        <v>17918.223300004844</v>
      </c>
      <c r="H394" s="58">
        <v>0.29310988343471811</v>
      </c>
      <c r="I394" s="58">
        <v>1.5917740323297291E-2</v>
      </c>
      <c r="J394" s="58">
        <v>0.20140542758615343</v>
      </c>
    </row>
    <row r="395" spans="1:10" ht="11.25" customHeight="1" x14ac:dyDescent="0.2">
      <c r="A395" s="67">
        <v>44440</v>
      </c>
      <c r="B395" s="57">
        <v>0</v>
      </c>
      <c r="C395" s="57">
        <v>0</v>
      </c>
      <c r="D395" s="57">
        <v>35701.095959999999</v>
      </c>
      <c r="E395" s="57">
        <v>46165.440035327294</v>
      </c>
      <c r="F395" s="57">
        <v>17650.495440000002</v>
      </c>
      <c r="G395" s="57">
        <v>17931.451442991463</v>
      </c>
      <c r="H395" s="58">
        <v>0.29310988343471833</v>
      </c>
      <c r="I395" s="58">
        <v>1.5917740323297069E-2</v>
      </c>
      <c r="J395" s="58">
        <v>0.20140542758615343</v>
      </c>
    </row>
    <row r="396" spans="1:10" ht="11.25" customHeight="1" x14ac:dyDescent="0.2">
      <c r="A396" s="67">
        <v>44470</v>
      </c>
      <c r="B396" s="57">
        <v>0</v>
      </c>
      <c r="C396" s="57">
        <v>0</v>
      </c>
      <c r="D396" s="57">
        <v>36197.855100000001</v>
      </c>
      <c r="E396" s="57">
        <v>46807.804188947826</v>
      </c>
      <c r="F396" s="57">
        <v>17896.091400000001</v>
      </c>
      <c r="G396" s="57">
        <v>18180.956735707194</v>
      </c>
      <c r="H396" s="58">
        <v>0.29310988343471833</v>
      </c>
      <c r="I396" s="58">
        <v>1.5917740323297291E-2</v>
      </c>
      <c r="J396" s="58">
        <v>0.20140542758615343</v>
      </c>
    </row>
    <row r="397" spans="1:10" ht="11.25" customHeight="1" x14ac:dyDescent="0.2">
      <c r="A397" s="67">
        <v>44501</v>
      </c>
      <c r="B397" s="57">
        <v>0</v>
      </c>
      <c r="C397" s="57">
        <v>0</v>
      </c>
      <c r="D397" s="57">
        <v>34309.161719999996</v>
      </c>
      <c r="E397" s="57">
        <v>44365.5161124921</v>
      </c>
      <c r="F397" s="57">
        <v>16962.328079999999</v>
      </c>
      <c r="G397" s="57">
        <v>17232.330013656014</v>
      </c>
      <c r="H397" s="58">
        <v>0.29310988343471855</v>
      </c>
      <c r="I397" s="58">
        <v>1.5917740323297291E-2</v>
      </c>
      <c r="J397" s="58">
        <v>0.20140542758615365</v>
      </c>
    </row>
    <row r="398" spans="1:10" ht="11.25" customHeight="1" x14ac:dyDescent="0.2">
      <c r="A398" s="67">
        <v>44531</v>
      </c>
      <c r="B398" s="57">
        <v>0</v>
      </c>
      <c r="C398" s="57">
        <v>0</v>
      </c>
      <c r="D398" s="57">
        <v>36121.365960000003</v>
      </c>
      <c r="E398" s="57">
        <v>46708.895326038401</v>
      </c>
      <c r="F398" s="57">
        <v>17858.275440000001</v>
      </c>
      <c r="G398" s="57">
        <v>18142.538831075839</v>
      </c>
      <c r="H398" s="58">
        <v>0.29310988343471811</v>
      </c>
      <c r="I398" s="58">
        <v>1.5917740323297291E-2</v>
      </c>
      <c r="J398" s="58">
        <v>0.20140542758615343</v>
      </c>
    </row>
    <row r="399" spans="1:10" ht="11.25" customHeight="1" x14ac:dyDescent="0.2">
      <c r="A399" s="67">
        <v>44562</v>
      </c>
      <c r="B399" s="57">
        <v>0</v>
      </c>
      <c r="C399" s="57">
        <v>0</v>
      </c>
      <c r="D399" s="57">
        <v>37010.096919999996</v>
      </c>
      <c r="E399" s="57">
        <v>47858.122114128826</v>
      </c>
      <c r="F399" s="57">
        <v>18297.660879999999</v>
      </c>
      <c r="G399" s="57">
        <v>18588.918294411596</v>
      </c>
      <c r="H399" s="58">
        <v>0.29310988343471833</v>
      </c>
      <c r="I399" s="58">
        <v>1.5917740323297291E-2</v>
      </c>
      <c r="J399" s="58">
        <v>0.20140542758615387</v>
      </c>
    </row>
    <row r="400" spans="1:10" ht="11.25" customHeight="1" x14ac:dyDescent="0.2">
      <c r="A400" s="67">
        <v>44593</v>
      </c>
      <c r="B400" s="57">
        <v>0</v>
      </c>
      <c r="C400" s="57">
        <v>0</v>
      </c>
      <c r="D400" s="57">
        <v>32117.0334</v>
      </c>
      <c r="E400" s="57">
        <v>41530.853316142951</v>
      </c>
      <c r="F400" s="57">
        <v>15878.5476</v>
      </c>
      <c r="G400" s="57">
        <v>16131.298197407916</v>
      </c>
      <c r="H400" s="58">
        <v>0.29310988343471811</v>
      </c>
      <c r="I400" s="58">
        <v>1.5917740323297291E-2</v>
      </c>
      <c r="J400" s="58">
        <v>0.20140542758615365</v>
      </c>
    </row>
    <row r="401" spans="1:10" ht="11.25" customHeight="1" x14ac:dyDescent="0.2">
      <c r="A401" s="67">
        <v>44621</v>
      </c>
      <c r="B401" s="57">
        <v>0</v>
      </c>
      <c r="C401" s="57">
        <v>0</v>
      </c>
      <c r="D401" s="57">
        <v>35732.476119999999</v>
      </c>
      <c r="E401" s="57">
        <v>46206.018030367057</v>
      </c>
      <c r="F401" s="57">
        <v>17666.009680000003</v>
      </c>
      <c r="G401" s="57">
        <v>17947.2126346351</v>
      </c>
      <c r="H401" s="58">
        <v>0.29310988343471833</v>
      </c>
      <c r="I401" s="58">
        <v>1.5917740323297291E-2</v>
      </c>
      <c r="J401" s="58">
        <v>0.20140542758615365</v>
      </c>
    </row>
    <row r="402" spans="1:10" ht="11.25" customHeight="1" x14ac:dyDescent="0.2">
      <c r="A402" s="67">
        <v>44652</v>
      </c>
      <c r="B402" s="57">
        <v>0</v>
      </c>
      <c r="C402" s="57">
        <v>0</v>
      </c>
      <c r="D402" s="57">
        <v>32553.273659999999</v>
      </c>
      <c r="E402" s="57">
        <v>42094.959907901088</v>
      </c>
      <c r="F402" s="57">
        <v>16094.223240000001</v>
      </c>
      <c r="G402" s="57">
        <v>16350.406906239497</v>
      </c>
      <c r="H402" s="58">
        <v>0.29310988343471833</v>
      </c>
      <c r="I402" s="58">
        <v>1.5917740323297291E-2</v>
      </c>
      <c r="J402" s="58">
        <v>0.20140542758615365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098F5-502C-44AA-A0E3-F899DFA4BABD}">
  <dimension ref="A1:G211"/>
  <sheetViews>
    <sheetView showGridLines="0" workbookViewId="0"/>
  </sheetViews>
  <sheetFormatPr defaultRowHeight="11.25" customHeight="1" x14ac:dyDescent="0.2"/>
  <cols>
    <col min="1" max="1" width="34.7109375" style="16" bestFit="1" customWidth="1"/>
    <col min="2" max="2" width="20.42578125" style="57" bestFit="1" customWidth="1"/>
    <col min="3" max="3" width="21.85546875" style="57" bestFit="1" customWidth="1"/>
    <col min="4" max="4" width="20.28515625" style="57" bestFit="1" customWidth="1"/>
    <col min="5" max="5" width="21.7109375" style="57" bestFit="1" customWidth="1"/>
    <col min="6" max="6" width="14.85546875" style="57" bestFit="1" customWidth="1"/>
    <col min="7" max="7" width="14.7109375" style="57" bestFit="1" customWidth="1"/>
    <col min="8" max="16384" width="9.140625" style="16"/>
  </cols>
  <sheetData>
    <row r="1" spans="1:7" ht="11.25" customHeight="1" x14ac:dyDescent="0.2">
      <c r="A1" s="56" t="s">
        <v>689</v>
      </c>
      <c r="B1" s="57" t="s">
        <v>715</v>
      </c>
      <c r="C1" s="57" t="s">
        <v>716</v>
      </c>
      <c r="D1" s="57" t="s">
        <v>717</v>
      </c>
      <c r="E1" s="57" t="s">
        <v>718</v>
      </c>
      <c r="F1" s="57" t="s">
        <v>719</v>
      </c>
      <c r="G1" s="57" t="s">
        <v>720</v>
      </c>
    </row>
    <row r="2" spans="1:7" ht="11.25" customHeight="1" x14ac:dyDescent="0.2">
      <c r="A2" s="59" t="s">
        <v>707</v>
      </c>
      <c r="B2" s="57">
        <v>0</v>
      </c>
      <c r="C2" s="57">
        <v>34275.413952000003</v>
      </c>
      <c r="D2" s="57">
        <v>0</v>
      </c>
      <c r="E2" s="57">
        <v>41178.274963006763</v>
      </c>
      <c r="F2" s="57">
        <v>34275.413952000003</v>
      </c>
      <c r="G2" s="57">
        <v>41178.274963006763</v>
      </c>
    </row>
    <row r="3" spans="1:7" ht="11.25" customHeight="1" x14ac:dyDescent="0.2">
      <c r="A3" s="60" t="s">
        <v>32</v>
      </c>
      <c r="B3" s="57">
        <v>0</v>
      </c>
      <c r="C3" s="57">
        <v>34275.413952000003</v>
      </c>
      <c r="D3" s="57">
        <v>0</v>
      </c>
      <c r="E3" s="57">
        <v>41178.274963006763</v>
      </c>
      <c r="F3" s="57">
        <v>34275.413952000003</v>
      </c>
      <c r="G3" s="57">
        <v>41178.274963006763</v>
      </c>
    </row>
    <row r="4" spans="1:7" ht="11.25" customHeight="1" x14ac:dyDescent="0.2">
      <c r="A4" s="61" t="s">
        <v>23</v>
      </c>
      <c r="B4" s="57">
        <v>0</v>
      </c>
      <c r="C4" s="57">
        <v>34275.413952000003</v>
      </c>
      <c r="D4" s="57">
        <v>0</v>
      </c>
      <c r="E4" s="57">
        <v>41178.274963006763</v>
      </c>
      <c r="F4" s="57">
        <v>34275.413952000003</v>
      </c>
      <c r="G4" s="57">
        <v>41178.274963006763</v>
      </c>
    </row>
    <row r="5" spans="1:7" ht="11.25" customHeight="1" x14ac:dyDescent="0.2">
      <c r="A5" s="62" t="s">
        <v>47</v>
      </c>
      <c r="B5" s="57">
        <v>0</v>
      </c>
      <c r="C5" s="57">
        <v>34275.413952000003</v>
      </c>
      <c r="D5" s="57">
        <v>0</v>
      </c>
      <c r="E5" s="57">
        <v>41178.274963006763</v>
      </c>
      <c r="F5" s="57">
        <v>34275.413952000003</v>
      </c>
      <c r="G5" s="57">
        <v>41178.274963006763</v>
      </c>
    </row>
    <row r="6" spans="1:7" ht="11.25" customHeight="1" x14ac:dyDescent="0.2">
      <c r="A6" s="63" t="s">
        <v>48</v>
      </c>
      <c r="B6" s="57">
        <v>0</v>
      </c>
      <c r="C6" s="57">
        <v>34275.413952000003</v>
      </c>
      <c r="D6" s="57">
        <v>0</v>
      </c>
      <c r="E6" s="57">
        <v>41178.274963006763</v>
      </c>
      <c r="F6" s="57">
        <v>34275.413952000003</v>
      </c>
      <c r="G6" s="57">
        <v>41178.274963006763</v>
      </c>
    </row>
    <row r="7" spans="1:7" ht="11.25" customHeight="1" x14ac:dyDescent="0.2">
      <c r="A7" s="64" t="s">
        <v>25</v>
      </c>
      <c r="B7" s="57">
        <v>0</v>
      </c>
      <c r="C7" s="57">
        <v>34275.413952000003</v>
      </c>
      <c r="D7" s="57">
        <v>0</v>
      </c>
      <c r="E7" s="57">
        <v>41178.274963006763</v>
      </c>
      <c r="F7" s="57">
        <v>34275.413952000003</v>
      </c>
      <c r="G7" s="57">
        <v>41178.274963006763</v>
      </c>
    </row>
    <row r="8" spans="1:7" ht="11.25" customHeight="1" x14ac:dyDescent="0.2">
      <c r="A8" s="65" t="s">
        <v>25</v>
      </c>
      <c r="B8" s="57">
        <v>0</v>
      </c>
      <c r="C8" s="57">
        <v>34275.413952000003</v>
      </c>
      <c r="D8" s="57">
        <v>0</v>
      </c>
      <c r="E8" s="57">
        <v>41178.274963006763</v>
      </c>
      <c r="F8" s="57">
        <v>34275.413952000003</v>
      </c>
      <c r="G8" s="57">
        <v>41178.274963006763</v>
      </c>
    </row>
    <row r="9" spans="1:7" ht="11.25" customHeight="1" x14ac:dyDescent="0.2">
      <c r="A9" s="66" t="s">
        <v>25</v>
      </c>
      <c r="B9" s="57">
        <v>0</v>
      </c>
      <c r="C9" s="57">
        <v>34275.413952000003</v>
      </c>
      <c r="D9" s="57">
        <v>0</v>
      </c>
      <c r="E9" s="57">
        <v>41178.274963006763</v>
      </c>
      <c r="F9" s="57">
        <v>34275.413952000003</v>
      </c>
      <c r="G9" s="57">
        <v>41178.274963006763</v>
      </c>
    </row>
    <row r="10" spans="1:7" ht="11.25" customHeight="1" x14ac:dyDescent="0.2">
      <c r="A10" s="67">
        <v>44317</v>
      </c>
      <c r="B10" s="57">
        <v>0</v>
      </c>
      <c r="C10" s="57">
        <v>2757.5084160000051</v>
      </c>
      <c r="D10" s="57">
        <v>0</v>
      </c>
      <c r="E10" s="57">
        <v>3312.8539286460677</v>
      </c>
      <c r="F10" s="57">
        <v>2757.5084160000051</v>
      </c>
      <c r="G10" s="57">
        <v>3312.8539286460677</v>
      </c>
    </row>
    <row r="11" spans="1:7" ht="11.25" customHeight="1" x14ac:dyDescent="0.2">
      <c r="A11" s="67">
        <v>44348</v>
      </c>
      <c r="B11" s="57">
        <v>0</v>
      </c>
      <c r="C11" s="57">
        <v>3019.4191872000047</v>
      </c>
      <c r="D11" s="57">
        <v>0</v>
      </c>
      <c r="E11" s="57">
        <v>3627.5119446615804</v>
      </c>
      <c r="F11" s="57">
        <v>3019.4191872000047</v>
      </c>
      <c r="G11" s="57">
        <v>3627.5119446615804</v>
      </c>
    </row>
    <row r="12" spans="1:7" ht="11.25" customHeight="1" x14ac:dyDescent="0.2">
      <c r="A12" s="67">
        <v>44378</v>
      </c>
      <c r="B12" s="57">
        <v>0</v>
      </c>
      <c r="C12" s="57">
        <v>2931.9937919999988</v>
      </c>
      <c r="D12" s="57">
        <v>0</v>
      </c>
      <c r="E12" s="57">
        <v>3522.4796037732422</v>
      </c>
      <c r="F12" s="57">
        <v>2931.9937919999988</v>
      </c>
      <c r="G12" s="57">
        <v>3522.4796037732422</v>
      </c>
    </row>
    <row r="13" spans="1:7" ht="11.25" customHeight="1" x14ac:dyDescent="0.2">
      <c r="A13" s="67">
        <v>44409</v>
      </c>
      <c r="B13" s="57">
        <v>0</v>
      </c>
      <c r="C13" s="57">
        <v>2542.0966272000028</v>
      </c>
      <c r="D13" s="57">
        <v>0</v>
      </c>
      <c r="E13" s="57">
        <v>3054.0595087770107</v>
      </c>
      <c r="F13" s="57">
        <v>2542.0966272000028</v>
      </c>
      <c r="G13" s="57">
        <v>3054.0595087770107</v>
      </c>
    </row>
    <row r="14" spans="1:7" ht="11.25" customHeight="1" x14ac:dyDescent="0.2">
      <c r="A14" s="67">
        <v>44440</v>
      </c>
      <c r="B14" s="57">
        <v>0</v>
      </c>
      <c r="C14" s="57">
        <v>2991.9217535999965</v>
      </c>
      <c r="D14" s="57">
        <v>0</v>
      </c>
      <c r="E14" s="57">
        <v>3594.4766942881242</v>
      </c>
      <c r="F14" s="57">
        <v>2991.9217535999965</v>
      </c>
      <c r="G14" s="57">
        <v>3594.4766942881242</v>
      </c>
    </row>
    <row r="15" spans="1:7" ht="11.25" customHeight="1" x14ac:dyDescent="0.2">
      <c r="A15" s="67">
        <v>44470</v>
      </c>
      <c r="B15" s="57">
        <v>0</v>
      </c>
      <c r="C15" s="57">
        <v>2635.5513600000027</v>
      </c>
      <c r="D15" s="57">
        <v>0</v>
      </c>
      <c r="E15" s="57">
        <v>3166.3354593817785</v>
      </c>
      <c r="F15" s="57">
        <v>2635.5513600000027</v>
      </c>
      <c r="G15" s="57">
        <v>3166.3354593817785</v>
      </c>
    </row>
    <row r="16" spans="1:7" ht="11.25" customHeight="1" x14ac:dyDescent="0.2">
      <c r="A16" s="67">
        <v>44501</v>
      </c>
      <c r="B16" s="57">
        <v>0</v>
      </c>
      <c r="C16" s="57">
        <v>3052.4435135999984</v>
      </c>
      <c r="D16" s="57">
        <v>0</v>
      </c>
      <c r="E16" s="57">
        <v>3667.1871706084194</v>
      </c>
      <c r="F16" s="57">
        <v>3052.4435135999984</v>
      </c>
      <c r="G16" s="57">
        <v>3667.1871706084194</v>
      </c>
    </row>
    <row r="17" spans="1:7" ht="11.25" customHeight="1" x14ac:dyDescent="0.2">
      <c r="A17" s="67">
        <v>44531</v>
      </c>
      <c r="B17" s="57">
        <v>0</v>
      </c>
      <c r="C17" s="57">
        <v>2973.9707711999945</v>
      </c>
      <c r="D17" s="57">
        <v>0</v>
      </c>
      <c r="E17" s="57">
        <v>3572.9104926323675</v>
      </c>
      <c r="F17" s="57">
        <v>2973.9707711999945</v>
      </c>
      <c r="G17" s="57">
        <v>3572.9104926323675</v>
      </c>
    </row>
    <row r="18" spans="1:7" ht="11.25" customHeight="1" x14ac:dyDescent="0.2">
      <c r="A18" s="67">
        <v>44562</v>
      </c>
      <c r="B18" s="57">
        <v>0</v>
      </c>
      <c r="C18" s="57">
        <v>2536.9808256000015</v>
      </c>
      <c r="D18" s="57">
        <v>0</v>
      </c>
      <c r="E18" s="57">
        <v>3047.9134156842756</v>
      </c>
      <c r="F18" s="57">
        <v>2536.9808256000015</v>
      </c>
      <c r="G18" s="57">
        <v>3047.9134156842756</v>
      </c>
    </row>
    <row r="19" spans="1:7" ht="11.25" customHeight="1" x14ac:dyDescent="0.2">
      <c r="A19" s="67">
        <v>44593</v>
      </c>
      <c r="B19" s="57">
        <v>0</v>
      </c>
      <c r="C19" s="57">
        <v>2601.0196992000006</v>
      </c>
      <c r="D19" s="57">
        <v>0</v>
      </c>
      <c r="E19" s="57">
        <v>3124.8493310058207</v>
      </c>
      <c r="F19" s="57">
        <v>2601.0196992000006</v>
      </c>
      <c r="G19" s="57">
        <v>3124.8493310058207</v>
      </c>
    </row>
    <row r="20" spans="1:7" ht="11.25" customHeight="1" x14ac:dyDescent="0.2">
      <c r="A20" s="67">
        <v>44621</v>
      </c>
      <c r="B20" s="57">
        <v>0</v>
      </c>
      <c r="C20" s="57">
        <v>2809.3059071999969</v>
      </c>
      <c r="D20" s="57">
        <v>0</v>
      </c>
      <c r="E20" s="57">
        <v>3375.0831212099911</v>
      </c>
      <c r="F20" s="57">
        <v>2809.3059071999969</v>
      </c>
      <c r="G20" s="57">
        <v>3375.0831212099911</v>
      </c>
    </row>
    <row r="21" spans="1:7" ht="11.25" customHeight="1" x14ac:dyDescent="0.2">
      <c r="A21" s="67">
        <v>44652</v>
      </c>
      <c r="B21" s="57">
        <v>0</v>
      </c>
      <c r="C21" s="57">
        <v>3423.2020991999998</v>
      </c>
      <c r="D21" s="57">
        <v>0</v>
      </c>
      <c r="E21" s="57">
        <v>4112.6142923380885</v>
      </c>
      <c r="F21" s="57">
        <v>3423.2020991999998</v>
      </c>
      <c r="G21" s="57">
        <v>4112.6142923380885</v>
      </c>
    </row>
    <row r="22" spans="1:7" ht="11.25" customHeight="1" x14ac:dyDescent="0.2">
      <c r="A22" s="59" t="s">
        <v>704</v>
      </c>
      <c r="B22" s="57">
        <v>0</v>
      </c>
      <c r="C22" s="57">
        <v>751506.47971999983</v>
      </c>
      <c r="D22" s="57">
        <v>0</v>
      </c>
      <c r="E22" s="57">
        <v>888482.66094250279</v>
      </c>
      <c r="F22" s="57">
        <v>751506.47971999983</v>
      </c>
      <c r="G22" s="57">
        <v>888482.66094250279</v>
      </c>
    </row>
    <row r="23" spans="1:7" ht="11.25" customHeight="1" x14ac:dyDescent="0.2">
      <c r="A23" s="60" t="s">
        <v>22</v>
      </c>
      <c r="B23" s="57">
        <v>0</v>
      </c>
      <c r="C23" s="57">
        <v>751506.47971999983</v>
      </c>
      <c r="D23" s="57">
        <v>0</v>
      </c>
      <c r="E23" s="57">
        <v>888482.66094250279</v>
      </c>
      <c r="F23" s="57">
        <v>751506.47971999983</v>
      </c>
      <c r="G23" s="57">
        <v>888482.66094250279</v>
      </c>
    </row>
    <row r="24" spans="1:7" ht="11.25" customHeight="1" x14ac:dyDescent="0.2">
      <c r="A24" s="61" t="s">
        <v>23</v>
      </c>
      <c r="B24" s="57">
        <v>0</v>
      </c>
      <c r="C24" s="57">
        <v>751506.47971999983</v>
      </c>
      <c r="D24" s="57">
        <v>0</v>
      </c>
      <c r="E24" s="57">
        <v>888482.66094250279</v>
      </c>
      <c r="F24" s="57">
        <v>751506.47971999983</v>
      </c>
      <c r="G24" s="57">
        <v>888482.66094250279</v>
      </c>
    </row>
    <row r="25" spans="1:7" ht="11.25" customHeight="1" x14ac:dyDescent="0.2">
      <c r="A25" s="62" t="s">
        <v>24</v>
      </c>
      <c r="B25" s="57">
        <v>0</v>
      </c>
      <c r="C25" s="57">
        <v>751506.47971999983</v>
      </c>
      <c r="D25" s="57">
        <v>0</v>
      </c>
      <c r="E25" s="57">
        <v>888482.66094250279</v>
      </c>
      <c r="F25" s="57">
        <v>751506.47971999983</v>
      </c>
      <c r="G25" s="57">
        <v>888482.66094250279</v>
      </c>
    </row>
    <row r="26" spans="1:7" ht="11.25" customHeight="1" x14ac:dyDescent="0.2">
      <c r="A26" s="63" t="s">
        <v>28</v>
      </c>
      <c r="B26" s="57">
        <v>0</v>
      </c>
      <c r="C26" s="57">
        <v>369312.48719999992</v>
      </c>
      <c r="D26" s="57">
        <v>0</v>
      </c>
      <c r="E26" s="57">
        <v>436628.98220187734</v>
      </c>
      <c r="F26" s="57">
        <v>369312.48719999992</v>
      </c>
      <c r="G26" s="57">
        <v>436628.98220187734</v>
      </c>
    </row>
    <row r="27" spans="1:7" ht="11.25" customHeight="1" x14ac:dyDescent="0.2">
      <c r="A27" s="64" t="s">
        <v>25</v>
      </c>
      <c r="B27" s="57">
        <v>0</v>
      </c>
      <c r="C27" s="57">
        <v>369312.48719999992</v>
      </c>
      <c r="D27" s="57">
        <v>0</v>
      </c>
      <c r="E27" s="57">
        <v>436628.98220187734</v>
      </c>
      <c r="F27" s="57">
        <v>369312.48719999992</v>
      </c>
      <c r="G27" s="57">
        <v>436628.98220187734</v>
      </c>
    </row>
    <row r="28" spans="1:7" ht="11.25" customHeight="1" x14ac:dyDescent="0.2">
      <c r="A28" s="65" t="s">
        <v>25</v>
      </c>
      <c r="B28" s="57">
        <v>0</v>
      </c>
      <c r="C28" s="57">
        <v>369312.48719999992</v>
      </c>
      <c r="D28" s="57">
        <v>0</v>
      </c>
      <c r="E28" s="57">
        <v>436628.98220187734</v>
      </c>
      <c r="F28" s="57">
        <v>369312.48719999992</v>
      </c>
      <c r="G28" s="57">
        <v>436628.98220187734</v>
      </c>
    </row>
    <row r="29" spans="1:7" ht="11.25" customHeight="1" x14ac:dyDescent="0.2">
      <c r="A29" s="66" t="s">
        <v>25</v>
      </c>
      <c r="B29" s="57">
        <v>0</v>
      </c>
      <c r="C29" s="57">
        <v>369312.48719999992</v>
      </c>
      <c r="D29" s="57">
        <v>0</v>
      </c>
      <c r="E29" s="57">
        <v>436628.98220187734</v>
      </c>
      <c r="F29" s="57">
        <v>369312.48719999992</v>
      </c>
      <c r="G29" s="57">
        <v>436628.98220187734</v>
      </c>
    </row>
    <row r="30" spans="1:7" ht="11.25" customHeight="1" x14ac:dyDescent="0.2">
      <c r="A30" s="67">
        <v>44317</v>
      </c>
      <c r="B30" s="57">
        <v>0</v>
      </c>
      <c r="C30" s="57">
        <v>28075.228199999998</v>
      </c>
      <c r="D30" s="57">
        <v>0</v>
      </c>
      <c r="E30" s="57">
        <v>33192.645087608202</v>
      </c>
      <c r="F30" s="57">
        <v>28075.228199999998</v>
      </c>
      <c r="G30" s="57">
        <v>33192.645087608202</v>
      </c>
    </row>
    <row r="31" spans="1:7" ht="11.25" customHeight="1" x14ac:dyDescent="0.2">
      <c r="A31" s="67">
        <v>44348</v>
      </c>
      <c r="B31" s="57">
        <v>0</v>
      </c>
      <c r="C31" s="57">
        <v>28316.034899999999</v>
      </c>
      <c r="D31" s="57">
        <v>0</v>
      </c>
      <c r="E31" s="57">
        <v>33477.344868884349</v>
      </c>
      <c r="F31" s="57">
        <v>28316.034899999999</v>
      </c>
      <c r="G31" s="57">
        <v>33477.344868884349</v>
      </c>
    </row>
    <row r="32" spans="1:7" ht="11.25" customHeight="1" x14ac:dyDescent="0.2">
      <c r="A32" s="67">
        <v>44378</v>
      </c>
      <c r="B32" s="57">
        <v>0</v>
      </c>
      <c r="C32" s="57">
        <v>28471.850999999995</v>
      </c>
      <c r="D32" s="57">
        <v>0</v>
      </c>
      <c r="E32" s="57">
        <v>33661.562374415982</v>
      </c>
      <c r="F32" s="57">
        <v>28471.850999999995</v>
      </c>
      <c r="G32" s="57">
        <v>33661.562374415982</v>
      </c>
    </row>
    <row r="33" spans="1:7" ht="11.25" customHeight="1" x14ac:dyDescent="0.2">
      <c r="A33" s="67">
        <v>44409</v>
      </c>
      <c r="B33" s="57">
        <v>0</v>
      </c>
      <c r="C33" s="57">
        <v>28755.152999999998</v>
      </c>
      <c r="D33" s="57">
        <v>0</v>
      </c>
      <c r="E33" s="57">
        <v>33996.503293564398</v>
      </c>
      <c r="F33" s="57">
        <v>28755.152999999998</v>
      </c>
      <c r="G33" s="57">
        <v>33996.503293564398</v>
      </c>
    </row>
    <row r="34" spans="1:7" ht="11.25" customHeight="1" x14ac:dyDescent="0.2">
      <c r="A34" s="67">
        <v>44440</v>
      </c>
      <c r="B34" s="57">
        <v>0</v>
      </c>
      <c r="C34" s="57">
        <v>28910.969099999995</v>
      </c>
      <c r="D34" s="57">
        <v>0</v>
      </c>
      <c r="E34" s="57">
        <v>34180.720799096031</v>
      </c>
      <c r="F34" s="57">
        <v>28910.969099999995</v>
      </c>
      <c r="G34" s="57">
        <v>34180.720799096031</v>
      </c>
    </row>
    <row r="35" spans="1:7" ht="11.25" customHeight="1" x14ac:dyDescent="0.2">
      <c r="A35" s="67">
        <v>44470</v>
      </c>
      <c r="B35" s="57">
        <v>0</v>
      </c>
      <c r="C35" s="57">
        <v>29265.096599999997</v>
      </c>
      <c r="D35" s="57">
        <v>0</v>
      </c>
      <c r="E35" s="57">
        <v>34599.39694803155</v>
      </c>
      <c r="F35" s="57">
        <v>29265.096599999997</v>
      </c>
      <c r="G35" s="57">
        <v>34599.39694803155</v>
      </c>
    </row>
    <row r="36" spans="1:7" ht="11.25" customHeight="1" x14ac:dyDescent="0.2">
      <c r="A36" s="67">
        <v>44501</v>
      </c>
      <c r="B36" s="57">
        <v>0</v>
      </c>
      <c r="C36" s="57">
        <v>29704.214699999997</v>
      </c>
      <c r="D36" s="57">
        <v>0</v>
      </c>
      <c r="E36" s="57">
        <v>35118.555372711598</v>
      </c>
      <c r="F36" s="57">
        <v>29704.214699999997</v>
      </c>
      <c r="G36" s="57">
        <v>35118.555372711598</v>
      </c>
    </row>
    <row r="37" spans="1:7" ht="11.25" customHeight="1" x14ac:dyDescent="0.2">
      <c r="A37" s="67">
        <v>44531</v>
      </c>
      <c r="B37" s="57">
        <v>0</v>
      </c>
      <c r="C37" s="57">
        <v>30582.450899999996</v>
      </c>
      <c r="D37" s="57">
        <v>0</v>
      </c>
      <c r="E37" s="57">
        <v>36156.872222071695</v>
      </c>
      <c r="F37" s="57">
        <v>30582.450899999996</v>
      </c>
      <c r="G37" s="57">
        <v>36156.872222071695</v>
      </c>
    </row>
    <row r="38" spans="1:7" ht="11.25" customHeight="1" x14ac:dyDescent="0.2">
      <c r="A38" s="67">
        <v>44562</v>
      </c>
      <c r="B38" s="57">
        <v>0</v>
      </c>
      <c r="C38" s="57">
        <v>30653.276399999999</v>
      </c>
      <c r="D38" s="57">
        <v>0</v>
      </c>
      <c r="E38" s="57">
        <v>36240.607451858799</v>
      </c>
      <c r="F38" s="57">
        <v>30653.276399999999</v>
      </c>
      <c r="G38" s="57">
        <v>36240.607451858799</v>
      </c>
    </row>
    <row r="39" spans="1:7" ht="11.25" customHeight="1" x14ac:dyDescent="0.2">
      <c r="A39" s="67">
        <v>44593</v>
      </c>
      <c r="B39" s="57">
        <v>0</v>
      </c>
      <c r="C39" s="57">
        <v>34619.504399999991</v>
      </c>
      <c r="D39" s="57">
        <v>0</v>
      </c>
      <c r="E39" s="57">
        <v>40929.780319936646</v>
      </c>
      <c r="F39" s="57">
        <v>34619.504399999991</v>
      </c>
      <c r="G39" s="57">
        <v>40929.780319936646</v>
      </c>
    </row>
    <row r="40" spans="1:7" ht="11.25" customHeight="1" x14ac:dyDescent="0.2">
      <c r="A40" s="67">
        <v>44621</v>
      </c>
      <c r="B40" s="57">
        <v>0</v>
      </c>
      <c r="C40" s="57">
        <v>35582.731199999995</v>
      </c>
      <c r="D40" s="57">
        <v>0</v>
      </c>
      <c r="E40" s="57">
        <v>42068.579445041265</v>
      </c>
      <c r="F40" s="57">
        <v>35582.731199999995</v>
      </c>
      <c r="G40" s="57">
        <v>42068.579445041265</v>
      </c>
    </row>
    <row r="41" spans="1:7" ht="11.25" customHeight="1" x14ac:dyDescent="0.2">
      <c r="A41" s="67">
        <v>44652</v>
      </c>
      <c r="B41" s="57">
        <v>0</v>
      </c>
      <c r="C41" s="57">
        <v>36375.976799999997</v>
      </c>
      <c r="D41" s="57">
        <v>0</v>
      </c>
      <c r="E41" s="57">
        <v>43006.41401865684</v>
      </c>
      <c r="F41" s="57">
        <v>36375.976799999997</v>
      </c>
      <c r="G41" s="57">
        <v>43006.41401865684</v>
      </c>
    </row>
    <row r="42" spans="1:7" ht="11.25" customHeight="1" x14ac:dyDescent="0.2">
      <c r="A42" s="63" t="s">
        <v>29</v>
      </c>
      <c r="B42" s="57">
        <v>0</v>
      </c>
      <c r="C42" s="57">
        <v>352855.42291999987</v>
      </c>
      <c r="D42" s="57">
        <v>0</v>
      </c>
      <c r="E42" s="57">
        <v>417166.68185989338</v>
      </c>
      <c r="F42" s="57">
        <v>352855.42291999987</v>
      </c>
      <c r="G42" s="57">
        <v>417166.68185989338</v>
      </c>
    </row>
    <row r="43" spans="1:7" ht="11.25" customHeight="1" x14ac:dyDescent="0.2">
      <c r="A43" s="64" t="s">
        <v>25</v>
      </c>
      <c r="B43" s="57">
        <v>0</v>
      </c>
      <c r="C43" s="57">
        <v>352855.42291999987</v>
      </c>
      <c r="D43" s="57">
        <v>0</v>
      </c>
      <c r="E43" s="57">
        <v>417166.68185989338</v>
      </c>
      <c r="F43" s="57">
        <v>352855.42291999987</v>
      </c>
      <c r="G43" s="57">
        <v>417166.68185989338</v>
      </c>
    </row>
    <row r="44" spans="1:7" ht="11.25" customHeight="1" x14ac:dyDescent="0.2">
      <c r="A44" s="65" t="s">
        <v>25</v>
      </c>
      <c r="B44" s="57">
        <v>0</v>
      </c>
      <c r="C44" s="57">
        <v>352855.42291999987</v>
      </c>
      <c r="D44" s="57">
        <v>0</v>
      </c>
      <c r="E44" s="57">
        <v>417166.68185989338</v>
      </c>
      <c r="F44" s="57">
        <v>352855.42291999987</v>
      </c>
      <c r="G44" s="57">
        <v>417166.68185989338</v>
      </c>
    </row>
    <row r="45" spans="1:7" ht="11.25" customHeight="1" x14ac:dyDescent="0.2">
      <c r="A45" s="66" t="s">
        <v>25</v>
      </c>
      <c r="B45" s="57">
        <v>0</v>
      </c>
      <c r="C45" s="57">
        <v>352855.42291999987</v>
      </c>
      <c r="D45" s="57">
        <v>0</v>
      </c>
      <c r="E45" s="57">
        <v>417166.68185989338</v>
      </c>
      <c r="F45" s="57">
        <v>352855.42291999987</v>
      </c>
      <c r="G45" s="57">
        <v>417166.68185989338</v>
      </c>
    </row>
    <row r="46" spans="1:7" ht="11.25" customHeight="1" x14ac:dyDescent="0.2">
      <c r="A46" s="67">
        <v>44317</v>
      </c>
      <c r="B46" s="57">
        <v>0</v>
      </c>
      <c r="C46" s="57">
        <v>27490.246559999996</v>
      </c>
      <c r="D46" s="57">
        <v>0</v>
      </c>
      <c r="E46" s="57">
        <v>32500.605619275397</v>
      </c>
      <c r="F46" s="57">
        <v>27490.246559999996</v>
      </c>
      <c r="G46" s="57">
        <v>32500.605619275397</v>
      </c>
    </row>
    <row r="47" spans="1:7" ht="11.25" customHeight="1" x14ac:dyDescent="0.2">
      <c r="A47" s="67">
        <v>44348</v>
      </c>
      <c r="B47" s="57">
        <v>0</v>
      </c>
      <c r="C47" s="57">
        <v>25973.471159999997</v>
      </c>
      <c r="D47" s="57">
        <v>0</v>
      </c>
      <c r="E47" s="57">
        <v>30707.383467526943</v>
      </c>
      <c r="F47" s="57">
        <v>25973.471159999997</v>
      </c>
      <c r="G47" s="57">
        <v>30707.383467526943</v>
      </c>
    </row>
    <row r="48" spans="1:7" ht="11.25" customHeight="1" x14ac:dyDescent="0.2">
      <c r="A48" s="67">
        <v>44378</v>
      </c>
      <c r="B48" s="57">
        <v>0</v>
      </c>
      <c r="C48" s="57">
        <v>25333.636019999998</v>
      </c>
      <c r="D48" s="57">
        <v>0</v>
      </c>
      <c r="E48" s="57">
        <v>29950.932283973289</v>
      </c>
      <c r="F48" s="57">
        <v>25333.636019999998</v>
      </c>
      <c r="G48" s="57">
        <v>29950.932283973289</v>
      </c>
    </row>
    <row r="49" spans="1:7" ht="11.25" customHeight="1" x14ac:dyDescent="0.2">
      <c r="A49" s="67">
        <v>44409</v>
      </c>
      <c r="B49" s="57">
        <v>0</v>
      </c>
      <c r="C49" s="57">
        <v>25704.693909999991</v>
      </c>
      <c r="D49" s="57">
        <v>0</v>
      </c>
      <c r="E49" s="57">
        <v>30389.61900577075</v>
      </c>
      <c r="F49" s="57">
        <v>25704.693909999991</v>
      </c>
      <c r="G49" s="57">
        <v>30389.61900577075</v>
      </c>
    </row>
    <row r="50" spans="1:7" ht="11.25" customHeight="1" x14ac:dyDescent="0.2">
      <c r="A50" s="67">
        <v>44440</v>
      </c>
      <c r="B50" s="57">
        <v>0</v>
      </c>
      <c r="C50" s="57">
        <v>26476.157259999993</v>
      </c>
      <c r="D50" s="57">
        <v>0</v>
      </c>
      <c r="E50" s="57">
        <v>31301.688893297978</v>
      </c>
      <c r="F50" s="57">
        <v>26476.157259999993</v>
      </c>
      <c r="G50" s="57">
        <v>31301.688893297978</v>
      </c>
    </row>
    <row r="51" spans="1:7" ht="11.25" customHeight="1" x14ac:dyDescent="0.2">
      <c r="A51" s="67">
        <v>44470</v>
      </c>
      <c r="B51" s="57">
        <v>0</v>
      </c>
      <c r="C51" s="57">
        <v>26775.444359999994</v>
      </c>
      <c r="D51" s="57">
        <v>0</v>
      </c>
      <c r="E51" s="57">
        <v>31655.523915577847</v>
      </c>
      <c r="F51" s="57">
        <v>26775.444359999994</v>
      </c>
      <c r="G51" s="57">
        <v>31655.523915577847</v>
      </c>
    </row>
    <row r="52" spans="1:7" ht="11.25" customHeight="1" x14ac:dyDescent="0.2">
      <c r="A52" s="67">
        <v>44501</v>
      </c>
      <c r="B52" s="57">
        <v>0</v>
      </c>
      <c r="C52" s="57">
        <v>31498.950279999994</v>
      </c>
      <c r="D52" s="57">
        <v>0</v>
      </c>
      <c r="E52" s="57">
        <v>37239.933742938541</v>
      </c>
      <c r="F52" s="57">
        <v>31498.950279999994</v>
      </c>
      <c r="G52" s="57">
        <v>37239.933742938541</v>
      </c>
    </row>
    <row r="53" spans="1:7" ht="11.25" customHeight="1" x14ac:dyDescent="0.2">
      <c r="A53" s="67">
        <v>44531</v>
      </c>
      <c r="B53" s="57">
        <v>0</v>
      </c>
      <c r="C53" s="57">
        <v>30565.639439999992</v>
      </c>
      <c r="D53" s="57">
        <v>0</v>
      </c>
      <c r="E53" s="57">
        <v>36136.518120061912</v>
      </c>
      <c r="F53" s="57">
        <v>30565.639439999992</v>
      </c>
      <c r="G53" s="57">
        <v>36136.518120061912</v>
      </c>
    </row>
    <row r="54" spans="1:7" ht="11.25" customHeight="1" x14ac:dyDescent="0.2">
      <c r="A54" s="67">
        <v>44562</v>
      </c>
      <c r="B54" s="57">
        <v>0</v>
      </c>
      <c r="C54" s="57">
        <v>29777.032459999991</v>
      </c>
      <c r="D54" s="57">
        <v>0</v>
      </c>
      <c r="E54" s="57">
        <v>35204.180012811848</v>
      </c>
      <c r="F54" s="57">
        <v>29777.032459999991</v>
      </c>
      <c r="G54" s="57">
        <v>35204.180012811848</v>
      </c>
    </row>
    <row r="55" spans="1:7" ht="11.25" customHeight="1" x14ac:dyDescent="0.2">
      <c r="A55" s="67">
        <v>44593</v>
      </c>
      <c r="B55" s="57">
        <v>0</v>
      </c>
      <c r="C55" s="57">
        <v>31838.626609999992</v>
      </c>
      <c r="D55" s="57">
        <v>0</v>
      </c>
      <c r="E55" s="57">
        <v>37641.519316768798</v>
      </c>
      <c r="F55" s="57">
        <v>31838.626609999992</v>
      </c>
      <c r="G55" s="57">
        <v>37641.519316768798</v>
      </c>
    </row>
    <row r="56" spans="1:7" ht="11.25" customHeight="1" x14ac:dyDescent="0.2">
      <c r="A56" s="67">
        <v>44621</v>
      </c>
      <c r="B56" s="57">
        <v>0</v>
      </c>
      <c r="C56" s="57">
        <v>35538.454419999995</v>
      </c>
      <c r="D56" s="57">
        <v>0</v>
      </c>
      <c r="E56" s="57">
        <v>42015.675956273211</v>
      </c>
      <c r="F56" s="57">
        <v>35538.454419999995</v>
      </c>
      <c r="G56" s="57">
        <v>42015.675956273211</v>
      </c>
    </row>
    <row r="57" spans="1:7" ht="11.25" customHeight="1" x14ac:dyDescent="0.2">
      <c r="A57" s="67">
        <v>44652</v>
      </c>
      <c r="B57" s="57">
        <v>0</v>
      </c>
      <c r="C57" s="57">
        <v>35883.070439999996</v>
      </c>
      <c r="D57" s="57">
        <v>0</v>
      </c>
      <c r="E57" s="57">
        <v>42423.101525616832</v>
      </c>
      <c r="F57" s="57">
        <v>35883.070439999996</v>
      </c>
      <c r="G57" s="57">
        <v>42423.101525616832</v>
      </c>
    </row>
    <row r="58" spans="1:7" ht="11.25" customHeight="1" x14ac:dyDescent="0.2">
      <c r="A58" s="63" t="s">
        <v>30</v>
      </c>
      <c r="B58" s="57">
        <v>0</v>
      </c>
      <c r="C58" s="57">
        <v>29338.569599999988</v>
      </c>
      <c r="D58" s="57">
        <v>0</v>
      </c>
      <c r="E58" s="57">
        <v>34686.996880731887</v>
      </c>
      <c r="F58" s="57">
        <v>29338.569599999988</v>
      </c>
      <c r="G58" s="57">
        <v>34686.996880731887</v>
      </c>
    </row>
    <row r="59" spans="1:7" ht="11.25" customHeight="1" x14ac:dyDescent="0.2">
      <c r="A59" s="64" t="s">
        <v>25</v>
      </c>
      <c r="B59" s="57">
        <v>0</v>
      </c>
      <c r="C59" s="57">
        <v>29338.569599999988</v>
      </c>
      <c r="D59" s="57">
        <v>0</v>
      </c>
      <c r="E59" s="57">
        <v>34686.996880731887</v>
      </c>
      <c r="F59" s="57">
        <v>29338.569599999988</v>
      </c>
      <c r="G59" s="57">
        <v>34686.996880731887</v>
      </c>
    </row>
    <row r="60" spans="1:7" ht="11.25" customHeight="1" x14ac:dyDescent="0.2">
      <c r="A60" s="65" t="s">
        <v>25</v>
      </c>
      <c r="B60" s="57">
        <v>0</v>
      </c>
      <c r="C60" s="57">
        <v>29338.569599999988</v>
      </c>
      <c r="D60" s="57">
        <v>0</v>
      </c>
      <c r="E60" s="57">
        <v>34686.996880731887</v>
      </c>
      <c r="F60" s="57">
        <v>29338.569599999988</v>
      </c>
      <c r="G60" s="57">
        <v>34686.996880731887</v>
      </c>
    </row>
    <row r="61" spans="1:7" ht="11.25" customHeight="1" x14ac:dyDescent="0.2">
      <c r="A61" s="66" t="s">
        <v>25</v>
      </c>
      <c r="B61" s="57">
        <v>0</v>
      </c>
      <c r="C61" s="57">
        <v>29338.569599999988</v>
      </c>
      <c r="D61" s="57">
        <v>0</v>
      </c>
      <c r="E61" s="57">
        <v>34686.996880731887</v>
      </c>
      <c r="F61" s="57">
        <v>29338.569599999988</v>
      </c>
      <c r="G61" s="57">
        <v>34686.996880731887</v>
      </c>
    </row>
    <row r="62" spans="1:7" ht="11.25" customHeight="1" x14ac:dyDescent="0.2">
      <c r="A62" s="67">
        <v>44317</v>
      </c>
      <c r="B62" s="57">
        <v>0</v>
      </c>
      <c r="C62" s="57">
        <v>2267.5302399999987</v>
      </c>
      <c r="D62" s="57">
        <v>0</v>
      </c>
      <c r="E62" s="57">
        <v>2680.9014697787188</v>
      </c>
      <c r="F62" s="57">
        <v>2267.5302399999987</v>
      </c>
      <c r="G62" s="57">
        <v>2680.9014697787188</v>
      </c>
    </row>
    <row r="63" spans="1:7" ht="11.25" customHeight="1" x14ac:dyDescent="0.2">
      <c r="A63" s="67">
        <v>44348</v>
      </c>
      <c r="B63" s="57">
        <v>0</v>
      </c>
      <c r="C63" s="57">
        <v>1888.0588799999989</v>
      </c>
      <c r="D63" s="57">
        <v>0</v>
      </c>
      <c r="E63" s="57">
        <v>2232.2524026937613</v>
      </c>
      <c r="F63" s="57">
        <v>1888.0588799999989</v>
      </c>
      <c r="G63" s="57">
        <v>2232.2524026937613</v>
      </c>
    </row>
    <row r="64" spans="1:7" ht="11.25" customHeight="1" x14ac:dyDescent="0.2">
      <c r="A64" s="67">
        <v>44378</v>
      </c>
      <c r="B64" s="57">
        <v>0</v>
      </c>
      <c r="C64" s="57">
        <v>1730.647999999999</v>
      </c>
      <c r="D64" s="57">
        <v>0</v>
      </c>
      <c r="E64" s="57">
        <v>2046.1454868489866</v>
      </c>
      <c r="F64" s="57">
        <v>1730.647999999999</v>
      </c>
      <c r="G64" s="57">
        <v>2046.1454868489866</v>
      </c>
    </row>
    <row r="65" spans="1:7" ht="11.25" customHeight="1" x14ac:dyDescent="0.2">
      <c r="A65" s="67">
        <v>44409</v>
      </c>
      <c r="B65" s="57">
        <v>0</v>
      </c>
      <c r="C65" s="57">
        <v>1734.4979199999991</v>
      </c>
      <c r="D65" s="57">
        <v>0</v>
      </c>
      <c r="E65" s="57">
        <v>2050.6972480579266</v>
      </c>
      <c r="F65" s="57">
        <v>1734.4979199999991</v>
      </c>
      <c r="G65" s="57">
        <v>2050.6972480579266</v>
      </c>
    </row>
    <row r="66" spans="1:7" ht="11.25" customHeight="1" x14ac:dyDescent="0.2">
      <c r="A66" s="67">
        <v>44440</v>
      </c>
      <c r="B66" s="57">
        <v>0</v>
      </c>
      <c r="C66" s="57">
        <v>1876.5091199999988</v>
      </c>
      <c r="D66" s="57">
        <v>0</v>
      </c>
      <c r="E66" s="57">
        <v>2218.5971190669411</v>
      </c>
      <c r="F66" s="57">
        <v>1876.5091199999988</v>
      </c>
      <c r="G66" s="57">
        <v>2218.5971190669411</v>
      </c>
    </row>
    <row r="67" spans="1:7" ht="11.25" customHeight="1" x14ac:dyDescent="0.2">
      <c r="A67" s="67">
        <v>44470</v>
      </c>
      <c r="B67" s="57">
        <v>0</v>
      </c>
      <c r="C67" s="57">
        <v>1925.3231999999989</v>
      </c>
      <c r="D67" s="57">
        <v>0</v>
      </c>
      <c r="E67" s="57">
        <v>2276.3100159048222</v>
      </c>
      <c r="F67" s="57">
        <v>1925.3231999999989</v>
      </c>
      <c r="G67" s="57">
        <v>2276.3100159048222</v>
      </c>
    </row>
    <row r="68" spans="1:7" ht="11.25" customHeight="1" x14ac:dyDescent="0.2">
      <c r="A68" s="67">
        <v>44501</v>
      </c>
      <c r="B68" s="57">
        <v>0</v>
      </c>
      <c r="C68" s="57">
        <v>3290.0835199999979</v>
      </c>
      <c r="D68" s="57">
        <v>0</v>
      </c>
      <c r="E68" s="57">
        <v>3889.8664233305835</v>
      </c>
      <c r="F68" s="57">
        <v>3290.0835199999979</v>
      </c>
      <c r="G68" s="57">
        <v>3889.8664233305835</v>
      </c>
    </row>
    <row r="69" spans="1:7" ht="11.25" customHeight="1" x14ac:dyDescent="0.2">
      <c r="A69" s="67">
        <v>44531</v>
      </c>
      <c r="B69" s="57">
        <v>0</v>
      </c>
      <c r="C69" s="57">
        <v>2761.7727999999988</v>
      </c>
      <c r="D69" s="57">
        <v>0</v>
      </c>
      <c r="E69" s="57">
        <v>3265.2445502622659</v>
      </c>
      <c r="F69" s="57">
        <v>2761.7727999999988</v>
      </c>
      <c r="G69" s="57">
        <v>3265.2445502622659</v>
      </c>
    </row>
    <row r="70" spans="1:7" ht="11.25" customHeight="1" x14ac:dyDescent="0.2">
      <c r="A70" s="67">
        <v>44562</v>
      </c>
      <c r="B70" s="57">
        <v>0</v>
      </c>
      <c r="C70" s="57">
        <v>2559.7609599999982</v>
      </c>
      <c r="D70" s="57">
        <v>0</v>
      </c>
      <c r="E70" s="57">
        <v>3026.405910223355</v>
      </c>
      <c r="F70" s="57">
        <v>2559.7609599999982</v>
      </c>
      <c r="G70" s="57">
        <v>3026.405910223355</v>
      </c>
    </row>
    <row r="71" spans="1:7" ht="11.25" customHeight="1" x14ac:dyDescent="0.2">
      <c r="A71" s="67">
        <v>44593</v>
      </c>
      <c r="B71" s="57">
        <v>0</v>
      </c>
      <c r="C71" s="57">
        <v>2614.0956799999985</v>
      </c>
      <c r="D71" s="57">
        <v>0</v>
      </c>
      <c r="E71" s="57">
        <v>3090.6458608702828</v>
      </c>
      <c r="F71" s="57">
        <v>2614.0956799999985</v>
      </c>
      <c r="G71" s="57">
        <v>3090.6458608702828</v>
      </c>
    </row>
    <row r="72" spans="1:7" ht="11.25" customHeight="1" x14ac:dyDescent="0.2">
      <c r="A72" s="67">
        <v>44621</v>
      </c>
      <c r="B72" s="57">
        <v>0</v>
      </c>
      <c r="C72" s="57">
        <v>3405.2179199999982</v>
      </c>
      <c r="D72" s="57">
        <v>0</v>
      </c>
      <c r="E72" s="57">
        <v>4025.9898481639789</v>
      </c>
      <c r="F72" s="57">
        <v>3405.2179199999982</v>
      </c>
      <c r="G72" s="57">
        <v>4025.9898481639789</v>
      </c>
    </row>
    <row r="73" spans="1:7" ht="11.25" customHeight="1" x14ac:dyDescent="0.2">
      <c r="A73" s="67">
        <v>44652</v>
      </c>
      <c r="B73" s="57">
        <v>0</v>
      </c>
      <c r="C73" s="57">
        <v>3285.0713599999976</v>
      </c>
      <c r="D73" s="57">
        <v>0</v>
      </c>
      <c r="E73" s="57">
        <v>3883.9405455302654</v>
      </c>
      <c r="F73" s="57">
        <v>3285.0713599999976</v>
      </c>
      <c r="G73" s="57">
        <v>3883.9405455302654</v>
      </c>
    </row>
    <row r="74" spans="1:7" ht="11.25" customHeight="1" x14ac:dyDescent="0.2">
      <c r="A74" s="63" t="s">
        <v>31</v>
      </c>
      <c r="B74" s="57">
        <v>0</v>
      </c>
      <c r="C74" s="57">
        <v>-2.9525324407586598E-12</v>
      </c>
      <c r="D74" s="57">
        <v>0</v>
      </c>
      <c r="E74" s="57">
        <v>-5.9050648815173196E-12</v>
      </c>
      <c r="F74" s="57">
        <v>-2.9525324407586598E-12</v>
      </c>
      <c r="G74" s="57">
        <v>-5.9050648815173196E-12</v>
      </c>
    </row>
    <row r="75" spans="1:7" ht="11.25" customHeight="1" x14ac:dyDescent="0.2">
      <c r="A75" s="64" t="s">
        <v>25</v>
      </c>
      <c r="B75" s="57">
        <v>0</v>
      </c>
      <c r="C75" s="57">
        <v>-2.9525324407586598E-12</v>
      </c>
      <c r="D75" s="57">
        <v>0</v>
      </c>
      <c r="E75" s="57">
        <v>-5.9050648815173196E-12</v>
      </c>
      <c r="F75" s="57">
        <v>-2.9525324407586598E-12</v>
      </c>
      <c r="G75" s="57">
        <v>-5.9050648815173196E-12</v>
      </c>
    </row>
    <row r="76" spans="1:7" ht="11.25" customHeight="1" x14ac:dyDescent="0.2">
      <c r="A76" s="65" t="s">
        <v>25</v>
      </c>
      <c r="B76" s="57">
        <v>0</v>
      </c>
      <c r="C76" s="57">
        <v>-2.9525324407586598E-12</v>
      </c>
      <c r="D76" s="57">
        <v>0</v>
      </c>
      <c r="E76" s="57">
        <v>-5.9050648815173196E-12</v>
      </c>
      <c r="F76" s="57">
        <v>-2.9525324407586598E-12</v>
      </c>
      <c r="G76" s="57">
        <v>-5.9050648815173196E-12</v>
      </c>
    </row>
    <row r="77" spans="1:7" ht="11.25" customHeight="1" x14ac:dyDescent="0.2">
      <c r="A77" s="66" t="s">
        <v>25</v>
      </c>
      <c r="B77" s="57">
        <v>0</v>
      </c>
      <c r="C77" s="57">
        <v>-2.9525324407586598E-12</v>
      </c>
      <c r="D77" s="57">
        <v>0</v>
      </c>
      <c r="E77" s="57">
        <v>-5.9050648815173196E-12</v>
      </c>
      <c r="F77" s="57">
        <v>-2.9525324407586598E-12</v>
      </c>
      <c r="G77" s="57">
        <v>-5.9050648815173196E-12</v>
      </c>
    </row>
    <row r="78" spans="1:7" ht="11.25" customHeight="1" x14ac:dyDescent="0.2">
      <c r="A78" s="67">
        <v>44317</v>
      </c>
      <c r="B78" s="57">
        <v>0</v>
      </c>
      <c r="C78" s="57">
        <v>-1.8391688172414433E-13</v>
      </c>
      <c r="D78" s="57">
        <v>0</v>
      </c>
      <c r="E78" s="57">
        <v>-3.6783376344828867E-13</v>
      </c>
      <c r="F78" s="57">
        <v>-1.8391688172414433E-13</v>
      </c>
      <c r="G78" s="57">
        <v>-3.6783376344828867E-13</v>
      </c>
    </row>
    <row r="79" spans="1:7" ht="11.25" customHeight="1" x14ac:dyDescent="0.2">
      <c r="A79" s="67">
        <v>44348</v>
      </c>
      <c r="B79" s="57">
        <v>0</v>
      </c>
      <c r="C79" s="57">
        <v>-1.7018919606925921E-13</v>
      </c>
      <c r="D79" s="57">
        <v>0</v>
      </c>
      <c r="E79" s="57">
        <v>-3.4037839213851842E-13</v>
      </c>
      <c r="F79" s="57">
        <v>-1.7018919606925921E-13</v>
      </c>
      <c r="G79" s="57">
        <v>-3.4037839213851842E-13</v>
      </c>
    </row>
    <row r="80" spans="1:7" ht="11.25" customHeight="1" x14ac:dyDescent="0.2">
      <c r="A80" s="67">
        <v>44378</v>
      </c>
      <c r="B80" s="57">
        <v>0</v>
      </c>
      <c r="C80" s="57">
        <v>-1.5793943930475508E-13</v>
      </c>
      <c r="D80" s="57">
        <v>0</v>
      </c>
      <c r="E80" s="57">
        <v>-3.1587887860951016E-13</v>
      </c>
      <c r="F80" s="57">
        <v>-1.5793943930475508E-13</v>
      </c>
      <c r="G80" s="57">
        <v>-3.1587887860951016E-13</v>
      </c>
    </row>
    <row r="81" spans="1:7" ht="11.25" customHeight="1" x14ac:dyDescent="0.2">
      <c r="A81" s="67">
        <v>44409</v>
      </c>
      <c r="B81" s="57">
        <v>0</v>
      </c>
      <c r="C81" s="57">
        <v>-1.5216983229038306E-13</v>
      </c>
      <c r="D81" s="57">
        <v>0</v>
      </c>
      <c r="E81" s="57">
        <v>-3.0433966458076612E-13</v>
      </c>
      <c r="F81" s="57">
        <v>-1.5216983229038306E-13</v>
      </c>
      <c r="G81" s="57">
        <v>-3.0433966458076612E-13</v>
      </c>
    </row>
    <row r="82" spans="1:7" ht="11.25" customHeight="1" x14ac:dyDescent="0.2">
      <c r="A82" s="67">
        <v>44440</v>
      </c>
      <c r="B82" s="57">
        <v>0</v>
      </c>
      <c r="C82" s="57">
        <v>-1.624300693947589E-13</v>
      </c>
      <c r="D82" s="57">
        <v>0</v>
      </c>
      <c r="E82" s="57">
        <v>-3.248601387895178E-13</v>
      </c>
      <c r="F82" s="57">
        <v>-1.624300693947589E-13</v>
      </c>
      <c r="G82" s="57">
        <v>-3.248601387895178E-13</v>
      </c>
    </row>
    <row r="83" spans="1:7" ht="11.25" customHeight="1" x14ac:dyDescent="0.2">
      <c r="A83" s="67">
        <v>44470</v>
      </c>
      <c r="B83" s="57">
        <v>0</v>
      </c>
      <c r="C83" s="57">
        <v>-1.8630430531629826E-13</v>
      </c>
      <c r="D83" s="57">
        <v>0</v>
      </c>
      <c r="E83" s="57">
        <v>-3.7260861063259652E-13</v>
      </c>
      <c r="F83" s="57">
        <v>-1.8630430531629826E-13</v>
      </c>
      <c r="G83" s="57">
        <v>-3.7260861063259652E-13</v>
      </c>
    </row>
    <row r="84" spans="1:7" ht="11.25" customHeight="1" x14ac:dyDescent="0.2">
      <c r="A84" s="67">
        <v>44501</v>
      </c>
      <c r="B84" s="57">
        <v>0</v>
      </c>
      <c r="C84" s="57">
        <v>-3.0266278372437225E-13</v>
      </c>
      <c r="D84" s="57">
        <v>0</v>
      </c>
      <c r="E84" s="57">
        <v>-6.053255674487445E-13</v>
      </c>
      <c r="F84" s="57">
        <v>-3.0266278372437225E-13</v>
      </c>
      <c r="G84" s="57">
        <v>-6.053255674487445E-13</v>
      </c>
    </row>
    <row r="85" spans="1:7" ht="11.25" customHeight="1" x14ac:dyDescent="0.2">
      <c r="A85" s="67">
        <v>44531</v>
      </c>
      <c r="B85" s="57">
        <v>0</v>
      </c>
      <c r="C85" s="57">
        <v>-2.2939161681279074E-13</v>
      </c>
      <c r="D85" s="57">
        <v>0</v>
      </c>
      <c r="E85" s="57">
        <v>-4.5878323362558147E-13</v>
      </c>
      <c r="F85" s="57">
        <v>-2.2939161681279074E-13</v>
      </c>
      <c r="G85" s="57">
        <v>-4.5878323362558147E-13</v>
      </c>
    </row>
    <row r="86" spans="1:7" ht="11.25" customHeight="1" x14ac:dyDescent="0.2">
      <c r="A86" s="67">
        <v>44562</v>
      </c>
      <c r="B86" s="57">
        <v>0</v>
      </c>
      <c r="C86" s="57">
        <v>-2.359854534006445E-13</v>
      </c>
      <c r="D86" s="57">
        <v>0</v>
      </c>
      <c r="E86" s="57">
        <v>-4.7197090680128899E-13</v>
      </c>
      <c r="F86" s="57">
        <v>-2.359854534006445E-13</v>
      </c>
      <c r="G86" s="57">
        <v>-4.7197090680128899E-13</v>
      </c>
    </row>
    <row r="87" spans="1:7" ht="11.25" customHeight="1" x14ac:dyDescent="0.2">
      <c r="A87" s="67">
        <v>44593</v>
      </c>
      <c r="B87" s="57">
        <v>0</v>
      </c>
      <c r="C87" s="57">
        <v>-3.0735236578038894E-13</v>
      </c>
      <c r="D87" s="57">
        <v>0</v>
      </c>
      <c r="E87" s="57">
        <v>-6.1470473156077788E-13</v>
      </c>
      <c r="F87" s="57">
        <v>-3.0735236578038894E-13</v>
      </c>
      <c r="G87" s="57">
        <v>-6.1470473156077788E-13</v>
      </c>
    </row>
    <row r="88" spans="1:7" ht="11.25" customHeight="1" x14ac:dyDescent="0.2">
      <c r="A88" s="67">
        <v>44621</v>
      </c>
      <c r="B88" s="57">
        <v>0</v>
      </c>
      <c r="C88" s="57">
        <v>-4.6387071961362385E-13</v>
      </c>
      <c r="D88" s="57">
        <v>0</v>
      </c>
      <c r="E88" s="57">
        <v>-9.277414392272477E-13</v>
      </c>
      <c r="F88" s="57">
        <v>-4.6387071961362385E-13</v>
      </c>
      <c r="G88" s="57">
        <v>-9.277414392272477E-13</v>
      </c>
    </row>
    <row r="89" spans="1:7" ht="11.25" customHeight="1" x14ac:dyDescent="0.2">
      <c r="A89" s="67">
        <v>44652</v>
      </c>
      <c r="B89" s="57">
        <v>0</v>
      </c>
      <c r="C89" s="57">
        <v>-4.0031977732724047E-13</v>
      </c>
      <c r="D89" s="57">
        <v>0</v>
      </c>
      <c r="E89" s="57">
        <v>-8.0063955465448094E-13</v>
      </c>
      <c r="F89" s="57">
        <v>-4.0031977732724047E-13</v>
      </c>
      <c r="G89" s="57">
        <v>-8.0063955465448094E-13</v>
      </c>
    </row>
    <row r="90" spans="1:7" ht="11.25" customHeight="1" x14ac:dyDescent="0.2">
      <c r="A90" s="59" t="s">
        <v>706</v>
      </c>
      <c r="B90" s="57">
        <v>0</v>
      </c>
      <c r="C90" s="57">
        <v>26692.669583999999</v>
      </c>
      <c r="D90" s="57">
        <v>0</v>
      </c>
      <c r="E90" s="57">
        <v>31386.906619056448</v>
      </c>
      <c r="F90" s="57">
        <v>26692.669583999999</v>
      </c>
      <c r="G90" s="57">
        <v>31386.906619056448</v>
      </c>
    </row>
    <row r="91" spans="1:7" ht="11.25" customHeight="1" x14ac:dyDescent="0.2">
      <c r="A91" s="60" t="s">
        <v>41</v>
      </c>
      <c r="B91" s="57">
        <v>0</v>
      </c>
      <c r="C91" s="57">
        <v>26692.669583999999</v>
      </c>
      <c r="D91" s="57">
        <v>0</v>
      </c>
      <c r="E91" s="57">
        <v>31386.906619056448</v>
      </c>
      <c r="F91" s="57">
        <v>26692.669583999999</v>
      </c>
      <c r="G91" s="57">
        <v>31386.906619056448</v>
      </c>
    </row>
    <row r="92" spans="1:7" ht="11.25" customHeight="1" x14ac:dyDescent="0.2">
      <c r="A92" s="61" t="s">
        <v>23</v>
      </c>
      <c r="B92" s="57">
        <v>0</v>
      </c>
      <c r="C92" s="57">
        <v>26692.669583999999</v>
      </c>
      <c r="D92" s="57">
        <v>0</v>
      </c>
      <c r="E92" s="57">
        <v>31386.906619056448</v>
      </c>
      <c r="F92" s="57">
        <v>26692.669583999999</v>
      </c>
      <c r="G92" s="57">
        <v>31386.906619056448</v>
      </c>
    </row>
    <row r="93" spans="1:7" ht="11.25" customHeight="1" x14ac:dyDescent="0.2">
      <c r="A93" s="62" t="s">
        <v>42</v>
      </c>
      <c r="B93" s="57">
        <v>0</v>
      </c>
      <c r="C93" s="57">
        <v>26692.669583999999</v>
      </c>
      <c r="D93" s="57">
        <v>0</v>
      </c>
      <c r="E93" s="57">
        <v>31386.906619056448</v>
      </c>
      <c r="F93" s="57">
        <v>26692.669583999999</v>
      </c>
      <c r="G93" s="57">
        <v>31386.906619056448</v>
      </c>
    </row>
    <row r="94" spans="1:7" ht="11.25" customHeight="1" x14ac:dyDescent="0.2">
      <c r="A94" s="63" t="s">
        <v>50</v>
      </c>
      <c r="B94" s="57">
        <v>0</v>
      </c>
      <c r="C94" s="57">
        <v>26692.669583999999</v>
      </c>
      <c r="D94" s="57">
        <v>0</v>
      </c>
      <c r="E94" s="57">
        <v>31386.906619056448</v>
      </c>
      <c r="F94" s="57">
        <v>26692.669583999999</v>
      </c>
      <c r="G94" s="57">
        <v>31386.906619056448</v>
      </c>
    </row>
    <row r="95" spans="1:7" ht="11.25" customHeight="1" x14ac:dyDescent="0.2">
      <c r="A95" s="64" t="s">
        <v>52</v>
      </c>
      <c r="B95" s="57">
        <v>0</v>
      </c>
      <c r="C95" s="57">
        <v>26692.669583999999</v>
      </c>
      <c r="D95" s="57">
        <v>0</v>
      </c>
      <c r="E95" s="57">
        <v>31386.906619056448</v>
      </c>
      <c r="F95" s="57">
        <v>26692.669583999999</v>
      </c>
      <c r="G95" s="57">
        <v>31386.906619056448</v>
      </c>
    </row>
    <row r="96" spans="1:7" ht="11.25" customHeight="1" x14ac:dyDescent="0.2">
      <c r="A96" s="65" t="s">
        <v>25</v>
      </c>
      <c r="B96" s="57">
        <v>0</v>
      </c>
      <c r="C96" s="57">
        <v>26692.669583999999</v>
      </c>
      <c r="D96" s="57">
        <v>0</v>
      </c>
      <c r="E96" s="57">
        <v>31386.906619056448</v>
      </c>
      <c r="F96" s="57">
        <v>26692.669583999999</v>
      </c>
      <c r="G96" s="57">
        <v>31386.906619056448</v>
      </c>
    </row>
    <row r="97" spans="1:7" ht="11.25" customHeight="1" x14ac:dyDescent="0.2">
      <c r="A97" s="66" t="s">
        <v>25</v>
      </c>
      <c r="B97" s="57">
        <v>0</v>
      </c>
      <c r="C97" s="57">
        <v>26692.669583999999</v>
      </c>
      <c r="D97" s="57">
        <v>0</v>
      </c>
      <c r="E97" s="57">
        <v>31386.906619056448</v>
      </c>
      <c r="F97" s="57">
        <v>26692.669583999999</v>
      </c>
      <c r="G97" s="57">
        <v>31386.906619056448</v>
      </c>
    </row>
    <row r="98" spans="1:7" ht="11.25" customHeight="1" x14ac:dyDescent="0.2">
      <c r="A98" s="67">
        <v>44317</v>
      </c>
      <c r="B98" s="57">
        <v>0</v>
      </c>
      <c r="C98" s="57">
        <v>199.65815039999995</v>
      </c>
      <c r="D98" s="57">
        <v>0</v>
      </c>
      <c r="E98" s="57">
        <v>234.77051265395556</v>
      </c>
      <c r="F98" s="57">
        <v>199.65815039999995</v>
      </c>
      <c r="G98" s="57">
        <v>234.77051265395556</v>
      </c>
    </row>
    <row r="99" spans="1:7" ht="11.25" customHeight="1" x14ac:dyDescent="0.2">
      <c r="A99" s="67">
        <v>44348</v>
      </c>
      <c r="B99" s="57">
        <v>0</v>
      </c>
      <c r="C99" s="57">
        <v>198.49734720000001</v>
      </c>
      <c r="D99" s="57">
        <v>0</v>
      </c>
      <c r="E99" s="57">
        <v>233.40556781294424</v>
      </c>
      <c r="F99" s="57">
        <v>198.49734720000001</v>
      </c>
      <c r="G99" s="57">
        <v>233.40556781294424</v>
      </c>
    </row>
    <row r="100" spans="1:7" ht="11.25" customHeight="1" x14ac:dyDescent="0.2">
      <c r="A100" s="67">
        <v>44378</v>
      </c>
      <c r="B100" s="57">
        <v>0</v>
      </c>
      <c r="C100" s="57">
        <v>330.82891199999995</v>
      </c>
      <c r="D100" s="57">
        <v>0</v>
      </c>
      <c r="E100" s="57">
        <v>389.00927968824033</v>
      </c>
      <c r="F100" s="57">
        <v>330.82891199999995</v>
      </c>
      <c r="G100" s="57">
        <v>389.00927968824033</v>
      </c>
    </row>
    <row r="101" spans="1:7" ht="11.25" customHeight="1" x14ac:dyDescent="0.2">
      <c r="A101" s="67">
        <v>44409</v>
      </c>
      <c r="B101" s="57">
        <v>0</v>
      </c>
      <c r="C101" s="57">
        <v>386.54746560000007</v>
      </c>
      <c r="D101" s="57">
        <v>0</v>
      </c>
      <c r="E101" s="57">
        <v>454.52663205678618</v>
      </c>
      <c r="F101" s="57">
        <v>386.54746560000007</v>
      </c>
      <c r="G101" s="57">
        <v>454.52663205678618</v>
      </c>
    </row>
    <row r="102" spans="1:7" ht="11.25" customHeight="1" x14ac:dyDescent="0.2">
      <c r="A102" s="67">
        <v>44440</v>
      </c>
      <c r="B102" s="57">
        <v>0</v>
      </c>
      <c r="C102" s="57">
        <v>867.70039200000008</v>
      </c>
      <c r="D102" s="57">
        <v>0</v>
      </c>
      <c r="E102" s="57">
        <v>1020.2962686559989</v>
      </c>
      <c r="F102" s="57">
        <v>867.70039200000008</v>
      </c>
      <c r="G102" s="57">
        <v>1020.2962686559989</v>
      </c>
    </row>
    <row r="103" spans="1:7" ht="11.25" customHeight="1" x14ac:dyDescent="0.2">
      <c r="A103" s="67">
        <v>44470</v>
      </c>
      <c r="B103" s="57">
        <v>0</v>
      </c>
      <c r="C103" s="57">
        <v>4085.4468623999996</v>
      </c>
      <c r="D103" s="57">
        <v>0</v>
      </c>
      <c r="E103" s="57">
        <v>4803.9233679395156</v>
      </c>
      <c r="F103" s="57">
        <v>4085.4468623999996</v>
      </c>
      <c r="G103" s="57">
        <v>4803.9233679395156</v>
      </c>
    </row>
    <row r="104" spans="1:7" ht="11.25" customHeight="1" x14ac:dyDescent="0.2">
      <c r="A104" s="67">
        <v>44501</v>
      </c>
      <c r="B104" s="57">
        <v>0</v>
      </c>
      <c r="C104" s="57">
        <v>3500.4020495999998</v>
      </c>
      <c r="D104" s="57">
        <v>0</v>
      </c>
      <c r="E104" s="57">
        <v>4115.9911680697851</v>
      </c>
      <c r="F104" s="57">
        <v>3500.4020495999998</v>
      </c>
      <c r="G104" s="57">
        <v>4115.9911680697851</v>
      </c>
    </row>
    <row r="105" spans="1:7" ht="11.25" customHeight="1" x14ac:dyDescent="0.2">
      <c r="A105" s="67">
        <v>44531</v>
      </c>
      <c r="B105" s="57">
        <v>0</v>
      </c>
      <c r="C105" s="57">
        <v>3442.9422912000005</v>
      </c>
      <c r="D105" s="57">
        <v>0</v>
      </c>
      <c r="E105" s="57">
        <v>4048.4263984397235</v>
      </c>
      <c r="F105" s="57">
        <v>3442.9422912000005</v>
      </c>
      <c r="G105" s="57">
        <v>4048.4263984397235</v>
      </c>
    </row>
    <row r="106" spans="1:7" ht="11.25" customHeight="1" x14ac:dyDescent="0.2">
      <c r="A106" s="67">
        <v>44562</v>
      </c>
      <c r="B106" s="57">
        <v>0</v>
      </c>
      <c r="C106" s="57">
        <v>4795.2780192</v>
      </c>
      <c r="D106" s="57">
        <v>0</v>
      </c>
      <c r="E106" s="57">
        <v>5638.5871382179685</v>
      </c>
      <c r="F106" s="57">
        <v>4795.2780192</v>
      </c>
      <c r="G106" s="57">
        <v>5638.5871382179685</v>
      </c>
    </row>
    <row r="107" spans="1:7" ht="11.25" customHeight="1" x14ac:dyDescent="0.2">
      <c r="A107" s="67">
        <v>44593</v>
      </c>
      <c r="B107" s="57">
        <v>0</v>
      </c>
      <c r="C107" s="57">
        <v>3261.856992</v>
      </c>
      <c r="D107" s="57">
        <v>0</v>
      </c>
      <c r="E107" s="57">
        <v>3835.4950032419488</v>
      </c>
      <c r="F107" s="57">
        <v>3261.856992</v>
      </c>
      <c r="G107" s="57">
        <v>3835.4950032419488</v>
      </c>
    </row>
    <row r="108" spans="1:7" ht="11.25" customHeight="1" x14ac:dyDescent="0.2">
      <c r="A108" s="67">
        <v>44621</v>
      </c>
      <c r="B108" s="57">
        <v>0</v>
      </c>
      <c r="C108" s="57">
        <v>3573.5326512000001</v>
      </c>
      <c r="D108" s="57">
        <v>0</v>
      </c>
      <c r="E108" s="57">
        <v>4201.9826930535019</v>
      </c>
      <c r="F108" s="57">
        <v>3573.5326512000001</v>
      </c>
      <c r="G108" s="57">
        <v>4201.9826930535019</v>
      </c>
    </row>
    <row r="109" spans="1:7" ht="11.25" customHeight="1" x14ac:dyDescent="0.2">
      <c r="A109" s="67">
        <v>44652</v>
      </c>
      <c r="B109" s="57">
        <v>0</v>
      </c>
      <c r="C109" s="57">
        <v>2049.9784512000001</v>
      </c>
      <c r="D109" s="57">
        <v>0</v>
      </c>
      <c r="E109" s="57">
        <v>2410.492589226079</v>
      </c>
      <c r="F109" s="57">
        <v>2049.9784512000001</v>
      </c>
      <c r="G109" s="57">
        <v>2410.492589226079</v>
      </c>
    </row>
    <row r="110" spans="1:7" ht="11.25" customHeight="1" x14ac:dyDescent="0.2">
      <c r="A110" s="59" t="s">
        <v>705</v>
      </c>
      <c r="B110" s="57">
        <v>0</v>
      </c>
      <c r="C110" s="57">
        <v>229201.54462638288</v>
      </c>
      <c r="D110" s="57">
        <v>0</v>
      </c>
      <c r="E110" s="57">
        <v>138115.52653798956</v>
      </c>
      <c r="F110" s="57">
        <v>229201.54462638288</v>
      </c>
      <c r="G110" s="57">
        <v>138115.52653798956</v>
      </c>
    </row>
    <row r="111" spans="1:7" ht="11.25" customHeight="1" x14ac:dyDescent="0.2">
      <c r="A111" s="60" t="s">
        <v>41</v>
      </c>
      <c r="B111" s="57">
        <v>0</v>
      </c>
      <c r="C111" s="57">
        <v>229201.54462638288</v>
      </c>
      <c r="D111" s="57">
        <v>0</v>
      </c>
      <c r="E111" s="57">
        <v>138115.52653798956</v>
      </c>
      <c r="F111" s="57">
        <v>229201.54462638288</v>
      </c>
      <c r="G111" s="57">
        <v>138115.52653798956</v>
      </c>
    </row>
    <row r="112" spans="1:7" ht="11.25" customHeight="1" x14ac:dyDescent="0.2">
      <c r="A112" s="61" t="s">
        <v>39</v>
      </c>
      <c r="B112" s="57">
        <v>0</v>
      </c>
      <c r="C112" s="57">
        <v>673.27518638297875</v>
      </c>
      <c r="D112" s="57">
        <v>0</v>
      </c>
      <c r="E112" s="57">
        <v>848.90290819021186</v>
      </c>
      <c r="F112" s="57">
        <v>673.27518638297875</v>
      </c>
      <c r="G112" s="57">
        <v>848.90290819021186</v>
      </c>
    </row>
    <row r="113" spans="1:7" ht="11.25" customHeight="1" x14ac:dyDescent="0.2">
      <c r="A113" s="62" t="s">
        <v>42</v>
      </c>
      <c r="B113" s="57">
        <v>0</v>
      </c>
      <c r="C113" s="57">
        <v>673.27518638297875</v>
      </c>
      <c r="D113" s="57">
        <v>0</v>
      </c>
      <c r="E113" s="57">
        <v>848.90290819021186</v>
      </c>
      <c r="F113" s="57">
        <v>673.27518638297875</v>
      </c>
      <c r="G113" s="57">
        <v>848.90290819021186</v>
      </c>
    </row>
    <row r="114" spans="1:7" ht="11.25" customHeight="1" x14ac:dyDescent="0.2">
      <c r="A114" s="63" t="s">
        <v>25</v>
      </c>
      <c r="B114" s="57">
        <v>0</v>
      </c>
      <c r="C114" s="57">
        <v>673.27518638297875</v>
      </c>
      <c r="D114" s="57">
        <v>0</v>
      </c>
      <c r="E114" s="57">
        <v>848.90290819021186</v>
      </c>
      <c r="F114" s="57">
        <v>673.27518638297875</v>
      </c>
      <c r="G114" s="57">
        <v>848.90290819021186</v>
      </c>
    </row>
    <row r="115" spans="1:7" ht="11.25" customHeight="1" x14ac:dyDescent="0.2">
      <c r="A115" s="64" t="s">
        <v>25</v>
      </c>
      <c r="B115" s="57">
        <v>0</v>
      </c>
      <c r="C115" s="57">
        <v>673.27518638297875</v>
      </c>
      <c r="D115" s="57">
        <v>0</v>
      </c>
      <c r="E115" s="57">
        <v>848.90290819021186</v>
      </c>
      <c r="F115" s="57">
        <v>673.27518638297875</v>
      </c>
      <c r="G115" s="57">
        <v>848.90290819021186</v>
      </c>
    </row>
    <row r="116" spans="1:7" ht="11.25" customHeight="1" x14ac:dyDescent="0.2">
      <c r="A116" s="65" t="s">
        <v>25</v>
      </c>
      <c r="B116" s="57">
        <v>0</v>
      </c>
      <c r="C116" s="57">
        <v>673.27518638297875</v>
      </c>
      <c r="D116" s="57">
        <v>0</v>
      </c>
      <c r="E116" s="57">
        <v>848.90290819021186</v>
      </c>
      <c r="F116" s="57">
        <v>673.27518638297875</v>
      </c>
      <c r="G116" s="57">
        <v>848.90290819021186</v>
      </c>
    </row>
    <row r="117" spans="1:7" ht="11.25" customHeight="1" x14ac:dyDescent="0.2">
      <c r="A117" s="66" t="s">
        <v>37</v>
      </c>
      <c r="B117" s="57">
        <v>0</v>
      </c>
      <c r="C117" s="57">
        <v>518.01177063829789</v>
      </c>
      <c r="D117" s="57">
        <v>0</v>
      </c>
      <c r="E117" s="57">
        <v>647.65611474236505</v>
      </c>
      <c r="F117" s="57">
        <v>518.01177063829789</v>
      </c>
      <c r="G117" s="57">
        <v>647.65611474236505</v>
      </c>
    </row>
    <row r="118" spans="1:7" ht="11.25" customHeight="1" x14ac:dyDescent="0.2">
      <c r="A118" s="67">
        <v>44317</v>
      </c>
      <c r="B118" s="57">
        <v>0</v>
      </c>
      <c r="C118" s="57">
        <v>11.194507659574466</v>
      </c>
      <c r="D118" s="57">
        <v>0</v>
      </c>
      <c r="E118" s="57">
        <v>13.996190334285084</v>
      </c>
      <c r="F118" s="57">
        <v>11.194507659574466</v>
      </c>
      <c r="G118" s="57">
        <v>13.996190334285084</v>
      </c>
    </row>
    <row r="119" spans="1:7" ht="11.25" customHeight="1" x14ac:dyDescent="0.2">
      <c r="A119" s="67">
        <v>44348</v>
      </c>
      <c r="B119" s="57">
        <v>0</v>
      </c>
      <c r="C119" s="57">
        <v>9.7248376595744705</v>
      </c>
      <c r="D119" s="57">
        <v>0</v>
      </c>
      <c r="E119" s="57">
        <v>12.15870165911358</v>
      </c>
      <c r="F119" s="57">
        <v>9.7248376595744705</v>
      </c>
      <c r="G119" s="57">
        <v>12.15870165911358</v>
      </c>
    </row>
    <row r="120" spans="1:7" ht="11.25" customHeight="1" x14ac:dyDescent="0.2">
      <c r="A120" s="67">
        <v>44378</v>
      </c>
      <c r="B120" s="57">
        <v>0</v>
      </c>
      <c r="C120" s="57">
        <v>13.101951702127659</v>
      </c>
      <c r="D120" s="57">
        <v>0</v>
      </c>
      <c r="E120" s="57">
        <v>16.381016061635336</v>
      </c>
      <c r="F120" s="57">
        <v>13.101951702127659</v>
      </c>
      <c r="G120" s="57">
        <v>16.381016061635336</v>
      </c>
    </row>
    <row r="121" spans="1:7" ht="11.25" customHeight="1" x14ac:dyDescent="0.2">
      <c r="A121" s="67">
        <v>44409</v>
      </c>
      <c r="B121" s="57">
        <v>0</v>
      </c>
      <c r="C121" s="57">
        <v>11.538472978723403</v>
      </c>
      <c r="D121" s="57">
        <v>0</v>
      </c>
      <c r="E121" s="57">
        <v>14.426240875282669</v>
      </c>
      <c r="F121" s="57">
        <v>11.538472978723403</v>
      </c>
      <c r="G121" s="57">
        <v>14.426240875282669</v>
      </c>
    </row>
    <row r="122" spans="1:7" ht="11.25" customHeight="1" x14ac:dyDescent="0.2">
      <c r="A122" s="67">
        <v>44440</v>
      </c>
      <c r="B122" s="57">
        <v>0</v>
      </c>
      <c r="C122" s="57">
        <v>21.888702127659574</v>
      </c>
      <c r="D122" s="57">
        <v>0</v>
      </c>
      <c r="E122" s="57">
        <v>27.366852608937315</v>
      </c>
      <c r="F122" s="57">
        <v>21.888702127659574</v>
      </c>
      <c r="G122" s="57">
        <v>27.366852608937315</v>
      </c>
    </row>
    <row r="123" spans="1:7" ht="11.25" customHeight="1" x14ac:dyDescent="0.2">
      <c r="A123" s="67">
        <v>44470</v>
      </c>
      <c r="B123" s="57">
        <v>0</v>
      </c>
      <c r="C123" s="57">
        <v>76.39157042553191</v>
      </c>
      <c r="D123" s="57">
        <v>0</v>
      </c>
      <c r="E123" s="57">
        <v>95.510315605191238</v>
      </c>
      <c r="F123" s="57">
        <v>76.39157042553191</v>
      </c>
      <c r="G123" s="57">
        <v>95.510315605191238</v>
      </c>
    </row>
    <row r="124" spans="1:7" ht="11.25" customHeight="1" x14ac:dyDescent="0.2">
      <c r="A124" s="67">
        <v>44501</v>
      </c>
      <c r="B124" s="57">
        <v>0</v>
      </c>
      <c r="C124" s="57">
        <v>63.445966595744672</v>
      </c>
      <c r="D124" s="57">
        <v>0</v>
      </c>
      <c r="E124" s="57">
        <v>79.32477706219116</v>
      </c>
      <c r="F124" s="57">
        <v>63.445966595744672</v>
      </c>
      <c r="G124" s="57">
        <v>79.32477706219116</v>
      </c>
    </row>
    <row r="125" spans="1:7" ht="11.25" customHeight="1" x14ac:dyDescent="0.2">
      <c r="A125" s="67">
        <v>44531</v>
      </c>
      <c r="B125" s="57">
        <v>0</v>
      </c>
      <c r="C125" s="57">
        <v>73.389691276595755</v>
      </c>
      <c r="D125" s="57">
        <v>0</v>
      </c>
      <c r="E125" s="57">
        <v>91.757147247394101</v>
      </c>
      <c r="F125" s="57">
        <v>73.389691276595755</v>
      </c>
      <c r="G125" s="57">
        <v>91.757147247394101</v>
      </c>
    </row>
    <row r="126" spans="1:7" ht="11.25" customHeight="1" x14ac:dyDescent="0.2">
      <c r="A126" s="67">
        <v>44562</v>
      </c>
      <c r="B126" s="57">
        <v>0</v>
      </c>
      <c r="C126" s="57">
        <v>30.894339574468088</v>
      </c>
      <c r="D126" s="57">
        <v>0</v>
      </c>
      <c r="E126" s="57">
        <v>38.626357682328667</v>
      </c>
      <c r="F126" s="57">
        <v>30.894339574468088</v>
      </c>
      <c r="G126" s="57">
        <v>38.626357682328667</v>
      </c>
    </row>
    <row r="127" spans="1:7" ht="11.25" customHeight="1" x14ac:dyDescent="0.2">
      <c r="A127" s="67">
        <v>44593</v>
      </c>
      <c r="B127" s="57">
        <v>0</v>
      </c>
      <c r="C127" s="57">
        <v>89.430982978723407</v>
      </c>
      <c r="D127" s="57">
        <v>0</v>
      </c>
      <c r="E127" s="57">
        <v>111.81314065937246</v>
      </c>
      <c r="F127" s="57">
        <v>89.430982978723407</v>
      </c>
      <c r="G127" s="57">
        <v>111.81314065937246</v>
      </c>
    </row>
    <row r="128" spans="1:7" ht="11.25" customHeight="1" x14ac:dyDescent="0.2">
      <c r="A128" s="67">
        <v>44621</v>
      </c>
      <c r="B128" s="57">
        <v>0</v>
      </c>
      <c r="C128" s="57">
        <v>89.430982978723407</v>
      </c>
      <c r="D128" s="57">
        <v>0</v>
      </c>
      <c r="E128" s="57">
        <v>111.81314065937246</v>
      </c>
      <c r="F128" s="57">
        <v>89.430982978723407</v>
      </c>
      <c r="G128" s="57">
        <v>111.81314065937246</v>
      </c>
    </row>
    <row r="129" spans="1:7" ht="11.25" customHeight="1" x14ac:dyDescent="0.2">
      <c r="A129" s="67">
        <v>44652</v>
      </c>
      <c r="B129" s="57">
        <v>0</v>
      </c>
      <c r="C129" s="57">
        <v>27.579764680851067</v>
      </c>
      <c r="D129" s="57">
        <v>0</v>
      </c>
      <c r="E129" s="57">
        <v>34.482234287261008</v>
      </c>
      <c r="F129" s="57">
        <v>27.579764680851067</v>
      </c>
      <c r="G129" s="57">
        <v>34.482234287261008</v>
      </c>
    </row>
    <row r="130" spans="1:7" ht="11.25" customHeight="1" x14ac:dyDescent="0.2">
      <c r="A130" s="66" t="s">
        <v>40</v>
      </c>
      <c r="B130" s="57">
        <v>0</v>
      </c>
      <c r="C130" s="57">
        <v>31.930803191489364</v>
      </c>
      <c r="D130" s="57">
        <v>0</v>
      </c>
      <c r="E130" s="57">
        <v>41.714061671005595</v>
      </c>
      <c r="F130" s="57">
        <v>31.930803191489364</v>
      </c>
      <c r="G130" s="57">
        <v>41.714061671005595</v>
      </c>
    </row>
    <row r="131" spans="1:7" ht="11.25" customHeight="1" x14ac:dyDescent="0.2">
      <c r="A131" s="67">
        <v>44317</v>
      </c>
      <c r="B131" s="57">
        <v>0</v>
      </c>
      <c r="C131" s="57">
        <v>1.1506595744680852</v>
      </c>
      <c r="D131" s="57">
        <v>0</v>
      </c>
      <c r="E131" s="57">
        <v>1.5032094295857872</v>
      </c>
      <c r="F131" s="57">
        <v>1.1506595744680852</v>
      </c>
      <c r="G131" s="57">
        <v>1.5032094295857872</v>
      </c>
    </row>
    <row r="132" spans="1:7" ht="11.25" customHeight="1" x14ac:dyDescent="0.2">
      <c r="A132" s="67">
        <v>44348</v>
      </c>
      <c r="B132" s="57">
        <v>0</v>
      </c>
      <c r="C132" s="57">
        <v>1.1506595744680852</v>
      </c>
      <c r="D132" s="57">
        <v>0</v>
      </c>
      <c r="E132" s="57">
        <v>1.5032094295857872</v>
      </c>
      <c r="F132" s="57">
        <v>1.1506595744680852</v>
      </c>
      <c r="G132" s="57">
        <v>1.5032094295857872</v>
      </c>
    </row>
    <row r="133" spans="1:7" ht="11.25" customHeight="1" x14ac:dyDescent="0.2">
      <c r="A133" s="67">
        <v>44378</v>
      </c>
      <c r="B133" s="57">
        <v>0</v>
      </c>
      <c r="C133" s="57">
        <v>1.093126595744681</v>
      </c>
      <c r="D133" s="57">
        <v>0</v>
      </c>
      <c r="E133" s="57">
        <v>1.4280489581064977</v>
      </c>
      <c r="F133" s="57">
        <v>1.093126595744681</v>
      </c>
      <c r="G133" s="57">
        <v>1.4280489581064977</v>
      </c>
    </row>
    <row r="134" spans="1:7" ht="11.25" customHeight="1" x14ac:dyDescent="0.2">
      <c r="A134" s="67">
        <v>44409</v>
      </c>
      <c r="B134" s="57">
        <v>0</v>
      </c>
      <c r="C134" s="57">
        <v>1.2081925531914894</v>
      </c>
      <c r="D134" s="57">
        <v>0</v>
      </c>
      <c r="E134" s="57">
        <v>1.5783699010650767</v>
      </c>
      <c r="F134" s="57">
        <v>1.2081925531914894</v>
      </c>
      <c r="G134" s="57">
        <v>1.5783699010650767</v>
      </c>
    </row>
    <row r="135" spans="1:7" ht="11.25" customHeight="1" x14ac:dyDescent="0.2">
      <c r="A135" s="67">
        <v>44440</v>
      </c>
      <c r="B135" s="57">
        <v>0</v>
      </c>
      <c r="C135" s="57">
        <v>1.4383244680851064</v>
      </c>
      <c r="D135" s="57">
        <v>0</v>
      </c>
      <c r="E135" s="57">
        <v>1.879011786982234</v>
      </c>
      <c r="F135" s="57">
        <v>1.4383244680851064</v>
      </c>
      <c r="G135" s="57">
        <v>1.879011786982234</v>
      </c>
    </row>
    <row r="136" spans="1:7" ht="11.25" customHeight="1" x14ac:dyDescent="0.2">
      <c r="A136" s="67">
        <v>44470</v>
      </c>
      <c r="B136" s="57">
        <v>0</v>
      </c>
      <c r="C136" s="57">
        <v>2.2437861702127657</v>
      </c>
      <c r="D136" s="57">
        <v>0</v>
      </c>
      <c r="E136" s="57">
        <v>2.9312583876922851</v>
      </c>
      <c r="F136" s="57">
        <v>2.2437861702127657</v>
      </c>
      <c r="G136" s="57">
        <v>2.9312583876922851</v>
      </c>
    </row>
    <row r="137" spans="1:7" ht="11.25" customHeight="1" x14ac:dyDescent="0.2">
      <c r="A137" s="67">
        <v>44501</v>
      </c>
      <c r="B137" s="57">
        <v>0</v>
      </c>
      <c r="C137" s="57">
        <v>2.9917148936170213</v>
      </c>
      <c r="D137" s="57">
        <v>0</v>
      </c>
      <c r="E137" s="57">
        <v>3.9083445169230466</v>
      </c>
      <c r="F137" s="57">
        <v>2.9917148936170213</v>
      </c>
      <c r="G137" s="57">
        <v>3.9083445169230466</v>
      </c>
    </row>
    <row r="138" spans="1:7" ht="11.25" customHeight="1" x14ac:dyDescent="0.2">
      <c r="A138" s="67">
        <v>44531</v>
      </c>
      <c r="B138" s="57">
        <v>0</v>
      </c>
      <c r="C138" s="57">
        <v>5.7532978723404256</v>
      </c>
      <c r="D138" s="57">
        <v>0</v>
      </c>
      <c r="E138" s="57">
        <v>7.5160471479289361</v>
      </c>
      <c r="F138" s="57">
        <v>5.7532978723404256</v>
      </c>
      <c r="G138" s="57">
        <v>7.5160471479289361</v>
      </c>
    </row>
    <row r="139" spans="1:7" ht="11.25" customHeight="1" x14ac:dyDescent="0.2">
      <c r="A139" s="67">
        <v>44562</v>
      </c>
      <c r="B139" s="57">
        <v>0</v>
      </c>
      <c r="C139" s="57">
        <v>2.4163851063829789</v>
      </c>
      <c r="D139" s="57">
        <v>0</v>
      </c>
      <c r="E139" s="57">
        <v>3.1567398021301534</v>
      </c>
      <c r="F139" s="57">
        <v>2.4163851063829789</v>
      </c>
      <c r="G139" s="57">
        <v>3.1567398021301534</v>
      </c>
    </row>
    <row r="140" spans="1:7" ht="11.25" customHeight="1" x14ac:dyDescent="0.2">
      <c r="A140" s="67">
        <v>44593</v>
      </c>
      <c r="B140" s="57">
        <v>0</v>
      </c>
      <c r="C140" s="57">
        <v>6.0409627659574472</v>
      </c>
      <c r="D140" s="57">
        <v>0</v>
      </c>
      <c r="E140" s="57">
        <v>7.891849505325383</v>
      </c>
      <c r="F140" s="57">
        <v>6.0409627659574472</v>
      </c>
      <c r="G140" s="57">
        <v>7.891849505325383</v>
      </c>
    </row>
    <row r="141" spans="1:7" ht="11.25" customHeight="1" x14ac:dyDescent="0.2">
      <c r="A141" s="67">
        <v>44621</v>
      </c>
      <c r="B141" s="57">
        <v>0</v>
      </c>
      <c r="C141" s="57">
        <v>4.8903031914893624</v>
      </c>
      <c r="D141" s="57">
        <v>0</v>
      </c>
      <c r="E141" s="57">
        <v>6.3886400757395965</v>
      </c>
      <c r="F141" s="57">
        <v>4.8903031914893624</v>
      </c>
      <c r="G141" s="57">
        <v>6.3886400757395965</v>
      </c>
    </row>
    <row r="142" spans="1:7" ht="11.25" customHeight="1" x14ac:dyDescent="0.2">
      <c r="A142" s="67">
        <v>44652</v>
      </c>
      <c r="B142" s="57">
        <v>0</v>
      </c>
      <c r="C142" s="57">
        <v>1.5533904255319149</v>
      </c>
      <c r="D142" s="57">
        <v>0</v>
      </c>
      <c r="E142" s="57">
        <v>2.0293327299408128</v>
      </c>
      <c r="F142" s="57">
        <v>1.5533904255319149</v>
      </c>
      <c r="G142" s="57">
        <v>2.0293327299408128</v>
      </c>
    </row>
    <row r="143" spans="1:7" ht="11.25" customHeight="1" x14ac:dyDescent="0.2">
      <c r="A143" s="66" t="s">
        <v>25</v>
      </c>
      <c r="B143" s="57">
        <v>0</v>
      </c>
      <c r="C143" s="57">
        <v>94.758045957446811</v>
      </c>
      <c r="D143" s="57">
        <v>0</v>
      </c>
      <c r="E143" s="57">
        <v>121.60484190623939</v>
      </c>
      <c r="F143" s="57">
        <v>94.758045957446811</v>
      </c>
      <c r="G143" s="57">
        <v>121.60484190623939</v>
      </c>
    </row>
    <row r="144" spans="1:7" ht="11.25" customHeight="1" x14ac:dyDescent="0.2">
      <c r="A144" s="67">
        <v>44317</v>
      </c>
      <c r="B144" s="57">
        <v>0</v>
      </c>
      <c r="C144" s="57">
        <v>14.41040680851064</v>
      </c>
      <c r="D144" s="57">
        <v>0</v>
      </c>
      <c r="E144" s="57">
        <v>18.493155109387491</v>
      </c>
      <c r="F144" s="57">
        <v>14.41040680851064</v>
      </c>
      <c r="G144" s="57">
        <v>18.493155109387491</v>
      </c>
    </row>
    <row r="145" spans="1:7" ht="11.25" customHeight="1" x14ac:dyDescent="0.2">
      <c r="A145" s="67">
        <v>44348</v>
      </c>
      <c r="B145" s="57">
        <v>0</v>
      </c>
      <c r="C145" s="57">
        <v>15.693232340425535</v>
      </c>
      <c r="D145" s="57">
        <v>0</v>
      </c>
      <c r="E145" s="57">
        <v>20.139430044941271</v>
      </c>
      <c r="F145" s="57">
        <v>15.693232340425535</v>
      </c>
      <c r="G145" s="57">
        <v>20.139430044941271</v>
      </c>
    </row>
    <row r="146" spans="1:7" ht="11.25" customHeight="1" x14ac:dyDescent="0.2">
      <c r="A146" s="67">
        <v>44378</v>
      </c>
      <c r="B146" s="57">
        <v>0</v>
      </c>
      <c r="C146" s="57">
        <v>11.844755744680853</v>
      </c>
      <c r="D146" s="57">
        <v>0</v>
      </c>
      <c r="E146" s="57">
        <v>15.200605238279927</v>
      </c>
      <c r="F146" s="57">
        <v>11.844755744680853</v>
      </c>
      <c r="G146" s="57">
        <v>15.200605238279927</v>
      </c>
    </row>
    <row r="147" spans="1:7" ht="11.25" customHeight="1" x14ac:dyDescent="0.2">
      <c r="A147" s="67">
        <v>44409</v>
      </c>
      <c r="B147" s="57">
        <v>0</v>
      </c>
      <c r="C147" s="57">
        <v>11.545429787234042</v>
      </c>
      <c r="D147" s="57">
        <v>0</v>
      </c>
      <c r="E147" s="57">
        <v>14.816474419984043</v>
      </c>
      <c r="F147" s="57">
        <v>11.545429787234042</v>
      </c>
      <c r="G147" s="57">
        <v>14.816474419984043</v>
      </c>
    </row>
    <row r="148" spans="1:7" ht="11.25" customHeight="1" x14ac:dyDescent="0.2">
      <c r="A148" s="67">
        <v>44440</v>
      </c>
      <c r="B148" s="57">
        <v>0</v>
      </c>
      <c r="C148" s="57">
        <v>6.5851710638297867</v>
      </c>
      <c r="D148" s="57">
        <v>0</v>
      </c>
      <c r="E148" s="57">
        <v>8.4508780025094179</v>
      </c>
      <c r="F148" s="57">
        <v>6.5851710638297867</v>
      </c>
      <c r="G148" s="57">
        <v>8.4508780025094179</v>
      </c>
    </row>
    <row r="149" spans="1:7" ht="11.25" customHeight="1" x14ac:dyDescent="0.2">
      <c r="A149" s="67">
        <v>44470</v>
      </c>
      <c r="B149" s="57">
        <v>0</v>
      </c>
      <c r="C149" s="57">
        <v>3.8057157446808509</v>
      </c>
      <c r="D149" s="57">
        <v>0</v>
      </c>
      <c r="E149" s="57">
        <v>4.8839489754762218</v>
      </c>
      <c r="F149" s="57">
        <v>3.8057157446808509</v>
      </c>
      <c r="G149" s="57">
        <v>4.8839489754762218</v>
      </c>
    </row>
    <row r="150" spans="1:7" ht="11.25" customHeight="1" x14ac:dyDescent="0.2">
      <c r="A150" s="67">
        <v>44501</v>
      </c>
      <c r="B150" s="57">
        <v>0</v>
      </c>
      <c r="C150" s="57">
        <v>5.4733889361702142</v>
      </c>
      <c r="D150" s="57">
        <v>0</v>
      </c>
      <c r="E150" s="57">
        <v>7.0241063916961393</v>
      </c>
      <c r="F150" s="57">
        <v>5.4733889361702142</v>
      </c>
      <c r="G150" s="57">
        <v>7.0241063916961393</v>
      </c>
    </row>
    <row r="151" spans="1:7" ht="11.25" customHeight="1" x14ac:dyDescent="0.2">
      <c r="A151" s="67">
        <v>44531</v>
      </c>
      <c r="B151" s="57">
        <v>0</v>
      </c>
      <c r="C151" s="57">
        <v>2.4373685106382981</v>
      </c>
      <c r="D151" s="57">
        <v>0</v>
      </c>
      <c r="E151" s="57">
        <v>3.1279223775521872</v>
      </c>
      <c r="F151" s="57">
        <v>2.4373685106382981</v>
      </c>
      <c r="G151" s="57">
        <v>3.1279223775521872</v>
      </c>
    </row>
    <row r="152" spans="1:7" ht="11.25" customHeight="1" x14ac:dyDescent="0.2">
      <c r="A152" s="67">
        <v>44562</v>
      </c>
      <c r="B152" s="57">
        <v>0</v>
      </c>
      <c r="C152" s="57">
        <v>6.3286059574468077</v>
      </c>
      <c r="D152" s="57">
        <v>0</v>
      </c>
      <c r="E152" s="57">
        <v>8.1216230153986597</v>
      </c>
      <c r="F152" s="57">
        <v>6.3286059574468077</v>
      </c>
      <c r="G152" s="57">
        <v>8.1216230153986597</v>
      </c>
    </row>
    <row r="153" spans="1:7" ht="11.25" customHeight="1" x14ac:dyDescent="0.2">
      <c r="A153" s="67">
        <v>44593</v>
      </c>
      <c r="B153" s="57">
        <v>0</v>
      </c>
      <c r="C153" s="57">
        <v>4.2333242553191486</v>
      </c>
      <c r="D153" s="57">
        <v>0</v>
      </c>
      <c r="E153" s="57">
        <v>5.4327072873274824</v>
      </c>
      <c r="F153" s="57">
        <v>4.2333242553191486</v>
      </c>
      <c r="G153" s="57">
        <v>5.4327072873274824</v>
      </c>
    </row>
    <row r="154" spans="1:7" ht="11.25" customHeight="1" x14ac:dyDescent="0.2">
      <c r="A154" s="67">
        <v>44621</v>
      </c>
      <c r="B154" s="57">
        <v>0</v>
      </c>
      <c r="C154" s="57">
        <v>4.5326502127659571</v>
      </c>
      <c r="D154" s="57">
        <v>0</v>
      </c>
      <c r="E154" s="57">
        <v>5.8168381056233649</v>
      </c>
      <c r="F154" s="57">
        <v>4.5326502127659571</v>
      </c>
      <c r="G154" s="57">
        <v>5.8168381056233649</v>
      </c>
    </row>
    <row r="155" spans="1:7" ht="11.25" customHeight="1" x14ac:dyDescent="0.2">
      <c r="A155" s="67">
        <v>44652</v>
      </c>
      <c r="B155" s="57">
        <v>0</v>
      </c>
      <c r="C155" s="57">
        <v>7.8679965957446809</v>
      </c>
      <c r="D155" s="57">
        <v>0</v>
      </c>
      <c r="E155" s="57">
        <v>10.0971529380632</v>
      </c>
      <c r="F155" s="57">
        <v>7.8679965957446809</v>
      </c>
      <c r="G155" s="57">
        <v>10.0971529380632</v>
      </c>
    </row>
    <row r="156" spans="1:7" ht="11.25" customHeight="1" x14ac:dyDescent="0.2">
      <c r="A156" s="66" t="s">
        <v>36</v>
      </c>
      <c r="B156" s="57">
        <v>0</v>
      </c>
      <c r="C156" s="57">
        <v>28.574566595744681</v>
      </c>
      <c r="D156" s="57">
        <v>0</v>
      </c>
      <c r="E156" s="57">
        <v>37.927889870602051</v>
      </c>
      <c r="F156" s="57">
        <v>28.574566595744681</v>
      </c>
      <c r="G156" s="57">
        <v>37.927889870602051</v>
      </c>
    </row>
    <row r="157" spans="1:7" ht="11.25" customHeight="1" x14ac:dyDescent="0.2">
      <c r="A157" s="67">
        <v>44317</v>
      </c>
      <c r="B157" s="57">
        <v>0</v>
      </c>
      <c r="C157" s="57">
        <v>2.5138914893617019</v>
      </c>
      <c r="D157" s="57">
        <v>0</v>
      </c>
      <c r="E157" s="57">
        <v>3.3367645047450476</v>
      </c>
      <c r="F157" s="57">
        <v>2.5138914893617019</v>
      </c>
      <c r="G157" s="57">
        <v>3.3367645047450476</v>
      </c>
    </row>
    <row r="158" spans="1:7" ht="11.25" customHeight="1" x14ac:dyDescent="0.2">
      <c r="A158" s="67">
        <v>44348</v>
      </c>
      <c r="B158" s="57">
        <v>0</v>
      </c>
      <c r="C158" s="57">
        <v>2.5138914893617019</v>
      </c>
      <c r="D158" s="57">
        <v>0</v>
      </c>
      <c r="E158" s="57">
        <v>3.3367645047450476</v>
      </c>
      <c r="F158" s="57">
        <v>2.5138914893617019</v>
      </c>
      <c r="G158" s="57">
        <v>3.3367645047450476</v>
      </c>
    </row>
    <row r="159" spans="1:7" ht="11.25" customHeight="1" x14ac:dyDescent="0.2">
      <c r="A159" s="67">
        <v>44378</v>
      </c>
      <c r="B159" s="57">
        <v>0</v>
      </c>
      <c r="C159" s="57">
        <v>2.430095106382979</v>
      </c>
      <c r="D159" s="57">
        <v>0</v>
      </c>
      <c r="E159" s="57">
        <v>3.2255390212535473</v>
      </c>
      <c r="F159" s="57">
        <v>2.430095106382979</v>
      </c>
      <c r="G159" s="57">
        <v>3.2255390212535473</v>
      </c>
    </row>
    <row r="160" spans="1:7" ht="11.25" customHeight="1" x14ac:dyDescent="0.2">
      <c r="A160" s="67">
        <v>44409</v>
      </c>
      <c r="B160" s="57">
        <v>0</v>
      </c>
      <c r="C160" s="57">
        <v>2.5138914893617019</v>
      </c>
      <c r="D160" s="57">
        <v>0</v>
      </c>
      <c r="E160" s="57">
        <v>3.3367645047450476</v>
      </c>
      <c r="F160" s="57">
        <v>2.5138914893617019</v>
      </c>
      <c r="G160" s="57">
        <v>3.3367645047450476</v>
      </c>
    </row>
    <row r="161" spans="1:7" ht="11.25" customHeight="1" x14ac:dyDescent="0.2">
      <c r="A161" s="67">
        <v>44440</v>
      </c>
      <c r="B161" s="57">
        <v>0</v>
      </c>
      <c r="C161" s="57">
        <v>2.346298723404256</v>
      </c>
      <c r="D161" s="57">
        <v>0</v>
      </c>
      <c r="E161" s="57">
        <v>3.1143135377620457</v>
      </c>
      <c r="F161" s="57">
        <v>2.346298723404256</v>
      </c>
      <c r="G161" s="57">
        <v>3.1143135377620457</v>
      </c>
    </row>
    <row r="162" spans="1:7" ht="11.25" customHeight="1" x14ac:dyDescent="0.2">
      <c r="A162" s="67">
        <v>44470</v>
      </c>
      <c r="B162" s="57">
        <v>0</v>
      </c>
      <c r="C162" s="57">
        <v>1.173149361702128</v>
      </c>
      <c r="D162" s="57">
        <v>0</v>
      </c>
      <c r="E162" s="57">
        <v>1.5571567688810228</v>
      </c>
      <c r="F162" s="57">
        <v>1.173149361702128</v>
      </c>
      <c r="G162" s="57">
        <v>1.5571567688810228</v>
      </c>
    </row>
    <row r="163" spans="1:7" ht="11.25" customHeight="1" x14ac:dyDescent="0.2">
      <c r="A163" s="67">
        <v>44501</v>
      </c>
      <c r="B163" s="57">
        <v>0</v>
      </c>
      <c r="C163" s="57">
        <v>0.83796382978723416</v>
      </c>
      <c r="D163" s="57">
        <v>0</v>
      </c>
      <c r="E163" s="57">
        <v>1.1122548349150161</v>
      </c>
      <c r="F163" s="57">
        <v>0.83796382978723416</v>
      </c>
      <c r="G163" s="57">
        <v>1.1122548349150161</v>
      </c>
    </row>
    <row r="164" spans="1:7" ht="11.25" customHeight="1" x14ac:dyDescent="0.2">
      <c r="A164" s="67">
        <v>44531</v>
      </c>
      <c r="B164" s="57">
        <v>0</v>
      </c>
      <c r="C164" s="57">
        <v>2.2625023404255318</v>
      </c>
      <c r="D164" s="57">
        <v>0</v>
      </c>
      <c r="E164" s="57">
        <v>3.0030880542705436</v>
      </c>
      <c r="F164" s="57">
        <v>2.2625023404255318</v>
      </c>
      <c r="G164" s="57">
        <v>3.0030880542705436</v>
      </c>
    </row>
    <row r="165" spans="1:7" ht="11.25" customHeight="1" x14ac:dyDescent="0.2">
      <c r="A165" s="67">
        <v>44562</v>
      </c>
      <c r="B165" s="57">
        <v>0</v>
      </c>
      <c r="C165" s="57">
        <v>3.5194480851063839</v>
      </c>
      <c r="D165" s="57">
        <v>0</v>
      </c>
      <c r="E165" s="57">
        <v>4.6714703066430685</v>
      </c>
      <c r="F165" s="57">
        <v>3.5194480851063839</v>
      </c>
      <c r="G165" s="57">
        <v>4.6714703066430685</v>
      </c>
    </row>
    <row r="166" spans="1:7" ht="11.25" customHeight="1" x14ac:dyDescent="0.2">
      <c r="A166" s="67">
        <v>44593</v>
      </c>
      <c r="B166" s="57">
        <v>0</v>
      </c>
      <c r="C166" s="57">
        <v>3.100466170212766</v>
      </c>
      <c r="D166" s="57">
        <v>0</v>
      </c>
      <c r="E166" s="57">
        <v>4.1153428891855608</v>
      </c>
      <c r="F166" s="57">
        <v>3.100466170212766</v>
      </c>
      <c r="G166" s="57">
        <v>4.1153428891855608</v>
      </c>
    </row>
    <row r="167" spans="1:7" ht="11.25" customHeight="1" x14ac:dyDescent="0.2">
      <c r="A167" s="67">
        <v>44621</v>
      </c>
      <c r="B167" s="57">
        <v>0</v>
      </c>
      <c r="C167" s="57">
        <v>3.100466170212766</v>
      </c>
      <c r="D167" s="57">
        <v>0</v>
      </c>
      <c r="E167" s="57">
        <v>4.1153428891855608</v>
      </c>
      <c r="F167" s="57">
        <v>3.100466170212766</v>
      </c>
      <c r="G167" s="57">
        <v>4.1153428891855608</v>
      </c>
    </row>
    <row r="168" spans="1:7" ht="11.25" customHeight="1" x14ac:dyDescent="0.2">
      <c r="A168" s="67">
        <v>44652</v>
      </c>
      <c r="B168" s="57">
        <v>0</v>
      </c>
      <c r="C168" s="57">
        <v>2.2625023404255318</v>
      </c>
      <c r="D168" s="57">
        <v>0</v>
      </c>
      <c r="E168" s="57">
        <v>3.0030880542705436</v>
      </c>
      <c r="F168" s="57">
        <v>2.2625023404255318</v>
      </c>
      <c r="G168" s="57">
        <v>3.0030880542705436</v>
      </c>
    </row>
    <row r="169" spans="1:7" ht="11.25" customHeight="1" x14ac:dyDescent="0.2">
      <c r="A169" s="61" t="s">
        <v>23</v>
      </c>
      <c r="B169" s="57">
        <v>0</v>
      </c>
      <c r="C169" s="57">
        <v>228528.26943999989</v>
      </c>
      <c r="D169" s="57">
        <v>0</v>
      </c>
      <c r="E169" s="57">
        <v>137266.62362979935</v>
      </c>
      <c r="F169" s="57">
        <v>228528.26943999989</v>
      </c>
      <c r="G169" s="57">
        <v>137266.62362979935</v>
      </c>
    </row>
    <row r="170" spans="1:7" ht="11.25" customHeight="1" x14ac:dyDescent="0.2">
      <c r="A170" s="62" t="s">
        <v>42</v>
      </c>
      <c r="B170" s="57">
        <v>0</v>
      </c>
      <c r="C170" s="57">
        <v>228528.26943999989</v>
      </c>
      <c r="D170" s="57">
        <v>0</v>
      </c>
      <c r="E170" s="57">
        <v>137266.62362979935</v>
      </c>
      <c r="F170" s="57">
        <v>228528.26943999989</v>
      </c>
      <c r="G170" s="57">
        <v>137266.62362979935</v>
      </c>
    </row>
    <row r="171" spans="1:7" ht="11.25" customHeight="1" x14ac:dyDescent="0.2">
      <c r="A171" s="63" t="s">
        <v>50</v>
      </c>
      <c r="B171" s="57">
        <v>0</v>
      </c>
      <c r="C171" s="57">
        <v>5647.3270399999965</v>
      </c>
      <c r="D171" s="57">
        <v>0</v>
      </c>
      <c r="E171" s="57">
        <v>3392.0946288773898</v>
      </c>
      <c r="F171" s="57">
        <v>5647.3270399999965</v>
      </c>
      <c r="G171" s="57">
        <v>3392.0946288773898</v>
      </c>
    </row>
    <row r="172" spans="1:7" ht="11.25" customHeight="1" x14ac:dyDescent="0.2">
      <c r="A172" s="64" t="s">
        <v>51</v>
      </c>
      <c r="B172" s="57">
        <v>0</v>
      </c>
      <c r="C172" s="57">
        <v>5647.3270399999965</v>
      </c>
      <c r="D172" s="57">
        <v>0</v>
      </c>
      <c r="E172" s="57">
        <v>3392.0946288773898</v>
      </c>
      <c r="F172" s="57">
        <v>5647.3270399999965</v>
      </c>
      <c r="G172" s="57">
        <v>3392.0946288773898</v>
      </c>
    </row>
    <row r="173" spans="1:7" ht="11.25" customHeight="1" x14ac:dyDescent="0.2">
      <c r="A173" s="65" t="s">
        <v>25</v>
      </c>
      <c r="B173" s="57">
        <v>0</v>
      </c>
      <c r="C173" s="57">
        <v>5647.3270399999965</v>
      </c>
      <c r="D173" s="57">
        <v>0</v>
      </c>
      <c r="E173" s="57">
        <v>3392.0946288773898</v>
      </c>
      <c r="F173" s="57">
        <v>5647.3270399999965</v>
      </c>
      <c r="G173" s="57">
        <v>3392.0946288773898</v>
      </c>
    </row>
    <row r="174" spans="1:7" ht="11.25" customHeight="1" x14ac:dyDescent="0.2">
      <c r="A174" s="66" t="s">
        <v>25</v>
      </c>
      <c r="B174" s="57">
        <v>0</v>
      </c>
      <c r="C174" s="57">
        <v>5647.3270399999965</v>
      </c>
      <c r="D174" s="57">
        <v>0</v>
      </c>
      <c r="E174" s="57">
        <v>3392.0946288773898</v>
      </c>
      <c r="F174" s="57">
        <v>5647.3270399999965</v>
      </c>
      <c r="G174" s="57">
        <v>3392.0946288773898</v>
      </c>
    </row>
    <row r="175" spans="1:7" ht="11.25" customHeight="1" x14ac:dyDescent="0.2">
      <c r="A175" s="67">
        <v>44317</v>
      </c>
      <c r="B175" s="57">
        <v>0</v>
      </c>
      <c r="C175" s="57">
        <v>97.481119999999947</v>
      </c>
      <c r="D175" s="57">
        <v>0</v>
      </c>
      <c r="E175" s="57">
        <v>58.552511874529621</v>
      </c>
      <c r="F175" s="57">
        <v>97.481119999999947</v>
      </c>
      <c r="G175" s="57">
        <v>58.552511874529621</v>
      </c>
    </row>
    <row r="176" spans="1:7" ht="11.25" customHeight="1" x14ac:dyDescent="0.2">
      <c r="A176" s="67">
        <v>44348</v>
      </c>
      <c r="B176" s="57">
        <v>0</v>
      </c>
      <c r="C176" s="57">
        <v>110.54559999999995</v>
      </c>
      <c r="D176" s="57">
        <v>0</v>
      </c>
      <c r="E176" s="57">
        <v>66.399755734002667</v>
      </c>
      <c r="F176" s="57">
        <v>110.54559999999995</v>
      </c>
      <c r="G176" s="57">
        <v>66.399755734002667</v>
      </c>
    </row>
    <row r="177" spans="1:7" ht="11.25" customHeight="1" x14ac:dyDescent="0.2">
      <c r="A177" s="67">
        <v>44378</v>
      </c>
      <c r="B177" s="57">
        <v>0</v>
      </c>
      <c r="C177" s="57">
        <v>162.71215999999993</v>
      </c>
      <c r="D177" s="57">
        <v>0</v>
      </c>
      <c r="E177" s="57">
        <v>97.733855340709709</v>
      </c>
      <c r="F177" s="57">
        <v>162.71215999999993</v>
      </c>
      <c r="G177" s="57">
        <v>97.733855340709709</v>
      </c>
    </row>
    <row r="178" spans="1:7" ht="11.25" customHeight="1" x14ac:dyDescent="0.2">
      <c r="A178" s="67">
        <v>44409</v>
      </c>
      <c r="B178" s="57">
        <v>0</v>
      </c>
      <c r="C178" s="57">
        <v>135.21279999999993</v>
      </c>
      <c r="D178" s="57">
        <v>0</v>
      </c>
      <c r="E178" s="57">
        <v>81.216230153986743</v>
      </c>
      <c r="F178" s="57">
        <v>135.21279999999993</v>
      </c>
      <c r="G178" s="57">
        <v>81.216230153986743</v>
      </c>
    </row>
    <row r="179" spans="1:7" ht="11.25" customHeight="1" x14ac:dyDescent="0.2">
      <c r="A179" s="67">
        <v>44440</v>
      </c>
      <c r="B179" s="57">
        <v>0</v>
      </c>
      <c r="C179" s="57">
        <v>398.69503999999978</v>
      </c>
      <c r="D179" s="57">
        <v>0</v>
      </c>
      <c r="E179" s="57">
        <v>239.47812729189062</v>
      </c>
      <c r="F179" s="57">
        <v>398.69503999999978</v>
      </c>
      <c r="G179" s="57">
        <v>239.47812729189062</v>
      </c>
    </row>
    <row r="180" spans="1:7" ht="11.25" customHeight="1" x14ac:dyDescent="0.2">
      <c r="A180" s="67">
        <v>44470</v>
      </c>
      <c r="B180" s="57">
        <v>0</v>
      </c>
      <c r="C180" s="57">
        <v>914.23951999999952</v>
      </c>
      <c r="D180" s="57">
        <v>0</v>
      </c>
      <c r="E180" s="57">
        <v>549.14244266955757</v>
      </c>
      <c r="F180" s="57">
        <v>914.23951999999952</v>
      </c>
      <c r="G180" s="57">
        <v>549.14244266955757</v>
      </c>
    </row>
    <row r="181" spans="1:7" ht="11.25" customHeight="1" x14ac:dyDescent="0.2">
      <c r="A181" s="67">
        <v>44501</v>
      </c>
      <c r="B181" s="57">
        <v>0</v>
      </c>
      <c r="C181" s="57">
        <v>799.85679999999968</v>
      </c>
      <c r="D181" s="57">
        <v>0</v>
      </c>
      <c r="E181" s="57">
        <v>480.43790202577969</v>
      </c>
      <c r="F181" s="57">
        <v>799.85679999999968</v>
      </c>
      <c r="G181" s="57">
        <v>480.43790202577969</v>
      </c>
    </row>
    <row r="182" spans="1:7" ht="11.25" customHeight="1" x14ac:dyDescent="0.2">
      <c r="A182" s="67">
        <v>44531</v>
      </c>
      <c r="B182" s="57">
        <v>0</v>
      </c>
      <c r="C182" s="57">
        <v>648.4732799999997</v>
      </c>
      <c r="D182" s="57">
        <v>0</v>
      </c>
      <c r="E182" s="57">
        <v>389.50864975202558</v>
      </c>
      <c r="F182" s="57">
        <v>648.4732799999997</v>
      </c>
      <c r="G182" s="57">
        <v>389.50864975202558</v>
      </c>
    </row>
    <row r="183" spans="1:7" ht="11.25" customHeight="1" x14ac:dyDescent="0.2">
      <c r="A183" s="67">
        <v>44562</v>
      </c>
      <c r="B183" s="57">
        <v>0</v>
      </c>
      <c r="C183" s="57">
        <v>579.31375999999977</v>
      </c>
      <c r="D183" s="57">
        <v>0</v>
      </c>
      <c r="E183" s="57">
        <v>347.9676455448851</v>
      </c>
      <c r="F183" s="57">
        <v>579.31375999999977</v>
      </c>
      <c r="G183" s="57">
        <v>347.9676455448851</v>
      </c>
    </row>
    <row r="184" spans="1:7" ht="11.25" customHeight="1" x14ac:dyDescent="0.2">
      <c r="A184" s="67">
        <v>44593</v>
      </c>
      <c r="B184" s="57">
        <v>0</v>
      </c>
      <c r="C184" s="57">
        <v>706.30415999999968</v>
      </c>
      <c r="D184" s="57">
        <v>0</v>
      </c>
      <c r="E184" s="57">
        <v>424.24505089221043</v>
      </c>
      <c r="F184" s="57">
        <v>706.30415999999968</v>
      </c>
      <c r="G184" s="57">
        <v>424.24505089221043</v>
      </c>
    </row>
    <row r="185" spans="1:7" ht="11.25" customHeight="1" x14ac:dyDescent="0.2">
      <c r="A185" s="67">
        <v>44621</v>
      </c>
      <c r="B185" s="57">
        <v>0</v>
      </c>
      <c r="C185" s="57">
        <v>556.10831999999971</v>
      </c>
      <c r="D185" s="57">
        <v>0</v>
      </c>
      <c r="E185" s="57">
        <v>334.029184423863</v>
      </c>
      <c r="F185" s="57">
        <v>556.10831999999971</v>
      </c>
      <c r="G185" s="57">
        <v>334.029184423863</v>
      </c>
    </row>
    <row r="186" spans="1:7" ht="11.25" customHeight="1" x14ac:dyDescent="0.2">
      <c r="A186" s="67">
        <v>44652</v>
      </c>
      <c r="B186" s="57">
        <v>0</v>
      </c>
      <c r="C186" s="57">
        <v>538.38447999999971</v>
      </c>
      <c r="D186" s="57">
        <v>0</v>
      </c>
      <c r="E186" s="57">
        <v>323.38327317394851</v>
      </c>
      <c r="F186" s="57">
        <v>538.38447999999971</v>
      </c>
      <c r="G186" s="57">
        <v>323.38327317394851</v>
      </c>
    </row>
    <row r="187" spans="1:7" ht="11.25" customHeight="1" x14ac:dyDescent="0.2">
      <c r="A187" s="63" t="s">
        <v>25</v>
      </c>
      <c r="B187" s="57">
        <v>0</v>
      </c>
      <c r="C187" s="57">
        <v>222880.94239999988</v>
      </c>
      <c r="D187" s="57">
        <v>0</v>
      </c>
      <c r="E187" s="57">
        <v>133874.52900092196</v>
      </c>
      <c r="F187" s="57">
        <v>222880.94239999994</v>
      </c>
      <c r="G187" s="57">
        <v>133874.52900092196</v>
      </c>
    </row>
    <row r="188" spans="1:7" ht="11.25" customHeight="1" x14ac:dyDescent="0.2">
      <c r="A188" s="64" t="s">
        <v>25</v>
      </c>
      <c r="B188" s="57">
        <v>0</v>
      </c>
      <c r="C188" s="57">
        <v>222880.94239999988</v>
      </c>
      <c r="D188" s="57">
        <v>0</v>
      </c>
      <c r="E188" s="57">
        <v>133874.52900092196</v>
      </c>
      <c r="F188" s="57">
        <v>222880.94239999994</v>
      </c>
      <c r="G188" s="57">
        <v>133874.52900092196</v>
      </c>
    </row>
    <row r="189" spans="1:7" ht="11.25" customHeight="1" x14ac:dyDescent="0.2">
      <c r="A189" s="65" t="s">
        <v>25</v>
      </c>
      <c r="B189" s="57">
        <v>0</v>
      </c>
      <c r="C189" s="57">
        <v>222880.94239999988</v>
      </c>
      <c r="D189" s="57">
        <v>0</v>
      </c>
      <c r="E189" s="57">
        <v>133874.52900092196</v>
      </c>
      <c r="F189" s="57">
        <v>222880.94239999994</v>
      </c>
      <c r="G189" s="57">
        <v>133874.52900092196</v>
      </c>
    </row>
    <row r="190" spans="1:7" ht="11.25" customHeight="1" x14ac:dyDescent="0.2">
      <c r="A190" s="66" t="s">
        <v>25</v>
      </c>
      <c r="B190" s="57">
        <v>0</v>
      </c>
      <c r="C190" s="57">
        <v>222880.94239999988</v>
      </c>
      <c r="D190" s="57">
        <v>0</v>
      </c>
      <c r="E190" s="57">
        <v>133874.52900092196</v>
      </c>
      <c r="F190" s="57">
        <v>222880.94239999994</v>
      </c>
      <c r="G190" s="57">
        <v>133874.52900092196</v>
      </c>
    </row>
    <row r="191" spans="1:7" ht="11.25" customHeight="1" x14ac:dyDescent="0.2">
      <c r="A191" s="67">
        <v>44317</v>
      </c>
      <c r="B191" s="57">
        <v>0</v>
      </c>
      <c r="C191" s="57">
        <v>18893.978879999991</v>
      </c>
      <c r="D191" s="57">
        <v>0</v>
      </c>
      <c r="E191" s="57">
        <v>11348.760895733574</v>
      </c>
      <c r="F191" s="57">
        <v>18893.978879999991</v>
      </c>
      <c r="G191" s="57">
        <v>11348.760895733574</v>
      </c>
    </row>
    <row r="192" spans="1:7" ht="11.25" customHeight="1" x14ac:dyDescent="0.2">
      <c r="A192" s="67">
        <v>44348</v>
      </c>
      <c r="B192" s="57">
        <v>0</v>
      </c>
      <c r="C192" s="57">
        <v>18664.02575999999</v>
      </c>
      <c r="D192" s="57">
        <v>0</v>
      </c>
      <c r="E192" s="57">
        <v>11210.63842864061</v>
      </c>
      <c r="F192" s="57">
        <v>18664.02575999999</v>
      </c>
      <c r="G192" s="57">
        <v>11210.63842864061</v>
      </c>
    </row>
    <row r="193" spans="1:7" ht="11.25" customHeight="1" x14ac:dyDescent="0.2">
      <c r="A193" s="67">
        <v>44378</v>
      </c>
      <c r="B193" s="57">
        <v>0</v>
      </c>
      <c r="C193" s="57">
        <v>16887.530559999992</v>
      </c>
      <c r="D193" s="57">
        <v>0</v>
      </c>
      <c r="E193" s="57">
        <v>10143.577891245834</v>
      </c>
      <c r="F193" s="57">
        <v>16887.530559999992</v>
      </c>
      <c r="G193" s="57">
        <v>10143.577891245834</v>
      </c>
    </row>
    <row r="194" spans="1:7" ht="11.25" customHeight="1" x14ac:dyDescent="0.2">
      <c r="A194" s="67">
        <v>44409</v>
      </c>
      <c r="B194" s="57">
        <v>0</v>
      </c>
      <c r="C194" s="57">
        <v>16900.046879999991</v>
      </c>
      <c r="D194" s="57">
        <v>0</v>
      </c>
      <c r="E194" s="57">
        <v>10151.095880118195</v>
      </c>
      <c r="F194" s="57">
        <v>16900.046879999991</v>
      </c>
      <c r="G194" s="57">
        <v>10151.095880118195</v>
      </c>
    </row>
    <row r="195" spans="1:7" ht="11.25" customHeight="1" x14ac:dyDescent="0.2">
      <c r="A195" s="67">
        <v>44440</v>
      </c>
      <c r="B195" s="57">
        <v>0</v>
      </c>
      <c r="C195" s="57">
        <v>17390.284639999994</v>
      </c>
      <c r="D195" s="57">
        <v>0</v>
      </c>
      <c r="E195" s="57">
        <v>10445.559590257582</v>
      </c>
      <c r="F195" s="57">
        <v>17390.284639999994</v>
      </c>
      <c r="G195" s="57">
        <v>10445.559590257582</v>
      </c>
    </row>
    <row r="196" spans="1:7" ht="11.25" customHeight="1" x14ac:dyDescent="0.2">
      <c r="A196" s="67">
        <v>44470</v>
      </c>
      <c r="B196" s="57">
        <v>0</v>
      </c>
      <c r="C196" s="57">
        <v>17826.071839999993</v>
      </c>
      <c r="D196" s="57">
        <v>0</v>
      </c>
      <c r="E196" s="57">
        <v>10707.317305010634</v>
      </c>
      <c r="F196" s="57">
        <v>17826.071839999993</v>
      </c>
      <c r="G196" s="57">
        <v>10707.317305010634</v>
      </c>
    </row>
    <row r="197" spans="1:7" ht="11.25" customHeight="1" x14ac:dyDescent="0.2">
      <c r="A197" s="67">
        <v>44501</v>
      </c>
      <c r="B197" s="57">
        <v>0</v>
      </c>
      <c r="C197" s="57">
        <v>21882.54719999999</v>
      </c>
      <c r="D197" s="57">
        <v>0</v>
      </c>
      <c r="E197" s="57">
        <v>13143.859085461421</v>
      </c>
      <c r="F197" s="57">
        <v>21882.54719999999</v>
      </c>
      <c r="G197" s="57">
        <v>13143.859085461421</v>
      </c>
    </row>
    <row r="198" spans="1:7" ht="11.25" customHeight="1" x14ac:dyDescent="0.2">
      <c r="A198" s="67">
        <v>44531</v>
      </c>
      <c r="B198" s="57">
        <v>0</v>
      </c>
      <c r="C198" s="57">
        <v>19474.114879999994</v>
      </c>
      <c r="D198" s="57">
        <v>0</v>
      </c>
      <c r="E198" s="57">
        <v>11697.222423759125</v>
      </c>
      <c r="F198" s="57">
        <v>19474.114879999994</v>
      </c>
      <c r="G198" s="57">
        <v>11697.222423759125</v>
      </c>
    </row>
    <row r="199" spans="1:7" ht="11.25" customHeight="1" x14ac:dyDescent="0.2">
      <c r="A199" s="67">
        <v>44562</v>
      </c>
      <c r="B199" s="57">
        <v>0</v>
      </c>
      <c r="C199" s="57">
        <v>18806.730079999994</v>
      </c>
      <c r="D199" s="57">
        <v>0</v>
      </c>
      <c r="E199" s="57">
        <v>11296.354476951778</v>
      </c>
      <c r="F199" s="57">
        <v>18806.730079999994</v>
      </c>
      <c r="G199" s="57">
        <v>11296.354476951778</v>
      </c>
    </row>
    <row r="200" spans="1:7" ht="11.25" customHeight="1" x14ac:dyDescent="0.2">
      <c r="A200" s="67">
        <v>44593</v>
      </c>
      <c r="B200" s="57">
        <v>0</v>
      </c>
      <c r="C200" s="57">
        <v>18726.333279999992</v>
      </c>
      <c r="D200" s="57">
        <v>0</v>
      </c>
      <c r="E200" s="57">
        <v>11248.063745508867</v>
      </c>
      <c r="F200" s="57">
        <v>18726.333279999992</v>
      </c>
      <c r="G200" s="57">
        <v>11248.063745508867</v>
      </c>
    </row>
    <row r="201" spans="1:7" ht="11.25" customHeight="1" x14ac:dyDescent="0.2">
      <c r="A201" s="67">
        <v>44621</v>
      </c>
      <c r="B201" s="57">
        <v>0</v>
      </c>
      <c r="C201" s="57">
        <v>19457.213279999993</v>
      </c>
      <c r="D201" s="57">
        <v>0</v>
      </c>
      <c r="E201" s="57">
        <v>11687.070394989876</v>
      </c>
      <c r="F201" s="57">
        <v>19457.213279999993</v>
      </c>
      <c r="G201" s="57">
        <v>11687.070394989876</v>
      </c>
    </row>
    <row r="202" spans="1:7" ht="11.25" customHeight="1" x14ac:dyDescent="0.2">
      <c r="A202" s="67">
        <v>44652</v>
      </c>
      <c r="B202" s="57">
        <v>0</v>
      </c>
      <c r="C202" s="57">
        <v>17972.065119999992</v>
      </c>
      <c r="D202" s="57">
        <v>0</v>
      </c>
      <c r="E202" s="57">
        <v>10795.008883244467</v>
      </c>
      <c r="F202" s="57">
        <v>17972.065119999992</v>
      </c>
      <c r="G202" s="57">
        <v>10795.008883244467</v>
      </c>
    </row>
    <row r="203" spans="1:7" ht="11.25" customHeight="1" x14ac:dyDescent="0.2">
      <c r="A203" s="59" t="s">
        <v>714</v>
      </c>
      <c r="B203" s="57">
        <v>0</v>
      </c>
      <c r="C203" s="57">
        <v>0</v>
      </c>
      <c r="D203" s="57">
        <v>0</v>
      </c>
      <c r="E203" s="57">
        <v>0</v>
      </c>
      <c r="F203" s="57">
        <v>0</v>
      </c>
      <c r="G203" s="57">
        <v>0</v>
      </c>
    </row>
    <row r="204" spans="1:7" ht="11.25" customHeight="1" x14ac:dyDescent="0.2">
      <c r="A204" s="60" t="s">
        <v>22</v>
      </c>
      <c r="B204" s="57">
        <v>0</v>
      </c>
      <c r="C204" s="57">
        <v>0</v>
      </c>
      <c r="D204" s="57">
        <v>0</v>
      </c>
      <c r="E204" s="57">
        <v>0</v>
      </c>
      <c r="F204" s="57">
        <v>0</v>
      </c>
      <c r="G204" s="57">
        <v>0</v>
      </c>
    </row>
    <row r="205" spans="1:7" ht="11.25" customHeight="1" x14ac:dyDescent="0.2">
      <c r="A205" s="61" t="s">
        <v>23</v>
      </c>
      <c r="B205" s="57">
        <v>0</v>
      </c>
      <c r="C205" s="57">
        <v>0</v>
      </c>
      <c r="D205" s="57">
        <v>0</v>
      </c>
      <c r="E205" s="57">
        <v>0</v>
      </c>
      <c r="F205" s="57">
        <v>0</v>
      </c>
      <c r="G205" s="57">
        <v>0</v>
      </c>
    </row>
    <row r="206" spans="1:7" ht="11.25" customHeight="1" x14ac:dyDescent="0.2">
      <c r="A206" s="62" t="s">
        <v>24</v>
      </c>
      <c r="B206" s="57">
        <v>0</v>
      </c>
      <c r="C206" s="57">
        <v>0</v>
      </c>
      <c r="D206" s="57">
        <v>0</v>
      </c>
      <c r="E206" s="57">
        <v>0</v>
      </c>
      <c r="F206" s="57">
        <v>0</v>
      </c>
      <c r="G206" s="57">
        <v>0</v>
      </c>
    </row>
    <row r="207" spans="1:7" ht="11.25" customHeight="1" x14ac:dyDescent="0.2">
      <c r="A207" s="63" t="s">
        <v>24</v>
      </c>
      <c r="B207" s="57">
        <v>0</v>
      </c>
      <c r="C207" s="57">
        <v>0</v>
      </c>
      <c r="D207" s="57">
        <v>0</v>
      </c>
      <c r="E207" s="57">
        <v>0</v>
      </c>
      <c r="F207" s="57">
        <v>0</v>
      </c>
      <c r="G207" s="57">
        <v>0</v>
      </c>
    </row>
    <row r="208" spans="1:7" ht="11.25" customHeight="1" x14ac:dyDescent="0.2">
      <c r="A208" s="64" t="s">
        <v>25</v>
      </c>
      <c r="B208" s="57">
        <v>0</v>
      </c>
      <c r="C208" s="57">
        <v>0</v>
      </c>
      <c r="D208" s="57">
        <v>0</v>
      </c>
      <c r="E208" s="57">
        <v>0</v>
      </c>
      <c r="F208" s="57">
        <v>0</v>
      </c>
      <c r="G208" s="57">
        <v>0</v>
      </c>
    </row>
    <row r="209" spans="1:7" ht="11.25" customHeight="1" x14ac:dyDescent="0.2">
      <c r="A209" s="65" t="s">
        <v>25</v>
      </c>
      <c r="B209" s="57">
        <v>0</v>
      </c>
      <c r="C209" s="57">
        <v>0</v>
      </c>
      <c r="D209" s="57">
        <v>0</v>
      </c>
      <c r="E209" s="57">
        <v>0</v>
      </c>
      <c r="F209" s="57">
        <v>0</v>
      </c>
      <c r="G209" s="57">
        <v>0</v>
      </c>
    </row>
    <row r="210" spans="1:7" ht="11.25" customHeight="1" x14ac:dyDescent="0.2">
      <c r="A210" s="66" t="s">
        <v>25</v>
      </c>
      <c r="B210" s="57">
        <v>0</v>
      </c>
      <c r="C210" s="57">
        <v>0</v>
      </c>
      <c r="D210" s="57">
        <v>0</v>
      </c>
      <c r="E210" s="57">
        <v>0</v>
      </c>
      <c r="F210" s="57">
        <v>0</v>
      </c>
      <c r="G210" s="57">
        <v>0</v>
      </c>
    </row>
    <row r="211" spans="1:7" ht="11.25" customHeight="1" x14ac:dyDescent="0.2">
      <c r="A211" s="67">
        <v>44317</v>
      </c>
      <c r="B211" s="57">
        <v>0</v>
      </c>
      <c r="C211" s="57">
        <v>0</v>
      </c>
      <c r="D211" s="57">
        <v>0</v>
      </c>
      <c r="E211" s="57">
        <v>0</v>
      </c>
      <c r="F211" s="57">
        <v>0</v>
      </c>
      <c r="G211" s="57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9E82-B379-4B16-83CE-922D4B41D2D6}">
  <dimension ref="A1:V35"/>
  <sheetViews>
    <sheetView showGridLines="0" workbookViewId="0">
      <selection sqref="A1:J1"/>
    </sheetView>
  </sheetViews>
  <sheetFormatPr defaultRowHeight="11.25" customHeight="1" x14ac:dyDescent="0.25"/>
  <cols>
    <col min="1" max="1" width="9.28515625" style="75" bestFit="1" customWidth="1"/>
    <col min="2" max="2" width="11.140625" style="75" bestFit="1" customWidth="1"/>
    <col min="3" max="3" width="10.28515625" style="75" bestFit="1" customWidth="1"/>
    <col min="4" max="4" width="6.28515625" style="75" bestFit="1" customWidth="1"/>
    <col min="5" max="10" width="7.7109375" style="75" customWidth="1"/>
    <col min="11" max="12" width="9.140625" style="75"/>
    <col min="13" max="13" width="14.28515625" style="75" customWidth="1"/>
    <col min="14" max="14" width="16.7109375" style="75" customWidth="1"/>
    <col min="15" max="15" width="31.7109375" style="75" customWidth="1"/>
    <col min="16" max="22" width="7.7109375" style="75" customWidth="1"/>
    <col min="23" max="16384" width="9.140625" style="75"/>
  </cols>
  <sheetData>
    <row r="1" spans="1:22" ht="11.25" customHeight="1" x14ac:dyDescent="0.25">
      <c r="A1" s="119" t="s">
        <v>782</v>
      </c>
      <c r="B1" s="146"/>
      <c r="C1" s="146"/>
      <c r="D1" s="146"/>
      <c r="E1" s="146"/>
      <c r="F1" s="146"/>
      <c r="G1" s="146"/>
      <c r="H1" s="146"/>
      <c r="I1" s="146"/>
      <c r="J1" s="146"/>
      <c r="L1" s="119" t="s">
        <v>792</v>
      </c>
      <c r="M1" s="120"/>
      <c r="N1" s="120"/>
      <c r="O1" s="120"/>
      <c r="P1" s="120"/>
      <c r="Q1" s="120"/>
      <c r="R1" s="120"/>
      <c r="S1" s="120"/>
      <c r="T1" s="120"/>
      <c r="U1" s="120"/>
      <c r="V1" s="120"/>
    </row>
    <row r="2" spans="1:22" ht="11.25" customHeight="1" x14ac:dyDescent="0.25">
      <c r="A2" s="137" t="s">
        <v>59</v>
      </c>
      <c r="B2" s="137" t="s">
        <v>60</v>
      </c>
      <c r="C2" s="137" t="s">
        <v>783</v>
      </c>
      <c r="D2" s="137" t="s">
        <v>65</v>
      </c>
      <c r="E2" s="137" t="s">
        <v>784</v>
      </c>
      <c r="F2" s="144"/>
      <c r="G2" s="144"/>
      <c r="H2" s="137" t="s">
        <v>549</v>
      </c>
      <c r="I2" s="144"/>
      <c r="J2" s="144"/>
      <c r="L2" s="137" t="s">
        <v>59</v>
      </c>
      <c r="M2" s="137" t="s">
        <v>60</v>
      </c>
      <c r="N2" s="137" t="s">
        <v>61</v>
      </c>
      <c r="O2" s="137" t="s">
        <v>62</v>
      </c>
      <c r="P2" s="137" t="s">
        <v>65</v>
      </c>
      <c r="Q2" s="137" t="s">
        <v>784</v>
      </c>
      <c r="R2" s="145"/>
      <c r="S2" s="145"/>
      <c r="T2" s="137" t="s">
        <v>549</v>
      </c>
      <c r="U2" s="145"/>
      <c r="V2" s="145"/>
    </row>
    <row r="3" spans="1:22" ht="11.25" customHeight="1" x14ac:dyDescent="0.25">
      <c r="A3" s="144"/>
      <c r="B3" s="144"/>
      <c r="C3" s="144"/>
      <c r="D3" s="144"/>
      <c r="E3" s="137" t="s">
        <v>508</v>
      </c>
      <c r="F3" s="144"/>
      <c r="G3" s="100" t="s">
        <v>536</v>
      </c>
      <c r="H3" s="137" t="s">
        <v>508</v>
      </c>
      <c r="I3" s="144"/>
      <c r="J3" s="100" t="s">
        <v>536</v>
      </c>
      <c r="L3" s="145"/>
      <c r="M3" s="145"/>
      <c r="N3" s="145"/>
      <c r="O3" s="145"/>
      <c r="P3" s="145"/>
      <c r="Q3" s="137" t="s">
        <v>508</v>
      </c>
      <c r="R3" s="145"/>
      <c r="S3" s="100" t="s">
        <v>536</v>
      </c>
      <c r="T3" s="137" t="s">
        <v>508</v>
      </c>
      <c r="U3" s="145"/>
      <c r="V3" s="100" t="s">
        <v>536</v>
      </c>
    </row>
    <row r="4" spans="1:22" ht="11.25" customHeight="1" x14ac:dyDescent="0.25">
      <c r="A4" s="144"/>
      <c r="B4" s="144"/>
      <c r="C4" s="144"/>
      <c r="D4" s="144"/>
      <c r="E4" s="100" t="s">
        <v>785</v>
      </c>
      <c r="F4" s="100" t="s">
        <v>786</v>
      </c>
      <c r="G4" s="100" t="s">
        <v>786</v>
      </c>
      <c r="H4" s="100" t="s">
        <v>785</v>
      </c>
      <c r="I4" s="100" t="s">
        <v>786</v>
      </c>
      <c r="J4" s="100" t="s">
        <v>786</v>
      </c>
      <c r="L4" s="145"/>
      <c r="M4" s="145"/>
      <c r="N4" s="145"/>
      <c r="O4" s="145"/>
      <c r="P4" s="145"/>
      <c r="Q4" s="100" t="s">
        <v>785</v>
      </c>
      <c r="R4" s="100" t="s">
        <v>786</v>
      </c>
      <c r="S4" s="100" t="s">
        <v>786</v>
      </c>
      <c r="T4" s="100" t="s">
        <v>785</v>
      </c>
      <c r="U4" s="100" t="s">
        <v>786</v>
      </c>
      <c r="V4" s="100" t="s">
        <v>786</v>
      </c>
    </row>
    <row r="5" spans="1:22" ht="11.25" customHeight="1" x14ac:dyDescent="0.25">
      <c r="A5" s="143" t="s">
        <v>34</v>
      </c>
      <c r="B5" s="143" t="s">
        <v>74</v>
      </c>
      <c r="C5" s="143" t="s">
        <v>25</v>
      </c>
      <c r="D5" s="101" t="s">
        <v>787</v>
      </c>
      <c r="E5" s="45">
        <f ca="1">ROUND('TUSD BE'!$AM$5+'TUSD BF'!$AM$5+'TUSD CVA'!$AM$5,2)</f>
        <v>177.81</v>
      </c>
      <c r="F5" s="45">
        <f ca="1">ROUND('TUSD BE'!$AM$7+'TUSD BF'!$AM$7+'TUSD CVA'!$AM$7,2)</f>
        <v>67.08</v>
      </c>
      <c r="G5" s="45">
        <f>ROUND('TE BE'!$AA$5+'TE BF'!$AA$5+'TE CVA'!$AA$5,2)</f>
        <v>256.69</v>
      </c>
      <c r="H5" s="45">
        <f ca="1">ROUND('TUSD BE'!$AM$5,2)</f>
        <v>195.07</v>
      </c>
      <c r="I5" s="45">
        <f ca="1">ROUND('TUSD BE'!$AM$7,2)</f>
        <v>68.489999999999995</v>
      </c>
      <c r="J5" s="45">
        <f>ROUND('TE BE'!$AA$5,2)</f>
        <v>266.67</v>
      </c>
      <c r="L5" s="140" t="s">
        <v>22</v>
      </c>
      <c r="M5" s="140" t="s">
        <v>793</v>
      </c>
      <c r="N5" s="140" t="s">
        <v>794</v>
      </c>
      <c r="O5" s="140" t="s">
        <v>794</v>
      </c>
      <c r="P5" s="101" t="s">
        <v>787</v>
      </c>
      <c r="Q5" s="45">
        <v>0</v>
      </c>
      <c r="R5" s="45">
        <f ca="1">ROUND('TUSD BE'!$AM$17+'TUSD BF'!$AM$17+'TUSD CVA'!$AM$17,2)</f>
        <v>1783.47</v>
      </c>
      <c r="S5" s="45">
        <f>ROUND('TE BE'!$AA$8+'TE BF'!$AA$8+'TE CVA'!$AA$8,2)</f>
        <v>256.69</v>
      </c>
      <c r="T5" s="45">
        <v>0</v>
      </c>
      <c r="U5" s="45">
        <f ca="1">ROUND('TUSD BE'!$AM$17,2)</f>
        <v>2072.69</v>
      </c>
      <c r="V5" s="45">
        <f>ROUND('TE BE'!$AA$8,2)</f>
        <v>266.67</v>
      </c>
    </row>
    <row r="6" spans="1:22" ht="11.25" customHeight="1" x14ac:dyDescent="0.25">
      <c r="A6" s="144"/>
      <c r="B6" s="144"/>
      <c r="C6" s="144"/>
      <c r="D6" s="101" t="s">
        <v>788</v>
      </c>
      <c r="E6" s="45">
        <f ca="1">ROUND('TUSD BE'!$AM$6+'TUSD BF'!$AM$6+'TUSD CVA'!$AM$6,2)</f>
        <v>56.08</v>
      </c>
      <c r="F6" s="45">
        <f ca="1">ROUND('TUSD BE'!$AM$7+'TUSD BF'!$AM$7+'TUSD CVA'!$AM$7,2)</f>
        <v>67.08</v>
      </c>
      <c r="G6" s="45">
        <f>ROUND('TE BE'!$AA$6+'TE BF'!$AA$6+'TE CVA'!$AA$6,2)</f>
        <v>256.69</v>
      </c>
      <c r="H6" s="45">
        <f ca="1">ROUND('TUSD BE'!$AM$6,2)</f>
        <v>61.53</v>
      </c>
      <c r="I6" s="45">
        <f ca="1">ROUND('TUSD BE'!$AM$7,2)</f>
        <v>68.489999999999995</v>
      </c>
      <c r="J6" s="45">
        <f>ROUND('TE BE'!$AA$6,2)</f>
        <v>266.67</v>
      </c>
      <c r="L6" s="141"/>
      <c r="M6" s="141"/>
      <c r="N6" s="141"/>
      <c r="O6" s="141"/>
      <c r="P6" s="101" t="s">
        <v>795</v>
      </c>
      <c r="Q6" s="45">
        <v>0</v>
      </c>
      <c r="R6" s="45">
        <f ca="1">ROUND('TUSD BE'!$AM$18+'TUSD BF'!$AM$18+'TUSD CVA'!$AM$18,2)</f>
        <v>1108.1600000000001</v>
      </c>
      <c r="S6" s="45">
        <f>ROUND('TE BE'!$AA$9+'TE BF'!$AA$9+'TE CVA'!$AA$9,2)</f>
        <v>256.69</v>
      </c>
      <c r="T6" s="45">
        <v>0</v>
      </c>
      <c r="U6" s="45">
        <f ca="1">ROUND('TUSD BE'!$AM$18,2)</f>
        <v>1282.72</v>
      </c>
      <c r="V6" s="45">
        <f>ROUND('TE BE'!$AA$9,2)</f>
        <v>266.67</v>
      </c>
    </row>
    <row r="7" spans="1:22" ht="11.25" customHeight="1" x14ac:dyDescent="0.25">
      <c r="A7" s="144"/>
      <c r="B7" s="143" t="s">
        <v>789</v>
      </c>
      <c r="C7" s="143" t="s">
        <v>25</v>
      </c>
      <c r="D7" s="101" t="s">
        <v>787</v>
      </c>
      <c r="E7" s="45">
        <f ca="1">ROUND('TUSD BE'!$AM$5+'TUSD BF'!$AM$5+'TUSD CVA'!$AM$5,2)</f>
        <v>177.81</v>
      </c>
      <c r="F7" s="45">
        <f ca="1">ROUND('TUSD BE'!$AM$8+'TUSD BF'!$AM$8+'TUSD CVA'!$AM$8,2)</f>
        <v>17.86</v>
      </c>
      <c r="G7" s="45">
        <v>0</v>
      </c>
      <c r="H7" s="45">
        <f ca="1">ROUND('TUSD BE'!$AM$5,2)</f>
        <v>195.07</v>
      </c>
      <c r="I7" s="45">
        <f ca="1">ROUND('TUSD BE'!$AM$8,2)</f>
        <v>18.78</v>
      </c>
      <c r="J7" s="45">
        <v>0</v>
      </c>
      <c r="L7" s="141"/>
      <c r="M7" s="142"/>
      <c r="N7" s="142"/>
      <c r="O7" s="142"/>
      <c r="P7" s="101" t="s">
        <v>788</v>
      </c>
      <c r="Q7" s="45">
        <v>0</v>
      </c>
      <c r="R7" s="45">
        <f ca="1">ROUND('TUSD BE'!$AM$19+'TUSD BF'!$AM$19+'TUSD CVA'!$AM$19,2)</f>
        <v>432.84</v>
      </c>
      <c r="S7" s="45">
        <f>ROUND('TE BE'!$AA$10+'TE BF'!$AA$10+'TE CVA'!$AA$10,2)</f>
        <v>256.69</v>
      </c>
      <c r="T7" s="45">
        <v>0</v>
      </c>
      <c r="U7" s="45">
        <f ca="1">ROUND('TUSD BE'!$AM$19,2)</f>
        <v>492.75</v>
      </c>
      <c r="V7" s="45">
        <f>ROUND('TE BE'!$AA$10,2)</f>
        <v>266.67</v>
      </c>
    </row>
    <row r="8" spans="1:22" ht="11.25" customHeight="1" x14ac:dyDescent="0.25">
      <c r="A8" s="144"/>
      <c r="B8" s="144"/>
      <c r="C8" s="144"/>
      <c r="D8" s="101" t="s">
        <v>788</v>
      </c>
      <c r="E8" s="45">
        <f ca="1">ROUND('TUSD BE'!$AM$6+'TUSD BF'!$AM$6+'TUSD CVA'!$AM$6,2)</f>
        <v>56.08</v>
      </c>
      <c r="F8" s="45">
        <f ca="1">ROUND('TUSD BE'!$AM$8+'TUSD BF'!$AM$8+'TUSD CVA'!$AM$8,2)</f>
        <v>17.86</v>
      </c>
      <c r="G8" s="45">
        <v>0</v>
      </c>
      <c r="H8" s="45">
        <f ca="1">ROUND('TUSD BE'!$AM$6,2)</f>
        <v>61.53</v>
      </c>
      <c r="I8" s="45">
        <f ca="1">ROUND('TUSD BE'!$AM$8,2)</f>
        <v>18.78</v>
      </c>
      <c r="J8" s="45">
        <v>0</v>
      </c>
      <c r="L8" s="141"/>
      <c r="M8" s="101" t="s">
        <v>796</v>
      </c>
      <c r="N8" s="101" t="s">
        <v>794</v>
      </c>
      <c r="O8" s="101" t="s">
        <v>794</v>
      </c>
      <c r="P8" s="101" t="s">
        <v>790</v>
      </c>
      <c r="Q8" s="45">
        <v>0</v>
      </c>
      <c r="R8" s="45">
        <f ca="1">ROUND('TUSD BE'!$AM$25+'TUSD BF'!$AM$25+'TUSD CVA'!$AM$25,2)</f>
        <v>657.95</v>
      </c>
      <c r="S8" s="45">
        <f>ROUND('TE BE'!$AA$16+'TE BF'!$AA$16+'TE CVA'!$AA$16,2)</f>
        <v>256.69</v>
      </c>
      <c r="T8" s="45">
        <v>0</v>
      </c>
      <c r="U8" s="45">
        <f ca="1">ROUND('TUSD BE'!$AM$25,2)</f>
        <v>756.07</v>
      </c>
      <c r="V8" s="45">
        <f>ROUND('TE BE'!$AA$16,2)</f>
        <v>266.67</v>
      </c>
    </row>
    <row r="9" spans="1:22" ht="11.25" customHeight="1" x14ac:dyDescent="0.25">
      <c r="A9" s="144"/>
      <c r="B9" s="143" t="s">
        <v>35</v>
      </c>
      <c r="C9" s="143" t="s">
        <v>25</v>
      </c>
      <c r="D9" s="101" t="s">
        <v>790</v>
      </c>
      <c r="E9" s="45">
        <f ca="1">ROUND('TUSD BE'!$AM$10+'TUSD BF'!$AM$10+'TUSD CVA'!$AM$10,2)</f>
        <v>56.08</v>
      </c>
      <c r="F9" s="45">
        <v>0</v>
      </c>
      <c r="G9" s="45">
        <v>0</v>
      </c>
      <c r="H9" s="45">
        <f ca="1">ROUND('TUSD BE'!$AM$10,2)</f>
        <v>61.53</v>
      </c>
      <c r="I9" s="45">
        <v>0</v>
      </c>
      <c r="J9" s="45">
        <v>0</v>
      </c>
      <c r="L9" s="141"/>
      <c r="M9" s="101" t="s">
        <v>798</v>
      </c>
      <c r="N9" s="101" t="s">
        <v>794</v>
      </c>
      <c r="O9" s="101" t="s">
        <v>794</v>
      </c>
      <c r="P9" s="101" t="s">
        <v>790</v>
      </c>
      <c r="Q9" s="45">
        <v>0</v>
      </c>
      <c r="R9" s="45">
        <f ca="1">ROUND('TUSD BE'!$AM$20+'TUSD BF'!$AM$20+'TUSD CVA'!$AM$20,2)</f>
        <v>657.95</v>
      </c>
      <c r="S9" s="45">
        <f>ROUND('TE BE'!$AA$11+'TE BF'!$AA$11+'TE CVA'!$AA$11,2)</f>
        <v>256.69</v>
      </c>
      <c r="T9" s="45">
        <v>0</v>
      </c>
      <c r="U9" s="45">
        <f ca="1">ROUND('TUSD BE'!$AM$20,2)</f>
        <v>756.07</v>
      </c>
      <c r="V9" s="45">
        <f>ROUND('TE BE'!$AA$11,2)</f>
        <v>266.67</v>
      </c>
    </row>
    <row r="10" spans="1:22" ht="11.25" customHeight="1" x14ac:dyDescent="0.25">
      <c r="A10" s="144"/>
      <c r="B10" s="144"/>
      <c r="C10" s="144"/>
      <c r="D10" s="101" t="s">
        <v>787</v>
      </c>
      <c r="E10" s="45">
        <v>0</v>
      </c>
      <c r="F10" s="45">
        <f ca="1">ROUND('TUSD BE'!$AM$11+'TUSD BF'!$AM$11+'TUSD CVA'!$AM$11,2)</f>
        <v>2998.84</v>
      </c>
      <c r="G10" s="45">
        <f>ROUND('TE BE'!$AA$5+'TE BF'!$AA$5+'TE CVA'!$AA$5,2)</f>
        <v>256.69</v>
      </c>
      <c r="H10" s="45">
        <v>0</v>
      </c>
      <c r="I10" s="45">
        <f ca="1">ROUND('TUSD BE'!$AM$11,2)</f>
        <v>3461.49</v>
      </c>
      <c r="J10" s="45">
        <f>ROUND('TE BE'!$AA$5,2)</f>
        <v>266.67</v>
      </c>
      <c r="L10" s="141"/>
      <c r="M10" s="101" t="s">
        <v>796</v>
      </c>
      <c r="N10" s="101" t="s">
        <v>794</v>
      </c>
      <c r="O10" s="101" t="s">
        <v>797</v>
      </c>
      <c r="P10" s="101" t="s">
        <v>790</v>
      </c>
      <c r="Q10" s="45">
        <v>0</v>
      </c>
      <c r="R10" s="45">
        <f ca="1">ROUND('TUSD BE'!$AM$26+'TUSD BF'!$AM$26+'TUSD CVA'!$AM$26,2)</f>
        <v>602.24</v>
      </c>
      <c r="S10" s="45">
        <f>ROUND('TE BE'!$AA$17+'TE BF'!$AA$17+'TE CVA'!$AA$17,2)</f>
        <v>256.69</v>
      </c>
      <c r="T10" s="45">
        <v>0</v>
      </c>
      <c r="U10" s="45">
        <f ca="1">ROUND('TUSD BE'!$AM$26,2)</f>
        <v>699.82</v>
      </c>
      <c r="V10" s="45">
        <f>ROUND('TE BE'!$AA$17,2)</f>
        <v>266.67</v>
      </c>
    </row>
    <row r="11" spans="1:22" ht="11.25" customHeight="1" x14ac:dyDescent="0.25">
      <c r="A11" s="144"/>
      <c r="B11" s="144"/>
      <c r="C11" s="144"/>
      <c r="D11" s="101" t="s">
        <v>788</v>
      </c>
      <c r="E11" s="45">
        <v>0</v>
      </c>
      <c r="F11" s="45">
        <f ca="1">ROUND('TUSD BE'!$AM$12+'TUSD BF'!$AM$12+'TUSD CVA'!$AM$12,2)</f>
        <v>67.08</v>
      </c>
      <c r="G11" s="45">
        <f>ROUND('TE BE'!$AA$6+'TE BF'!$AA$6+'TE CVA'!$AA$6,2)</f>
        <v>256.69</v>
      </c>
      <c r="H11" s="45">
        <v>0</v>
      </c>
      <c r="I11" s="45">
        <f ca="1">ROUND('TUSD BE'!$AM$12,2)</f>
        <v>68.489999999999995</v>
      </c>
      <c r="J11" s="45">
        <f>ROUND('TE BE'!$AA$6,2)</f>
        <v>266.67</v>
      </c>
      <c r="L11" s="142"/>
      <c r="M11" s="101" t="s">
        <v>798</v>
      </c>
      <c r="N11" s="101" t="s">
        <v>794</v>
      </c>
      <c r="O11" s="101" t="s">
        <v>797</v>
      </c>
      <c r="P11" s="101" t="s">
        <v>790</v>
      </c>
      <c r="Q11" s="45">
        <v>0</v>
      </c>
      <c r="R11" s="45">
        <f ca="1">ROUND('TUSD BE'!$AM$21+'TUSD BF'!$AM$21+'TUSD CVA'!$AM$21,2)</f>
        <v>602.24</v>
      </c>
      <c r="S11" s="45">
        <f>ROUND('TE BE'!$AA$12+'TE BF'!$AA$12+'TE CVA'!$AA$12,2)</f>
        <v>256.69</v>
      </c>
      <c r="T11" s="45">
        <v>0</v>
      </c>
      <c r="U11" s="45">
        <f ca="1">ROUND('TUSD BE'!$AM$21,2)</f>
        <v>699.82</v>
      </c>
      <c r="V11" s="45">
        <f>ROUND('TE BE'!$AA$12,2)</f>
        <v>266.67</v>
      </c>
    </row>
    <row r="12" spans="1:22" ht="11.25" customHeight="1" x14ac:dyDescent="0.25">
      <c r="A12" s="144"/>
      <c r="B12" s="143" t="s">
        <v>791</v>
      </c>
      <c r="C12" s="143" t="s">
        <v>25</v>
      </c>
      <c r="D12" s="101" t="s">
        <v>790</v>
      </c>
      <c r="E12" s="45">
        <f ca="1">ROUND('TUSD BE'!$AM$10+'TUSD BF'!$AM$10+'TUSD CVA'!$AM$10,2)</f>
        <v>56.08</v>
      </c>
      <c r="F12" s="45">
        <v>0</v>
      </c>
      <c r="G12" s="45">
        <v>0</v>
      </c>
      <c r="H12" s="45">
        <f ca="1">ROUND('TUSD BE'!$AM$10,2)</f>
        <v>61.53</v>
      </c>
      <c r="I12" s="45">
        <v>0</v>
      </c>
      <c r="J12" s="45">
        <v>0</v>
      </c>
      <c r="L12" s="140" t="s">
        <v>41</v>
      </c>
      <c r="M12" s="140" t="s">
        <v>793</v>
      </c>
      <c r="N12" s="140" t="s">
        <v>799</v>
      </c>
      <c r="O12" s="140" t="s">
        <v>800</v>
      </c>
      <c r="P12" s="101" t="s">
        <v>787</v>
      </c>
      <c r="Q12" s="45">
        <v>0</v>
      </c>
      <c r="R12" s="45">
        <f ca="1">ROUND(('TUSD BE'!$AM$30+'TUSD BF'!$AM$30+'TUSD CVA'!$AM$30)*(1-CUSTOS!$M$38),2)</f>
        <v>1500.05</v>
      </c>
      <c r="S12" s="45">
        <f>ROUND(('TE BE'!$AA$21+'TE BF'!$AA$21+'TE CVA'!$AA$21)*(1-CUSTOS!$M$38),2)</f>
        <v>241.29</v>
      </c>
      <c r="T12" s="45">
        <v>0</v>
      </c>
      <c r="U12" s="45">
        <f ca="1">ROUND('TUSD BE'!$AM$30*(1-CUSTOS!$M$38),2)</f>
        <v>1741.96</v>
      </c>
      <c r="V12" s="45">
        <f>ROUND('TE BE'!$AA$21*(1-CUSTOS!$M$38),2)</f>
        <v>250.67</v>
      </c>
    </row>
    <row r="13" spans="1:22" ht="11.25" customHeight="1" x14ac:dyDescent="0.25">
      <c r="A13" s="144"/>
      <c r="B13" s="144"/>
      <c r="C13" s="144"/>
      <c r="D13" s="101" t="s">
        <v>787</v>
      </c>
      <c r="E13" s="45">
        <v>0</v>
      </c>
      <c r="F13" s="45">
        <f ca="1">ROUND('TUSD BE'!$AM$13+'TUSD BF'!$AM$13+'TUSD CVA'!$AM$13,2)</f>
        <v>2949.62</v>
      </c>
      <c r="G13" s="45">
        <v>0</v>
      </c>
      <c r="H13" s="45">
        <v>0</v>
      </c>
      <c r="I13" s="45">
        <f ca="1">ROUND('TUSD BE'!$AM$13,2)</f>
        <v>3411.78</v>
      </c>
      <c r="J13" s="45">
        <v>0</v>
      </c>
      <c r="L13" s="141"/>
      <c r="M13" s="141"/>
      <c r="N13" s="141"/>
      <c r="O13" s="141"/>
      <c r="P13" s="101" t="s">
        <v>795</v>
      </c>
      <c r="Q13" s="45">
        <v>0</v>
      </c>
      <c r="R13" s="45">
        <f ca="1">ROUND(('TUSD BE'!$AM$31+'TUSD BF'!$AM$31+'TUSD CVA'!$AM$31)*(1-CUSTOS!$M$38),2)</f>
        <v>935.82</v>
      </c>
      <c r="S13" s="45">
        <f>ROUND(('TE BE'!$AA$22+'TE BF'!$AA$22+'TE CVA'!$AA$22)*(1-CUSTOS!$M$38),2)</f>
        <v>241.29</v>
      </c>
      <c r="T13" s="45">
        <v>0</v>
      </c>
      <c r="U13" s="45">
        <f ca="1">ROUND('TUSD BE'!$AM$31*(1-CUSTOS!$M$38),2)</f>
        <v>1081.94</v>
      </c>
      <c r="V13" s="45">
        <f>ROUND('TE BE'!$AA$22*(1-CUSTOS!$M$38),2)</f>
        <v>250.67</v>
      </c>
    </row>
    <row r="14" spans="1:22" ht="11.25" customHeight="1" x14ac:dyDescent="0.25">
      <c r="A14" s="144"/>
      <c r="B14" s="144"/>
      <c r="C14" s="144"/>
      <c r="D14" s="101" t="s">
        <v>788</v>
      </c>
      <c r="E14" s="45">
        <v>0</v>
      </c>
      <c r="F14" s="45">
        <f ca="1">ROUND('TUSD BE'!$AM$14+'TUSD BF'!$AM$14+'TUSD CVA'!$AM$14,2)</f>
        <v>17.86</v>
      </c>
      <c r="G14" s="45">
        <v>0</v>
      </c>
      <c r="H14" s="45">
        <v>0</v>
      </c>
      <c r="I14" s="45">
        <f ca="1">ROUND('TUSD BE'!$AM$14,2)</f>
        <v>18.78</v>
      </c>
      <c r="J14" s="45">
        <v>0</v>
      </c>
      <c r="L14" s="141"/>
      <c r="M14" s="142"/>
      <c r="N14" s="142"/>
      <c r="O14" s="142"/>
      <c r="P14" s="101" t="s">
        <v>788</v>
      </c>
      <c r="Q14" s="45">
        <v>0</v>
      </c>
      <c r="R14" s="45">
        <f ca="1">ROUND(('TUSD BE'!$AM$32+'TUSD BF'!$AM$32+'TUSD CVA'!$AM$32)*(1-CUSTOS!$M$38),2)</f>
        <v>371.59</v>
      </c>
      <c r="S14" s="45">
        <f>ROUND(('TE BE'!$AA$23+'TE BF'!$AA$23+'TE CVA'!$AA$23)*(1-CUSTOS!$M$38),2)</f>
        <v>241.29</v>
      </c>
      <c r="T14" s="45">
        <v>0</v>
      </c>
      <c r="U14" s="45">
        <f ca="1">ROUND('TUSD BE'!$AM$32*(1-CUSTOS!$M$38),2)</f>
        <v>421.92</v>
      </c>
      <c r="V14" s="45">
        <f>ROUND('TE BE'!$AA$23*(1-CUSTOS!$M$38),2)</f>
        <v>250.67</v>
      </c>
    </row>
    <row r="15" spans="1:22" ht="11.25" customHeight="1" x14ac:dyDescent="0.25">
      <c r="A15" s="144"/>
      <c r="B15" s="101" t="s">
        <v>79</v>
      </c>
      <c r="C15" s="101" t="s">
        <v>25</v>
      </c>
      <c r="D15" s="101" t="s">
        <v>790</v>
      </c>
      <c r="E15" s="45">
        <f ca="1">ROUND('TUSD BE'!$AM$9+'TUSD BF'!$AM$9+'TUSD CVA'!$AM$9,2)</f>
        <v>10.41</v>
      </c>
      <c r="F15" s="45">
        <v>0</v>
      </c>
      <c r="G15" s="45">
        <v>0</v>
      </c>
      <c r="H15" s="45">
        <f ca="1">ROUND('TUSD BE'!$AM$9,2)</f>
        <v>12.88</v>
      </c>
      <c r="I15" s="45">
        <v>0</v>
      </c>
      <c r="J15" s="45">
        <v>0</v>
      </c>
      <c r="L15" s="141"/>
      <c r="M15" s="101" t="s">
        <v>796</v>
      </c>
      <c r="N15" s="101" t="s">
        <v>799</v>
      </c>
      <c r="O15" s="101" t="s">
        <v>800</v>
      </c>
      <c r="P15" s="101" t="s">
        <v>790</v>
      </c>
      <c r="Q15" s="45">
        <v>0</v>
      </c>
      <c r="R15" s="45">
        <f ca="1">ROUND(('TUSD BE'!$AM$42+'TUSD BF'!$AM$42+'TUSD CVA'!$AM$42)*(1-CUSTOS!$M$38),2)</f>
        <v>618.47</v>
      </c>
      <c r="S15" s="45">
        <f>ROUND(('TE BE'!$AA$33+'TE BF'!$AA$33+'TE CVA'!$AA$33)*(1-CUSTOS!$M$38),2)</f>
        <v>241.29</v>
      </c>
      <c r="T15" s="45">
        <v>0</v>
      </c>
      <c r="U15" s="45">
        <f ca="1">ROUND(('TUSD BE'!$AM$42)*(1-CUSTOS!$M$38),2)</f>
        <v>710.71</v>
      </c>
      <c r="V15" s="45">
        <f>ROUND(('TE BE'!$AA$33)*(1-CUSTOS!$M$38),2)</f>
        <v>250.67</v>
      </c>
    </row>
    <row r="16" spans="1:22" ht="11.25" customHeight="1" x14ac:dyDescent="0.25">
      <c r="L16" s="141"/>
      <c r="M16" s="101" t="s">
        <v>798</v>
      </c>
      <c r="N16" s="101" t="s">
        <v>799</v>
      </c>
      <c r="O16" s="101" t="s">
        <v>800</v>
      </c>
      <c r="P16" s="101" t="s">
        <v>790</v>
      </c>
      <c r="Q16" s="45">
        <v>0</v>
      </c>
      <c r="R16" s="45">
        <f ca="1">ROUND(('TUSD BE'!$AM$33+'TUSD BF'!$AM$33+'TUSD CVA'!$AM$33)*(1-CUSTOS!$M$38),2)</f>
        <v>618.47</v>
      </c>
      <c r="S16" s="45">
        <f>ROUND(('TE BE'!$AA$24+'TE BF'!$AA$24+'TE CVA'!$AA$24)*(1-CUSTOS!$M$38),2)</f>
        <v>241.29</v>
      </c>
      <c r="T16" s="45">
        <v>0</v>
      </c>
      <c r="U16" s="45">
        <f ca="1">ROUND(('TUSD BE'!$AM$33)*(1-CUSTOS!$M$38),2)</f>
        <v>710.71</v>
      </c>
      <c r="V16" s="45">
        <f>ROUND(('TE BE'!$AA$24)*(1-CUSTOS!$M$38),2)</f>
        <v>250.67</v>
      </c>
    </row>
    <row r="17" spans="12:22" ht="11.25" customHeight="1" x14ac:dyDescent="0.25">
      <c r="L17" s="141"/>
      <c r="M17" s="140" t="s">
        <v>793</v>
      </c>
      <c r="N17" s="140" t="s">
        <v>799</v>
      </c>
      <c r="O17" s="140" t="s">
        <v>801</v>
      </c>
      <c r="P17" s="101" t="s">
        <v>787</v>
      </c>
      <c r="Q17" s="45">
        <v>0</v>
      </c>
      <c r="R17" s="45">
        <f ca="1">ROUND(('TUSD BE'!$AM$34+'TUSD BF'!$AM$34+'TUSD CVA'!$AM$34)*(1-CUSTOS!$M$39),2)</f>
        <v>1500.05</v>
      </c>
      <c r="S17" s="45">
        <f>ROUND(('TE BE'!$AA$25+'TE BF'!$AA$25+'TE CVA'!$AA$25)*(1-CUSTOS!$M$39),2)</f>
        <v>241.29</v>
      </c>
      <c r="T17" s="45">
        <v>0</v>
      </c>
      <c r="U17" s="45">
        <f ca="1">ROUND('TUSD BE'!$AM$34*(1-CUSTOS!$M$39),2)</f>
        <v>1741.96</v>
      </c>
      <c r="V17" s="45">
        <f>ROUND('TE BE'!$AA$25*(1-CUSTOS!$M$39),2)</f>
        <v>250.67</v>
      </c>
    </row>
    <row r="18" spans="12:22" ht="11.25" customHeight="1" x14ac:dyDescent="0.25">
      <c r="L18" s="141"/>
      <c r="M18" s="141"/>
      <c r="N18" s="141"/>
      <c r="O18" s="141"/>
      <c r="P18" s="101" t="s">
        <v>795</v>
      </c>
      <c r="Q18" s="45">
        <v>0</v>
      </c>
      <c r="R18" s="45">
        <f ca="1">ROUND(('TUSD BE'!$AM$35+'TUSD BF'!$AM$35+'TUSD CVA'!$AM$35)*(1-CUSTOS!$M$39),2)</f>
        <v>935.82</v>
      </c>
      <c r="S18" s="45">
        <f>ROUND(('TE BE'!$AA$26+'TE BF'!$AA$26+'TE CVA'!$AA$26)*(1-CUSTOS!$M$39),2)</f>
        <v>241.29</v>
      </c>
      <c r="T18" s="45">
        <v>0</v>
      </c>
      <c r="U18" s="45">
        <f ca="1">ROUND('TUSD BE'!$AM$35*(1-CUSTOS!$M$39),2)</f>
        <v>1081.94</v>
      </c>
      <c r="V18" s="45">
        <f>ROUND('TE BE'!$AA$26*(1-CUSTOS!$M$39),2)</f>
        <v>250.67</v>
      </c>
    </row>
    <row r="19" spans="12:22" ht="11.25" customHeight="1" x14ac:dyDescent="0.25">
      <c r="L19" s="141"/>
      <c r="M19" s="142"/>
      <c r="N19" s="142"/>
      <c r="O19" s="142"/>
      <c r="P19" s="101" t="s">
        <v>788</v>
      </c>
      <c r="Q19" s="45">
        <v>0</v>
      </c>
      <c r="R19" s="45">
        <f ca="1">ROUND(('TUSD BE'!$AM$36+'TUSD BF'!$AM$36+'TUSD CVA'!$AM$36)*(1-CUSTOS!$M$39),2)</f>
        <v>371.59</v>
      </c>
      <c r="S19" s="45">
        <f>ROUND(('TE BE'!$AA$27+'TE BF'!$AA$27+'TE CVA'!$AA$27)*(1-CUSTOS!$M$39),2)</f>
        <v>241.29</v>
      </c>
      <c r="T19" s="45">
        <v>0</v>
      </c>
      <c r="U19" s="45">
        <f ca="1">ROUND('TUSD BE'!$AM$36*(1-CUSTOS!$M$39),2)</f>
        <v>421.92</v>
      </c>
      <c r="V19" s="45">
        <f>ROUND('TE BE'!$AA$27*(1-CUSTOS!$M$39),2)</f>
        <v>250.67</v>
      </c>
    </row>
    <row r="20" spans="12:22" ht="11.25" customHeight="1" x14ac:dyDescent="0.25">
      <c r="L20" s="141"/>
      <c r="M20" s="101" t="s">
        <v>796</v>
      </c>
      <c r="N20" s="101" t="s">
        <v>799</v>
      </c>
      <c r="O20" s="101" t="s">
        <v>801</v>
      </c>
      <c r="P20" s="101" t="s">
        <v>790</v>
      </c>
      <c r="Q20" s="45">
        <v>0</v>
      </c>
      <c r="R20" s="45">
        <f ca="1">ROUND(('TUSD BE'!$AM$42+'TUSD BF'!$AM$42+'TUSD CVA'!$AM$42)*(1-CUSTOS!$M$39),2)</f>
        <v>618.47</v>
      </c>
      <c r="S20" s="45">
        <f>ROUND(('TE BE'!$AA$33+'TE BF'!$AA$33+'TE CVA'!$AA$33)*(1-CUSTOS!$M$39),2)</f>
        <v>241.29</v>
      </c>
      <c r="T20" s="45">
        <v>0</v>
      </c>
      <c r="U20" s="45">
        <f ca="1">ROUND(('TUSD BE'!$AM$42)*(1-CUSTOS!$M$39),2)</f>
        <v>710.71</v>
      </c>
      <c r="V20" s="45">
        <f>ROUND(('TE BE'!$AA$33)*(1-CUSTOS!$M$39),2)</f>
        <v>250.67</v>
      </c>
    </row>
    <row r="21" spans="12:22" ht="11.25" customHeight="1" x14ac:dyDescent="0.25">
      <c r="L21" s="141"/>
      <c r="M21" s="101" t="s">
        <v>798</v>
      </c>
      <c r="N21" s="101" t="s">
        <v>799</v>
      </c>
      <c r="O21" s="101" t="s">
        <v>801</v>
      </c>
      <c r="P21" s="101" t="s">
        <v>790</v>
      </c>
      <c r="Q21" s="45">
        <v>0</v>
      </c>
      <c r="R21" s="45">
        <f ca="1">ROUND(('TUSD BE'!$AM$33+'TUSD BF'!$AM$33+'TUSD CVA'!$AM$33)*(1-CUSTOS!$M$39),2)</f>
        <v>618.47</v>
      </c>
      <c r="S21" s="45">
        <f>ROUND(('TE BE'!$AA$24+'TE BF'!$AA$24+'TE CVA'!$AA$24)*(1-CUSTOS!$M$39),2)</f>
        <v>241.29</v>
      </c>
      <c r="T21" s="45">
        <v>0</v>
      </c>
      <c r="U21" s="45">
        <f ca="1">ROUND(('TUSD BE'!$AM$33)*(1-CUSTOS!$M$39),2)</f>
        <v>710.71</v>
      </c>
      <c r="V21" s="45">
        <f>ROUND(('TE BE'!$AA$24)*(1-CUSTOS!$M$39),2)</f>
        <v>250.67</v>
      </c>
    </row>
    <row r="22" spans="12:22" ht="11.25" customHeight="1" x14ac:dyDescent="0.25">
      <c r="L22" s="141"/>
      <c r="M22" s="140" t="s">
        <v>793</v>
      </c>
      <c r="N22" s="140" t="s">
        <v>799</v>
      </c>
      <c r="O22" s="140" t="s">
        <v>802</v>
      </c>
      <c r="P22" s="101" t="s">
        <v>787</v>
      </c>
      <c r="Q22" s="45">
        <v>0</v>
      </c>
      <c r="R22" s="45">
        <f ca="1">ROUND(('TUSD BE'!$AM$38+'TUSD BF'!$AM$38+'TUSD CVA'!$AM$38)*(1-CUSTOS!$M$40),2)</f>
        <v>1468.13</v>
      </c>
      <c r="S22" s="45">
        <f>ROUND(('TE BE'!$AA$29+'TE BF'!$AA$29+'TE CVA'!$AA$29)*(1-CUSTOS!$M$40),2)</f>
        <v>236.16</v>
      </c>
      <c r="T22" s="45">
        <v>0</v>
      </c>
      <c r="U22" s="45">
        <f ca="1">ROUND('TUSD BE'!$AM$38*(1-CUSTOS!$M$40),2)</f>
        <v>1704.89</v>
      </c>
      <c r="V22" s="45">
        <f>ROUND('TE BE'!$AA$29*(1-CUSTOS!$M$40),2)</f>
        <v>245.34</v>
      </c>
    </row>
    <row r="23" spans="12:22" ht="11.25" customHeight="1" x14ac:dyDescent="0.25">
      <c r="L23" s="141"/>
      <c r="M23" s="141"/>
      <c r="N23" s="141"/>
      <c r="O23" s="141"/>
      <c r="P23" s="101" t="s">
        <v>795</v>
      </c>
      <c r="Q23" s="45">
        <v>0</v>
      </c>
      <c r="R23" s="45">
        <f ca="1">ROUND(('TUSD BE'!$AM$39+'TUSD BF'!$AM$39+'TUSD CVA'!$AM$39)*(1-CUSTOS!$M$40),2)</f>
        <v>915.91</v>
      </c>
      <c r="S23" s="45">
        <f>ROUND(('TE BE'!$AA$30+'TE BF'!$AA$30+'TE CVA'!$AA$30)*(1-CUSTOS!$M$40),2)</f>
        <v>236.16</v>
      </c>
      <c r="T23" s="45">
        <v>0</v>
      </c>
      <c r="U23" s="45">
        <f ca="1">ROUND('TUSD BE'!$AM$39*(1-CUSTOS!$M$40),2)</f>
        <v>1058.92</v>
      </c>
      <c r="V23" s="45">
        <f>ROUND('TE BE'!$AA$30*(1-CUSTOS!$M$40),2)</f>
        <v>245.34</v>
      </c>
    </row>
    <row r="24" spans="12:22" ht="11.25" customHeight="1" x14ac:dyDescent="0.25">
      <c r="L24" s="141"/>
      <c r="M24" s="142"/>
      <c r="N24" s="142"/>
      <c r="O24" s="142"/>
      <c r="P24" s="101" t="s">
        <v>788</v>
      </c>
      <c r="Q24" s="45">
        <v>0</v>
      </c>
      <c r="R24" s="45">
        <f ca="1">ROUND(('TUSD BE'!$AM$40+'TUSD BF'!$AM$40+'TUSD CVA'!$AM$40)*(1-CUSTOS!$M$40),2)</f>
        <v>363.69</v>
      </c>
      <c r="S24" s="45">
        <f>ROUND(('TE BE'!$AA$31+'TE BF'!$AA$31+'TE CVA'!$AA$31)*(1-CUSTOS!$M$40),2)</f>
        <v>236.16</v>
      </c>
      <c r="T24" s="45">
        <v>0</v>
      </c>
      <c r="U24" s="45">
        <f ca="1">ROUND('TUSD BE'!$AM$40*(1-CUSTOS!$M$40),2)</f>
        <v>412.94</v>
      </c>
      <c r="V24" s="45">
        <f>ROUND('TE BE'!$AA$31*(1-CUSTOS!$M$40),2)</f>
        <v>245.34</v>
      </c>
    </row>
    <row r="25" spans="12:22" ht="11.25" customHeight="1" x14ac:dyDescent="0.25">
      <c r="L25" s="141"/>
      <c r="M25" s="101" t="s">
        <v>796</v>
      </c>
      <c r="N25" s="101" t="s">
        <v>799</v>
      </c>
      <c r="O25" s="101" t="s">
        <v>802</v>
      </c>
      <c r="P25" s="101" t="s">
        <v>790</v>
      </c>
      <c r="Q25" s="45">
        <v>0</v>
      </c>
      <c r="R25" s="45">
        <f ca="1">ROUND(('TUSD BE'!$AM$42+'TUSD BF'!$AM$42+'TUSD CVA'!$AM$42)*(1-CUSTOS!$M$40),2)</f>
        <v>605.30999999999995</v>
      </c>
      <c r="S25" s="45">
        <f>ROUND(('TE BE'!$AA$33+'TE BF'!$AA$33+'TE CVA'!$AA$33)*(1-CUSTOS!$M$40),2)</f>
        <v>236.16</v>
      </c>
      <c r="T25" s="45">
        <v>0</v>
      </c>
      <c r="U25" s="45">
        <f ca="1">ROUND(('TUSD BE'!$AM$42)*(1-CUSTOS!$M$40),2)</f>
        <v>695.59</v>
      </c>
      <c r="V25" s="45">
        <f>ROUND(('TE BE'!$AA$33)*(1-CUSTOS!$M$40),2)</f>
        <v>245.34</v>
      </c>
    </row>
    <row r="26" spans="12:22" ht="11.25" customHeight="1" x14ac:dyDescent="0.25">
      <c r="L26" s="142"/>
      <c r="M26" s="101" t="s">
        <v>798</v>
      </c>
      <c r="N26" s="101" t="s">
        <v>799</v>
      </c>
      <c r="O26" s="101" t="s">
        <v>802</v>
      </c>
      <c r="P26" s="101" t="s">
        <v>790</v>
      </c>
      <c r="Q26" s="45">
        <v>0</v>
      </c>
      <c r="R26" s="45">
        <f ca="1">ROUND(('TUSD BE'!$AM$33+'TUSD BF'!$AM$33+'TUSD CVA'!$AM$33)*(1-CUSTOS!$M$40),2)</f>
        <v>605.30999999999995</v>
      </c>
      <c r="S26" s="45">
        <f>ROUND(('TE BE'!$AA$24+'TE BF'!$AA$24+'TE CVA'!$AA$24)*(1-CUSTOS!$M$40),2)</f>
        <v>236.16</v>
      </c>
      <c r="T26" s="45">
        <v>0</v>
      </c>
      <c r="U26" s="45">
        <f ca="1">ROUND(('TUSD BE'!$AM$33)*(1-CUSTOS!$M$40),2)</f>
        <v>695.59</v>
      </c>
      <c r="V26" s="45">
        <f>ROUND(('TE BE'!$AA$24)*(1-CUSTOS!$M$40),2)</f>
        <v>245.34</v>
      </c>
    </row>
    <row r="27" spans="12:22" ht="11.25" customHeight="1" x14ac:dyDescent="0.25">
      <c r="L27" s="140" t="s">
        <v>32</v>
      </c>
      <c r="M27" s="140" t="s">
        <v>793</v>
      </c>
      <c r="N27" s="140" t="s">
        <v>790</v>
      </c>
      <c r="O27" s="140" t="s">
        <v>790</v>
      </c>
      <c r="P27" s="101" t="s">
        <v>787</v>
      </c>
      <c r="Q27" s="45">
        <v>0</v>
      </c>
      <c r="R27" s="45">
        <f ca="1">ROUND(('TUSD BE'!$AM$45+'TUSD BF'!$AM$45+'TUSD CVA'!$AM$45)*(1-CUSTOS!$M$31),2)</f>
        <v>1924.16</v>
      </c>
      <c r="S27" s="45">
        <f>ROUND(('TE BE'!$AA$36+'TE BF'!$AA$36+'TE CVA'!$AA$36)*(1-CUSTOS!$M$31),2)</f>
        <v>256.69</v>
      </c>
      <c r="T27" s="45">
        <v>0</v>
      </c>
      <c r="U27" s="45">
        <f ca="1">ROUND('TUSD BE'!$AM$45*(1-CUSTOS!$M$31),2)</f>
        <v>2237.2600000000002</v>
      </c>
      <c r="V27" s="45">
        <f>ROUND('TE BE'!$AA$36*(1-CUSTOS!$M$31),2)</f>
        <v>266.67</v>
      </c>
    </row>
    <row r="28" spans="12:22" ht="11.25" customHeight="1" x14ac:dyDescent="0.25">
      <c r="L28" s="141"/>
      <c r="M28" s="141"/>
      <c r="N28" s="141"/>
      <c r="O28" s="141"/>
      <c r="P28" s="101" t="s">
        <v>795</v>
      </c>
      <c r="Q28" s="45">
        <v>0</v>
      </c>
      <c r="R28" s="45">
        <f ca="1">ROUND(('TUSD BE'!$AM$46+'TUSD BF'!$AM$46+'TUSD CVA'!$AM$46)*(1-CUSTOS!$M$31),2)</f>
        <v>1192.57</v>
      </c>
      <c r="S28" s="45">
        <f>ROUND(('TE BE'!$AA$37+'TE BF'!$AA$37+'TE CVA'!$AA$37)*(1-CUSTOS!$M$31),2)</f>
        <v>256.69</v>
      </c>
      <c r="T28" s="45">
        <v>0</v>
      </c>
      <c r="U28" s="45">
        <f ca="1">ROUND('TUSD BE'!$AM$46*(1-CUSTOS!$M$31),2)</f>
        <v>1381.47</v>
      </c>
      <c r="V28" s="45">
        <f>ROUND('TE BE'!$AA$37*(1-CUSTOS!$M$31),2)</f>
        <v>266.67</v>
      </c>
    </row>
    <row r="29" spans="12:22" ht="11.25" customHeight="1" x14ac:dyDescent="0.25">
      <c r="L29" s="141"/>
      <c r="M29" s="142"/>
      <c r="N29" s="142"/>
      <c r="O29" s="142"/>
      <c r="P29" s="101" t="s">
        <v>788</v>
      </c>
      <c r="Q29" s="45">
        <v>0</v>
      </c>
      <c r="R29" s="45">
        <f ca="1">ROUND(('TUSD BE'!$AM$47+'TUSD BF'!$AM$47+'TUSD CVA'!$AM$47)*(1-CUSTOS!$M$31),2)</f>
        <v>460.98</v>
      </c>
      <c r="S29" s="45">
        <f>ROUND(('TE BE'!$AA$38+'TE BF'!$AA$38+'TE CVA'!$AA$38)*(1-CUSTOS!$M$31),2)</f>
        <v>256.69</v>
      </c>
      <c r="T29" s="45">
        <v>0</v>
      </c>
      <c r="U29" s="45">
        <f ca="1">ROUND('TUSD BE'!$AM$47*(1-CUSTOS!$M$31),2)</f>
        <v>525.66999999999996</v>
      </c>
      <c r="V29" s="45">
        <f>ROUND('TE BE'!$AA$38*(1-CUSTOS!$M$31),2)</f>
        <v>266.67</v>
      </c>
    </row>
    <row r="30" spans="12:22" ht="11.25" customHeight="1" x14ac:dyDescent="0.25">
      <c r="L30" s="141"/>
      <c r="M30" s="101" t="s">
        <v>796</v>
      </c>
      <c r="N30" s="101" t="s">
        <v>790</v>
      </c>
      <c r="O30" s="101" t="s">
        <v>790</v>
      </c>
      <c r="P30" s="101" t="s">
        <v>790</v>
      </c>
      <c r="Q30" s="45">
        <v>0</v>
      </c>
      <c r="R30" s="45">
        <f ca="1">ROUND(('TUSD BE'!$AM$49+'TUSD BF'!$AM$49+'TUSD CVA'!$AM$49)*(1-CUSTOS!$M$31),2)</f>
        <v>657.95</v>
      </c>
      <c r="S30" s="45">
        <f>ROUND(('TE BE'!$AA$40+'TE BF'!$AA$40+'TE CVA'!$AA$40)*(1-CUSTOS!$M$31),2)</f>
        <v>256.69</v>
      </c>
      <c r="T30" s="45">
        <v>0</v>
      </c>
      <c r="U30" s="45">
        <f ca="1">ROUND(('TUSD BE'!$AM$49)*(1-CUSTOS!$M$31),2)</f>
        <v>756.07</v>
      </c>
      <c r="V30" s="45">
        <f>ROUND(('TE BE'!$AA$40)*(1-CUSTOS!$M$31),2)</f>
        <v>266.67</v>
      </c>
    </row>
    <row r="31" spans="12:22" ht="11.25" customHeight="1" x14ac:dyDescent="0.25">
      <c r="L31" s="142"/>
      <c r="M31" s="101" t="s">
        <v>798</v>
      </c>
      <c r="N31" s="101" t="s">
        <v>790</v>
      </c>
      <c r="O31" s="101" t="s">
        <v>790</v>
      </c>
      <c r="P31" s="101" t="s">
        <v>790</v>
      </c>
      <c r="Q31" s="45">
        <v>0</v>
      </c>
      <c r="R31" s="45">
        <f ca="1">ROUND(('TUSD BE'!$AM$48+'TUSD BF'!$AM$48+'TUSD CVA'!$AM$48)*(1-CUSTOS!$M$31),2)</f>
        <v>657.95</v>
      </c>
      <c r="S31" s="45">
        <f>ROUND(('TE BE'!$AA$39+'TE BF'!$AA$39+'TE CVA'!$AA$39)*(1-CUSTOS!$M$31),2)</f>
        <v>256.69</v>
      </c>
      <c r="T31" s="45">
        <v>0</v>
      </c>
      <c r="U31" s="45">
        <f ca="1">ROUND(('TUSD BE'!$AM$48)*(1-CUSTOS!$M$31),2)</f>
        <v>756.07</v>
      </c>
      <c r="V31" s="45">
        <f>ROUND(('TE BE'!$AA$39)*(1-CUSTOS!$M$31),2)</f>
        <v>266.67</v>
      </c>
    </row>
    <row r="32" spans="12:22" ht="11.25" customHeight="1" x14ac:dyDescent="0.25">
      <c r="L32" s="140" t="s">
        <v>44</v>
      </c>
      <c r="M32" s="140" t="s">
        <v>798</v>
      </c>
      <c r="N32" s="140" t="s">
        <v>803</v>
      </c>
      <c r="O32" s="101" t="s">
        <v>804</v>
      </c>
      <c r="P32" s="101" t="s">
        <v>790</v>
      </c>
      <c r="Q32" s="45">
        <v>0</v>
      </c>
      <c r="R32" s="45">
        <f ca="1">ROUND(('TUSD BE'!$AM$50+'TUSD BF'!$AM$50+'TUSD CVA'!$AM$50),2)</f>
        <v>361.87</v>
      </c>
      <c r="S32" s="45">
        <f>ROUND(('TE BE'!$AA$41+'TE BF'!$AA$41+'TE CVA'!$AA$41),2)</f>
        <v>141.18</v>
      </c>
      <c r="T32" s="45">
        <v>0</v>
      </c>
      <c r="U32" s="45">
        <f ca="1">ROUND(('TUSD BE'!$AM$50),2)</f>
        <v>415.84</v>
      </c>
      <c r="V32" s="45">
        <f>ROUND(('TE BE'!$AA$41),2)</f>
        <v>146.66999999999999</v>
      </c>
    </row>
    <row r="33" spans="12:22" ht="11.25" customHeight="1" x14ac:dyDescent="0.25">
      <c r="L33" s="142"/>
      <c r="M33" s="142"/>
      <c r="N33" s="142"/>
      <c r="O33" s="101" t="s">
        <v>805</v>
      </c>
      <c r="P33" s="101" t="s">
        <v>790</v>
      </c>
      <c r="Q33" s="45">
        <v>0</v>
      </c>
      <c r="R33" s="45">
        <f ca="1">ROUND(('TUSD BE'!$AM$51+'TUSD BF'!$AM$51+'TUSD CVA'!$AM$51),2)</f>
        <v>394.77</v>
      </c>
      <c r="S33" s="45">
        <f>ROUND(('TE BE'!$AA$42+'TE BF'!$AA$42+'TE CVA'!$AA$42),2)</f>
        <v>154.02000000000001</v>
      </c>
      <c r="T33" s="45">
        <v>0</v>
      </c>
      <c r="U33" s="45">
        <f ca="1">ROUND(('TUSD BE'!$AM$51),2)</f>
        <v>453.64</v>
      </c>
      <c r="V33" s="45">
        <f>ROUND(('TE BE'!$AA$42),2)</f>
        <v>160</v>
      </c>
    </row>
    <row r="34" spans="12:22" ht="11.25" customHeight="1" x14ac:dyDescent="0.25">
      <c r="L34" s="140" t="s">
        <v>80</v>
      </c>
      <c r="M34" s="140" t="s">
        <v>806</v>
      </c>
      <c r="N34" s="101" t="s">
        <v>81</v>
      </c>
      <c r="O34" s="101" t="s">
        <v>790</v>
      </c>
      <c r="P34" s="101" t="s">
        <v>790</v>
      </c>
      <c r="Q34" s="45">
        <f ca="1">ROUND(('TUSD BE'!$AM$15+'TUSD BF'!$AM$15+'TUSD CVA'!$AM$15),2)</f>
        <v>5.0999999999999996</v>
      </c>
      <c r="R34" s="45">
        <v>0</v>
      </c>
      <c r="S34" s="45">
        <v>0</v>
      </c>
      <c r="T34" s="45">
        <f ca="1">ROUND(('TUSD BE'!$AM$15),2)</f>
        <v>6.31</v>
      </c>
      <c r="U34" s="45">
        <v>0</v>
      </c>
      <c r="V34" s="45">
        <v>0</v>
      </c>
    </row>
    <row r="35" spans="12:22" ht="11.25" customHeight="1" x14ac:dyDescent="0.25">
      <c r="L35" s="142"/>
      <c r="M35" s="142"/>
      <c r="N35" s="101" t="s">
        <v>82</v>
      </c>
      <c r="O35" s="101" t="s">
        <v>790</v>
      </c>
      <c r="P35" s="101" t="s">
        <v>790</v>
      </c>
      <c r="Q35" s="45">
        <f ca="1">ROUND(('TUSD BE'!$AM$16+'TUSD BF'!$AM$16+'TUSD CVA'!$AM$16),2)</f>
        <v>15.35</v>
      </c>
      <c r="R35" s="45">
        <v>0</v>
      </c>
      <c r="S35" s="45">
        <v>0</v>
      </c>
      <c r="T35" s="45">
        <f ca="1">ROUND(('TUSD BE'!$AM$16),2)</f>
        <v>19.02</v>
      </c>
      <c r="U35" s="45">
        <v>0</v>
      </c>
      <c r="V35" s="45">
        <v>0</v>
      </c>
    </row>
  </sheetData>
  <mergeCells count="51">
    <mergeCell ref="C5:C6"/>
    <mergeCell ref="C7:C8"/>
    <mergeCell ref="C9:C11"/>
    <mergeCell ref="C12:C14"/>
    <mergeCell ref="A1:J1"/>
    <mergeCell ref="A2:A4"/>
    <mergeCell ref="B2:B4"/>
    <mergeCell ref="C2:C4"/>
    <mergeCell ref="D2:D4"/>
    <mergeCell ref="E2:G2"/>
    <mergeCell ref="E3:F3"/>
    <mergeCell ref="H2:J2"/>
    <mergeCell ref="H3:I3"/>
    <mergeCell ref="A5:A15"/>
    <mergeCell ref="B5:B6"/>
    <mergeCell ref="B7:B8"/>
    <mergeCell ref="B9:B11"/>
    <mergeCell ref="B12:B14"/>
    <mergeCell ref="L1:V1"/>
    <mergeCell ref="L2:L4"/>
    <mergeCell ref="M2:M4"/>
    <mergeCell ref="N2:N4"/>
    <mergeCell ref="O2:O4"/>
    <mergeCell ref="P2:P4"/>
    <mergeCell ref="Q2:S2"/>
    <mergeCell ref="Q3:R3"/>
    <mergeCell ref="T2:V2"/>
    <mergeCell ref="T3:U3"/>
    <mergeCell ref="L5:L11"/>
    <mergeCell ref="L12:L26"/>
    <mergeCell ref="N5:N7"/>
    <mergeCell ref="N12:N14"/>
    <mergeCell ref="L27:L31"/>
    <mergeCell ref="L32:L33"/>
    <mergeCell ref="L34:L35"/>
    <mergeCell ref="M32:M33"/>
    <mergeCell ref="M34:M35"/>
    <mergeCell ref="N17:N19"/>
    <mergeCell ref="N22:N24"/>
    <mergeCell ref="N27:N29"/>
    <mergeCell ref="N32:N33"/>
    <mergeCell ref="M5:M7"/>
    <mergeCell ref="M12:M14"/>
    <mergeCell ref="M17:M19"/>
    <mergeCell ref="M22:M24"/>
    <mergeCell ref="M27:M29"/>
    <mergeCell ref="O5:O7"/>
    <mergeCell ref="O12:O14"/>
    <mergeCell ref="O17:O19"/>
    <mergeCell ref="O22:O24"/>
    <mergeCell ref="O27:O29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E006A-683A-49E6-A703-A403D0A7D11E}">
  <dimension ref="A1:AN332"/>
  <sheetViews>
    <sheetView showGridLines="0" workbookViewId="0">
      <selection sqref="A1:O332 Q1:AJ13"/>
    </sheetView>
  </sheetViews>
  <sheetFormatPr defaultRowHeight="11.25" customHeight="1" x14ac:dyDescent="0.25"/>
  <cols>
    <col min="1" max="1" width="19.140625" style="4" bestFit="1" customWidth="1"/>
    <col min="2" max="2" width="8.7109375" style="4" bestFit="1" customWidth="1"/>
    <col min="3" max="3" width="10.28515625" style="4" bestFit="1" customWidth="1"/>
    <col min="4" max="4" width="13.5703125" style="4" bestFit="1" customWidth="1"/>
    <col min="5" max="5" width="25.140625" style="4" bestFit="1" customWidth="1"/>
    <col min="6" max="6" width="12.85546875" style="4" bestFit="1" customWidth="1"/>
    <col min="7" max="8" width="10.28515625" style="4" bestFit="1" customWidth="1"/>
    <col min="9" max="9" width="8.7109375" style="5" bestFit="1" customWidth="1"/>
    <col min="10" max="10" width="10.140625" style="6" bestFit="1" customWidth="1"/>
    <col min="11" max="11" width="10.5703125" style="6" bestFit="1" customWidth="1"/>
    <col min="12" max="12" width="9.42578125" style="6" bestFit="1" customWidth="1"/>
    <col min="13" max="13" width="13.7109375" style="6" bestFit="1" customWidth="1"/>
    <col min="14" max="14" width="14.140625" style="6" bestFit="1" customWidth="1"/>
    <col min="15" max="15" width="12.85546875" style="6" bestFit="1" customWidth="1"/>
    <col min="16" max="16" width="7" style="6" bestFit="1" customWidth="1"/>
    <col min="17" max="17" width="9.28515625" style="4" bestFit="1" customWidth="1"/>
    <col min="18" max="18" width="18.85546875" style="4" bestFit="1" customWidth="1"/>
    <col min="19" max="19" width="20.28515625" style="4" bestFit="1" customWidth="1"/>
    <col min="20" max="20" width="18.140625" style="4" bestFit="1" customWidth="1"/>
    <col min="21" max="21" width="17" style="4" bestFit="1" customWidth="1"/>
    <col min="22" max="22" width="18.5703125" style="4" bestFit="1" customWidth="1"/>
    <col min="23" max="23" width="16.28515625" style="4" bestFit="1" customWidth="1"/>
    <col min="24" max="24" width="16.7109375" style="4" bestFit="1" customWidth="1"/>
    <col min="25" max="25" width="18.28515625" style="4" bestFit="1" customWidth="1"/>
    <col min="26" max="26" width="16" style="4" bestFit="1" customWidth="1"/>
    <col min="27" max="27" width="16.85546875" style="4" bestFit="1" customWidth="1"/>
    <col min="28" max="28" width="18.42578125" style="4" bestFit="1" customWidth="1"/>
    <col min="29" max="29" width="16.140625" style="4" bestFit="1" customWidth="1"/>
    <col min="30" max="30" width="17.28515625" style="4" bestFit="1" customWidth="1"/>
    <col min="31" max="31" width="21.5703125" style="4" bestFit="1" customWidth="1"/>
    <col min="32" max="32" width="11.42578125" style="4" bestFit="1" customWidth="1"/>
    <col min="33" max="33" width="12.85546875" style="4" bestFit="1" customWidth="1"/>
    <col min="34" max="34" width="10.7109375" style="4" bestFit="1" customWidth="1"/>
    <col min="35" max="35" width="11.7109375" style="4" bestFit="1" customWidth="1"/>
    <col min="36" max="36" width="16" style="4" bestFit="1" customWidth="1"/>
    <col min="37" max="37" width="9.140625" style="4"/>
    <col min="38" max="38" width="8.7109375" style="4" bestFit="1" customWidth="1"/>
    <col min="39" max="39" width="5.5703125" style="4" bestFit="1" customWidth="1"/>
    <col min="40" max="40" width="14.7109375" style="4" bestFit="1" customWidth="1"/>
    <col min="41" max="16384" width="9.140625" style="4"/>
  </cols>
  <sheetData>
    <row r="1" spans="1:40" s="1" customFormat="1" ht="11.25" customHeight="1" x14ac:dyDescent="0.25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71" t="s">
        <v>8</v>
      </c>
      <c r="J1" s="83" t="s">
        <v>753</v>
      </c>
      <c r="K1" s="83" t="s">
        <v>754</v>
      </c>
      <c r="L1" s="83" t="s">
        <v>755</v>
      </c>
      <c r="M1" s="83" t="s">
        <v>756</v>
      </c>
      <c r="N1" s="83" t="s">
        <v>757</v>
      </c>
      <c r="O1" s="83" t="s">
        <v>758</v>
      </c>
      <c r="P1" s="82"/>
      <c r="Q1" s="137" t="s">
        <v>759</v>
      </c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5"/>
      <c r="AH1" s="145"/>
      <c r="AI1" s="145"/>
      <c r="AJ1" s="145"/>
      <c r="AL1" s="52" t="s">
        <v>780</v>
      </c>
      <c r="AM1" s="52" t="s">
        <v>56</v>
      </c>
      <c r="AN1" s="52" t="s">
        <v>781</v>
      </c>
    </row>
    <row r="2" spans="1:40" ht="11.25" customHeight="1" x14ac:dyDescent="0.2">
      <c r="A2" s="53" t="s">
        <v>21</v>
      </c>
      <c r="B2" s="53" t="s">
        <v>34</v>
      </c>
      <c r="C2" s="53" t="s">
        <v>35</v>
      </c>
      <c r="D2" s="53" t="s">
        <v>33</v>
      </c>
      <c r="E2" s="53" t="s">
        <v>25</v>
      </c>
      <c r="F2" s="53" t="s">
        <v>25</v>
      </c>
      <c r="G2" s="53" t="s">
        <v>25</v>
      </c>
      <c r="H2" s="53" t="s">
        <v>37</v>
      </c>
      <c r="I2" s="72">
        <v>44317</v>
      </c>
      <c r="J2" s="73">
        <f>EFEITO!$J$2*EFEITO!$Y$2</f>
        <v>0</v>
      </c>
      <c r="K2" s="73">
        <f ca="1">EFEITO!$L$2*EFEITO!$Z$2</f>
        <v>1387.8395959763598</v>
      </c>
      <c r="L2" s="73">
        <f>EFEITO!$N$2*EFEITO!$AA$2</f>
        <v>5310.4475063827995</v>
      </c>
      <c r="M2" s="73">
        <f>$J$2-EFEITO!$K$2*EFEITO!$Y$2</f>
        <v>0</v>
      </c>
      <c r="N2" s="73">
        <f ca="1">$K$2-EFEITO!$M$2*EFEITO!$Z$2</f>
        <v>0</v>
      </c>
      <c r="O2" s="73">
        <f>$L$2-EFEITO!$O$2*EFEITO!$AA$2</f>
        <v>0</v>
      </c>
      <c r="P2" s="57"/>
      <c r="Q2" s="44" t="s">
        <v>59</v>
      </c>
      <c r="R2" s="44" t="s">
        <v>761</v>
      </c>
      <c r="S2" s="44" t="s">
        <v>762</v>
      </c>
      <c r="T2" s="44" t="s">
        <v>763</v>
      </c>
      <c r="U2" s="44" t="s">
        <v>764</v>
      </c>
      <c r="V2" s="44" t="s">
        <v>765</v>
      </c>
      <c r="W2" s="44" t="s">
        <v>766</v>
      </c>
      <c r="X2" s="74" t="s">
        <v>767</v>
      </c>
      <c r="Y2" s="74" t="s">
        <v>768</v>
      </c>
      <c r="Z2" s="74" t="s">
        <v>769</v>
      </c>
      <c r="AA2" s="74" t="s">
        <v>770</v>
      </c>
      <c r="AB2" s="74" t="s">
        <v>771</v>
      </c>
      <c r="AC2" s="74" t="s">
        <v>772</v>
      </c>
      <c r="AD2" s="74" t="s">
        <v>773</v>
      </c>
      <c r="AE2" s="74" t="s">
        <v>774</v>
      </c>
      <c r="AF2" s="74" t="s">
        <v>775</v>
      </c>
      <c r="AG2" s="74" t="s">
        <v>776</v>
      </c>
      <c r="AH2" s="74" t="s">
        <v>777</v>
      </c>
      <c r="AI2" s="74" t="s">
        <v>778</v>
      </c>
      <c r="AJ2" s="74" t="s">
        <v>779</v>
      </c>
      <c r="AL2" s="53"/>
      <c r="AM2" s="53"/>
      <c r="AN2" s="53"/>
    </row>
    <row r="3" spans="1:40" ht="11.25" customHeight="1" x14ac:dyDescent="0.2">
      <c r="A3" s="53" t="s">
        <v>21</v>
      </c>
      <c r="B3" s="53" t="s">
        <v>34</v>
      </c>
      <c r="C3" s="53" t="s">
        <v>35</v>
      </c>
      <c r="D3" s="53" t="s">
        <v>33</v>
      </c>
      <c r="E3" s="53" t="s">
        <v>25</v>
      </c>
      <c r="F3" s="53" t="s">
        <v>25</v>
      </c>
      <c r="G3" s="53" t="s">
        <v>25</v>
      </c>
      <c r="H3" s="53" t="s">
        <v>37</v>
      </c>
      <c r="I3" s="72">
        <v>44348</v>
      </c>
      <c r="J3" s="73">
        <f>EFEITO!$J$3*EFEITO!$Y$3</f>
        <v>0</v>
      </c>
      <c r="K3" s="73">
        <f ca="1">EFEITO!$L$3*EFEITO!$Z$3</f>
        <v>1480.9525773769392</v>
      </c>
      <c r="L3" s="73">
        <f>EFEITO!$N$3*EFEITO!$AA$3</f>
        <v>5666.7362311923189</v>
      </c>
      <c r="M3" s="73">
        <f>$J$3-EFEITO!$K$3*EFEITO!$Y$3</f>
        <v>0</v>
      </c>
      <c r="N3" s="73">
        <f ca="1">$K$3-EFEITO!$M$3*EFEITO!$Z$3</f>
        <v>0</v>
      </c>
      <c r="O3" s="73">
        <f>$L$3-EFEITO!$O$3*EFEITO!$AA$3</f>
        <v>0</v>
      </c>
      <c r="P3" s="57"/>
      <c r="Q3" s="73" t="s">
        <v>760</v>
      </c>
      <c r="R3" s="73">
        <f>SUMIF($B$2:$B$332,$Q$3,$J$2:$J$332)</f>
        <v>0</v>
      </c>
      <c r="S3" s="73">
        <f>SUMIF($B$2:$B$332,$Q$3,$K$2:$K$332)</f>
        <v>0</v>
      </c>
      <c r="T3" s="73">
        <f>SUMIF($B$2:$B$332,$Q$3,$L$2:$L$332)</f>
        <v>0</v>
      </c>
      <c r="U3" s="73">
        <f>SUMIF($B$2:$B$332,$Q$3,$M$2:$M$332)</f>
        <v>0</v>
      </c>
      <c r="V3" s="73">
        <f>SUMIF($B$2:$B$332,$Q$3,$N$2:$N$332)</f>
        <v>0</v>
      </c>
      <c r="W3" s="73">
        <f>SUMIF($B$2:$B$332,$Q$3,$O$2:$O$332)</f>
        <v>0</v>
      </c>
      <c r="X3" s="54">
        <f>$R$3-$U$3</f>
        <v>0</v>
      </c>
      <c r="Y3" s="54">
        <f>$S$3-$V$3</f>
        <v>0</v>
      </c>
      <c r="Z3" s="54">
        <f>$T$3-$W$3</f>
        <v>0</v>
      </c>
      <c r="AA3" s="54">
        <f>SUMIF(EFEITO!$B$2:$B$332,$Q$3,EFEITO!$AE$2:$AE$332)</f>
        <v>0</v>
      </c>
      <c r="AB3" s="54">
        <f>SUMIF(EFEITO!$B$2:$B$332,$Q$3,EFEITO!$AF$2:$AF$332)</f>
        <v>0</v>
      </c>
      <c r="AC3" s="54">
        <f>SUMIF(EFEITO!$B$2:$B$332,$Q$3,EFEITO!$AG$2:$AH$332)</f>
        <v>0</v>
      </c>
      <c r="AD3" s="54">
        <f>SUMIF(SUBSIDIO!$B$2:$B$332,$Q$3,SUBSIDIO!$AD$2:$AD$332)</f>
        <v>0</v>
      </c>
      <c r="AE3" s="54">
        <f>SUMIF(SUBSIDIO!$B$2:$B$332,$Q$3,SUBSIDIO!$AE$2:$AE$332)</f>
        <v>0</v>
      </c>
      <c r="AF3" s="54" t="str">
        <f>IF(ABS($X$3-$AA$3)&lt;0.01,"OK","ERRO")</f>
        <v>OK</v>
      </c>
      <c r="AG3" s="54" t="str">
        <f>IF(ABS($Y$3-$AB$3)&lt;0.01,"OK","ERRO")</f>
        <v>OK</v>
      </c>
      <c r="AH3" s="54" t="str">
        <f>IF(ABS($Z$3-$AC$3)&lt;0.01,"OK","ERRO")</f>
        <v>OK</v>
      </c>
      <c r="AI3" s="54" t="str">
        <f>IF(ABS($U$3-$AD$3)&lt;0.01,"OK","ERRO")</f>
        <v>OK</v>
      </c>
      <c r="AJ3" s="54" t="str">
        <f>IF(ABS(($V$3+$W$3)-$AE$3)&lt;0.01,"OK","ERRO")</f>
        <v>OK</v>
      </c>
    </row>
    <row r="4" spans="1:40" ht="11.25" customHeight="1" x14ac:dyDescent="0.2">
      <c r="A4" s="53" t="s">
        <v>21</v>
      </c>
      <c r="B4" s="53" t="s">
        <v>34</v>
      </c>
      <c r="C4" s="53" t="s">
        <v>35</v>
      </c>
      <c r="D4" s="53" t="s">
        <v>33</v>
      </c>
      <c r="E4" s="53" t="s">
        <v>25</v>
      </c>
      <c r="F4" s="53" t="s">
        <v>25</v>
      </c>
      <c r="G4" s="53" t="s">
        <v>25</v>
      </c>
      <c r="H4" s="53" t="s">
        <v>37</v>
      </c>
      <c r="I4" s="72">
        <v>44378</v>
      </c>
      <c r="J4" s="73">
        <f>EFEITO!$J$4*EFEITO!$Y$4</f>
        <v>0</v>
      </c>
      <c r="K4" s="73">
        <f ca="1">EFEITO!$L$4*EFEITO!$Z$4</f>
        <v>1480.1475660103636</v>
      </c>
      <c r="L4" s="73">
        <f>EFEITO!$N$4*EFEITO!$AA$4</f>
        <v>5663.6559252141387</v>
      </c>
      <c r="M4" s="73">
        <f>$J$4-EFEITO!$K$4*EFEITO!$Y$4</f>
        <v>0</v>
      </c>
      <c r="N4" s="73">
        <f ca="1">$K$4-EFEITO!$M$4*EFEITO!$Z$4</f>
        <v>0</v>
      </c>
      <c r="O4" s="73">
        <f>$L$4-EFEITO!$O$4*EFEITO!$AA$4</f>
        <v>0</v>
      </c>
      <c r="P4" s="57"/>
      <c r="Q4" s="73" t="s">
        <v>640</v>
      </c>
      <c r="R4" s="73">
        <f>SUMIF($B$2:$B$332,$Q$4,$J$2:$J$332)</f>
        <v>0</v>
      </c>
      <c r="S4" s="73">
        <f>SUMIF($B$2:$B$332,$Q$4,$K$2:$K$332)</f>
        <v>0</v>
      </c>
      <c r="T4" s="73">
        <f>SUMIF($B$2:$B$332,$Q$4,$L$2:$L$332)</f>
        <v>0</v>
      </c>
      <c r="U4" s="73">
        <f>SUMIF($B$2:$B$332,$Q$4,$M$2:$M$332)</f>
        <v>0</v>
      </c>
      <c r="V4" s="73">
        <f>SUMIF($B$2:$B$332,$Q$4,$N$2:$N$332)</f>
        <v>0</v>
      </c>
      <c r="W4" s="73">
        <f>SUMIF($B$2:$B$332,$Q$4,$O$2:$O$332)</f>
        <v>0</v>
      </c>
      <c r="X4" s="54">
        <f>$R$4-$U$4</f>
        <v>0</v>
      </c>
      <c r="Y4" s="54">
        <f>$S$4-$V$4</f>
        <v>0</v>
      </c>
      <c r="Z4" s="54">
        <f>$T$4-$W$4</f>
        <v>0</v>
      </c>
      <c r="AA4" s="54">
        <f>SUMIF(EFEITO!$B$2:$B$332,$Q$4,EFEITO!$AE$2:$AE$332)</f>
        <v>0</v>
      </c>
      <c r="AB4" s="54">
        <f>SUMIF(EFEITO!$B$2:$B$332,$Q$4,EFEITO!$AF$2:$AF$332)</f>
        <v>0</v>
      </c>
      <c r="AC4" s="54">
        <f>SUMIF(EFEITO!$B$2:$B$332,$Q$4,EFEITO!$AG$2:$AH$332)</f>
        <v>0</v>
      </c>
      <c r="AD4" s="54">
        <f>SUMIF(SUBSIDIO!$B$2:$B$332,$Q$4,SUBSIDIO!$AD$2:$AD$332)</f>
        <v>0</v>
      </c>
      <c r="AE4" s="54">
        <f>SUMIF(SUBSIDIO!$B$2:$B$332,$Q$4,SUBSIDIO!$AE$2:$AE$332)</f>
        <v>0</v>
      </c>
      <c r="AF4" s="54" t="str">
        <f>IF(ABS($X$4-$AA$4)&lt;0.01,"OK","ERRO")</f>
        <v>OK</v>
      </c>
      <c r="AG4" s="54" t="str">
        <f>IF(ABS($Y$4-$AB$4)&lt;0.01,"OK","ERRO")</f>
        <v>OK</v>
      </c>
      <c r="AH4" s="54" t="str">
        <f>IF(ABS($Z$4-$AC$4)&lt;0.01,"OK","ERRO")</f>
        <v>OK</v>
      </c>
      <c r="AI4" s="54" t="str">
        <f>IF(ABS($U$4-$AD$4)&lt;0.01,"OK","ERRO")</f>
        <v>OK</v>
      </c>
      <c r="AJ4" s="54" t="str">
        <f>IF(ABS(($V$4+$W$4)-$AE$4)&lt;0.01,"OK","ERRO")</f>
        <v>OK</v>
      </c>
    </row>
    <row r="5" spans="1:40" ht="11.25" customHeight="1" x14ac:dyDescent="0.2">
      <c r="A5" s="53" t="s">
        <v>21</v>
      </c>
      <c r="B5" s="53" t="s">
        <v>34</v>
      </c>
      <c r="C5" s="53" t="s">
        <v>35</v>
      </c>
      <c r="D5" s="53" t="s">
        <v>33</v>
      </c>
      <c r="E5" s="53" t="s">
        <v>25</v>
      </c>
      <c r="F5" s="53" t="s">
        <v>25</v>
      </c>
      <c r="G5" s="53" t="s">
        <v>25</v>
      </c>
      <c r="H5" s="53" t="s">
        <v>37</v>
      </c>
      <c r="I5" s="72">
        <v>44409</v>
      </c>
      <c r="J5" s="73">
        <f>EFEITO!$J$5*EFEITO!$Y$5</f>
        <v>0</v>
      </c>
      <c r="K5" s="73">
        <f ca="1">EFEITO!$L$5*EFEITO!$Z$5</f>
        <v>1649.3341215523385</v>
      </c>
      <c r="L5" s="73">
        <f>EFEITO!$N$5*EFEITO!$AA$5</f>
        <v>6311.0335649616936</v>
      </c>
      <c r="M5" s="73">
        <f>$J$5-EFEITO!$K$5*EFEITO!$Y$5</f>
        <v>0</v>
      </c>
      <c r="N5" s="73">
        <f ca="1">$K$5-EFEITO!$M$5*EFEITO!$Z$5</f>
        <v>0</v>
      </c>
      <c r="O5" s="73">
        <f>$L$5-EFEITO!$O$5*EFEITO!$AA$5</f>
        <v>0</v>
      </c>
      <c r="P5" s="57"/>
      <c r="Q5" s="73" t="s">
        <v>641</v>
      </c>
      <c r="R5" s="73">
        <f>SUMIF($B$2:$B$332,$Q$5,$J$2:$J$332)</f>
        <v>0</v>
      </c>
      <c r="S5" s="73">
        <f>SUMIF($B$2:$B$332,$Q$5,$K$2:$K$332)</f>
        <v>0</v>
      </c>
      <c r="T5" s="73">
        <f>SUMIF($B$2:$B$332,$Q$5,$L$2:$L$332)</f>
        <v>0</v>
      </c>
      <c r="U5" s="73">
        <f>SUMIF($B$2:$B$332,$Q$5,$M$2:$M$332)</f>
        <v>0</v>
      </c>
      <c r="V5" s="73">
        <f>SUMIF($B$2:$B$332,$Q$5,$N$2:$N$332)</f>
        <v>0</v>
      </c>
      <c r="W5" s="73">
        <f>SUMIF($B$2:$B$332,$Q$5,$O$2:$O$332)</f>
        <v>0</v>
      </c>
      <c r="X5" s="54">
        <f>$R$5-$U$5</f>
        <v>0</v>
      </c>
      <c r="Y5" s="54">
        <f>$S$5-$V$5</f>
        <v>0</v>
      </c>
      <c r="Z5" s="54">
        <f>$T$5-$W$5</f>
        <v>0</v>
      </c>
      <c r="AA5" s="54">
        <f>SUMIF(EFEITO!$B$2:$B$332,$Q$5,EFEITO!$AE$2:$AE$332)</f>
        <v>0</v>
      </c>
      <c r="AB5" s="54">
        <f>SUMIF(EFEITO!$B$2:$B$332,$Q$5,EFEITO!$AF$2:$AF$332)</f>
        <v>0</v>
      </c>
      <c r="AC5" s="54">
        <f>SUMIF(EFEITO!$B$2:$B$332,$Q$5,EFEITO!$AG$2:$AH$332)</f>
        <v>0</v>
      </c>
      <c r="AD5" s="54">
        <f>SUMIF(SUBSIDIO!$B$2:$B$332,$Q$5,SUBSIDIO!$AD$2:$AD$332)</f>
        <v>0</v>
      </c>
      <c r="AE5" s="54">
        <f>SUMIF(SUBSIDIO!$B$2:$B$332,$Q$5,SUBSIDIO!$AE$2:$AE$332)</f>
        <v>0</v>
      </c>
      <c r="AF5" s="54" t="str">
        <f>IF(ABS($X$5-$AA$5)&lt;0.01,"OK","ERRO")</f>
        <v>OK</v>
      </c>
      <c r="AG5" s="54" t="str">
        <f>IF(ABS($Y$5-$AB$5)&lt;0.01,"OK","ERRO")</f>
        <v>OK</v>
      </c>
      <c r="AH5" s="54" t="str">
        <f>IF(ABS($Z$5-$AC$5)&lt;0.01,"OK","ERRO")</f>
        <v>OK</v>
      </c>
      <c r="AI5" s="54" t="str">
        <f>IF(ABS($U$5-$AD$5)&lt;0.01,"OK","ERRO")</f>
        <v>OK</v>
      </c>
      <c r="AJ5" s="54" t="str">
        <f>IF(ABS(($V$5+$W$5)-$AE$5)&lt;0.01,"OK","ERRO")</f>
        <v>OK</v>
      </c>
    </row>
    <row r="6" spans="1:40" ht="11.25" customHeight="1" x14ac:dyDescent="0.2">
      <c r="A6" s="53" t="s">
        <v>21</v>
      </c>
      <c r="B6" s="53" t="s">
        <v>34</v>
      </c>
      <c r="C6" s="53" t="s">
        <v>35</v>
      </c>
      <c r="D6" s="53" t="s">
        <v>33</v>
      </c>
      <c r="E6" s="53" t="s">
        <v>25</v>
      </c>
      <c r="F6" s="53" t="s">
        <v>25</v>
      </c>
      <c r="G6" s="53" t="s">
        <v>25</v>
      </c>
      <c r="H6" s="53" t="s">
        <v>37</v>
      </c>
      <c r="I6" s="72">
        <v>44440</v>
      </c>
      <c r="J6" s="73">
        <f>EFEITO!$J$6*EFEITO!$Y$6</f>
        <v>0</v>
      </c>
      <c r="K6" s="73">
        <f ca="1">EFEITO!$L$6*EFEITO!$Z$6</f>
        <v>2040.0329714637037</v>
      </c>
      <c r="L6" s="73">
        <f>EFEITO!$N$6*EFEITO!$AA$6</f>
        <v>7806.0087330385222</v>
      </c>
      <c r="M6" s="73">
        <f>$J$6-EFEITO!$K$6*EFEITO!$Y$6</f>
        <v>0</v>
      </c>
      <c r="N6" s="73">
        <f ca="1">$K$6-EFEITO!$M$6*EFEITO!$Z$6</f>
        <v>0</v>
      </c>
      <c r="O6" s="73">
        <f>$L$6-EFEITO!$O$6*EFEITO!$AA$6</f>
        <v>0</v>
      </c>
      <c r="P6" s="57"/>
      <c r="Q6" s="73" t="s">
        <v>642</v>
      </c>
      <c r="R6" s="73">
        <f>SUMIF($B$2:$B$332,$Q$6,$J$2:$J$332)</f>
        <v>0</v>
      </c>
      <c r="S6" s="73">
        <f>SUMIF($B$2:$B$332,$Q$6,$K$2:$K$332)</f>
        <v>0</v>
      </c>
      <c r="T6" s="73">
        <f>SUMIF($B$2:$B$332,$Q$6,$L$2:$L$332)</f>
        <v>0</v>
      </c>
      <c r="U6" s="73">
        <f>SUMIF($B$2:$B$332,$Q$6,$M$2:$M$332)</f>
        <v>0</v>
      </c>
      <c r="V6" s="73">
        <f>SUMIF($B$2:$B$332,$Q$6,$N$2:$N$332)</f>
        <v>0</v>
      </c>
      <c r="W6" s="73">
        <f>SUMIF($B$2:$B$332,$Q$6,$O$2:$O$332)</f>
        <v>0</v>
      </c>
      <c r="X6" s="54">
        <f>$R$6-$U$6</f>
        <v>0</v>
      </c>
      <c r="Y6" s="54">
        <f>$S$6-$V$6</f>
        <v>0</v>
      </c>
      <c r="Z6" s="54">
        <f>$T$6-$W$6</f>
        <v>0</v>
      </c>
      <c r="AA6" s="54">
        <f>SUMIF(EFEITO!$B$2:$B$332,$Q$6,EFEITO!$AE$2:$AE$332)</f>
        <v>0</v>
      </c>
      <c r="AB6" s="54">
        <f>SUMIF(EFEITO!$B$2:$B$332,$Q$6,EFEITO!$AF$2:$AF$332)</f>
        <v>0</v>
      </c>
      <c r="AC6" s="54">
        <f>SUMIF(EFEITO!$B$2:$B$332,$Q$6,EFEITO!$AG$2:$AH$332)</f>
        <v>0</v>
      </c>
      <c r="AD6" s="54">
        <f>SUMIF(SUBSIDIO!$B$2:$B$332,$Q$6,SUBSIDIO!$AD$2:$AD$332)</f>
        <v>0</v>
      </c>
      <c r="AE6" s="54">
        <f>SUMIF(SUBSIDIO!$B$2:$B$332,$Q$6,SUBSIDIO!$AE$2:$AE$332)</f>
        <v>0</v>
      </c>
      <c r="AF6" s="54" t="str">
        <f>IF(ABS($X$6-$AA$6)&lt;0.01,"OK","ERRO")</f>
        <v>OK</v>
      </c>
      <c r="AG6" s="54" t="str">
        <f>IF(ABS($Y$6-$AB$6)&lt;0.01,"OK","ERRO")</f>
        <v>OK</v>
      </c>
      <c r="AH6" s="54" t="str">
        <f>IF(ABS($Z$6-$AC$6)&lt;0.01,"OK","ERRO")</f>
        <v>OK</v>
      </c>
      <c r="AI6" s="54" t="str">
        <f>IF(ABS($U$6-$AD$6)&lt;0.01,"OK","ERRO")</f>
        <v>OK</v>
      </c>
      <c r="AJ6" s="54" t="str">
        <f>IF(ABS(($V$6+$W$6)-$AE$6)&lt;0.01,"OK","ERRO")</f>
        <v>OK</v>
      </c>
    </row>
    <row r="7" spans="1:40" ht="11.25" customHeight="1" x14ac:dyDescent="0.2">
      <c r="A7" s="53" t="s">
        <v>21</v>
      </c>
      <c r="B7" s="53" t="s">
        <v>34</v>
      </c>
      <c r="C7" s="53" t="s">
        <v>35</v>
      </c>
      <c r="D7" s="53" t="s">
        <v>33</v>
      </c>
      <c r="E7" s="53" t="s">
        <v>25</v>
      </c>
      <c r="F7" s="53" t="s">
        <v>25</v>
      </c>
      <c r="G7" s="53" t="s">
        <v>25</v>
      </c>
      <c r="H7" s="53" t="s">
        <v>37</v>
      </c>
      <c r="I7" s="72">
        <v>44470</v>
      </c>
      <c r="J7" s="73">
        <f>EFEITO!$J$7*EFEITO!$Y$7</f>
        <v>0</v>
      </c>
      <c r="K7" s="73">
        <f ca="1">EFEITO!$L$7*EFEITO!$Z$7</f>
        <v>1867.8947075776182</v>
      </c>
      <c r="L7" s="73">
        <f>EFEITO!$N$7*EFEITO!$AA$7</f>
        <v>7147.3366380376392</v>
      </c>
      <c r="M7" s="73">
        <f>$J$7-EFEITO!$K$7*EFEITO!$Y$7</f>
        <v>0</v>
      </c>
      <c r="N7" s="73">
        <f ca="1">$K$7-EFEITO!$M$7*EFEITO!$Z$7</f>
        <v>0</v>
      </c>
      <c r="O7" s="73">
        <f>$L$7-EFEITO!$O$7*EFEITO!$AA$7</f>
        <v>0</v>
      </c>
      <c r="P7" s="57"/>
      <c r="Q7" s="73" t="s">
        <v>34</v>
      </c>
      <c r="R7" s="73">
        <f ca="1">SUMIF($B$2:$B$332,$Q$7,$J$2:$J$332)</f>
        <v>81040.387117428923</v>
      </c>
      <c r="S7" s="73">
        <f ca="1">SUMIF($B$2:$B$332,$Q$7,$K$2:$K$332)</f>
        <v>27704.760928566891</v>
      </c>
      <c r="T7" s="73">
        <f>SUMIF($B$2:$B$332,$Q$7,$L$2:$L$332)</f>
        <v>80297.9296235332</v>
      </c>
      <c r="U7" s="73">
        <f ca="1">SUMIF($B$2:$B$332,$Q$7,$M$2:$M$332)</f>
        <v>0</v>
      </c>
      <c r="V7" s="73">
        <f ca="1">SUMIF($B$2:$B$332,$Q$7,$N$2:$N$332)</f>
        <v>0</v>
      </c>
      <c r="W7" s="73">
        <f>SUMIF($B$2:$B$332,$Q$7,$O$2:$O$332)</f>
        <v>0</v>
      </c>
      <c r="X7" s="54">
        <f ca="1">$R$7-$U$7</f>
        <v>81040.387117428923</v>
      </c>
      <c r="Y7" s="54">
        <f ca="1">$S$7-$V$7</f>
        <v>27704.760928566891</v>
      </c>
      <c r="Z7" s="54">
        <f>$T$7-$W$7</f>
        <v>80297.9296235332</v>
      </c>
      <c r="AA7" s="54">
        <f ca="1">SUMIF(EFEITO!$B$2:$B$332,$Q$7,EFEITO!$AE$2:$AE$332)</f>
        <v>81040.387117428923</v>
      </c>
      <c r="AB7" s="54">
        <f ca="1">SUMIF(EFEITO!$B$2:$B$332,$Q$7,EFEITO!$AF$2:$AF$332)</f>
        <v>27704.760928566891</v>
      </c>
      <c r="AC7" s="54">
        <f>SUMIF(EFEITO!$B$2:$B$332,$Q$7,EFEITO!$AG$2:$AH$332)</f>
        <v>80297.9296235332</v>
      </c>
      <c r="AD7" s="54">
        <f>SUMIF(SUBSIDIO!$B$2:$B$332,$Q$7,SUBSIDIO!$AD$2:$AD$332)</f>
        <v>0</v>
      </c>
      <c r="AE7" s="54">
        <f>SUMIF(SUBSIDIO!$B$2:$B$332,$Q$7,SUBSIDIO!$AE$2:$AE$332)</f>
        <v>0</v>
      </c>
      <c r="AF7" s="54" t="str">
        <f ca="1">IF(ABS($X$7-$AA$7)&lt;0.01,"OK","ERRO")</f>
        <v>OK</v>
      </c>
      <c r="AG7" s="54" t="str">
        <f ca="1">IF(ABS($Y$7-$AB$7)&lt;0.01,"OK","ERRO")</f>
        <v>OK</v>
      </c>
      <c r="AH7" s="54" t="str">
        <f>IF(ABS($Z$7-$AC$7)&lt;0.01,"OK","ERRO")</f>
        <v>OK</v>
      </c>
      <c r="AI7" s="54" t="str">
        <f ca="1">IF(ABS($U$7-$AD$7)&lt;0.01,"OK","ERRO")</f>
        <v>OK</v>
      </c>
      <c r="AJ7" s="54" t="str">
        <f ca="1">IF(ABS(($V$7+$W$7)-$AE$7)&lt;0.01,"OK","ERRO")</f>
        <v>OK</v>
      </c>
    </row>
    <row r="8" spans="1:40" ht="11.25" customHeight="1" x14ac:dyDescent="0.2">
      <c r="A8" s="53" t="s">
        <v>21</v>
      </c>
      <c r="B8" s="53" t="s">
        <v>34</v>
      </c>
      <c r="C8" s="53" t="s">
        <v>35</v>
      </c>
      <c r="D8" s="53" t="s">
        <v>33</v>
      </c>
      <c r="E8" s="53" t="s">
        <v>25</v>
      </c>
      <c r="F8" s="53" t="s">
        <v>25</v>
      </c>
      <c r="G8" s="53" t="s">
        <v>25</v>
      </c>
      <c r="H8" s="53" t="s">
        <v>37</v>
      </c>
      <c r="I8" s="72">
        <v>44501</v>
      </c>
      <c r="J8" s="73">
        <f>EFEITO!$J$8*EFEITO!$Y$8</f>
        <v>0</v>
      </c>
      <c r="K8" s="73">
        <f ca="1">EFEITO!$L$8*EFEITO!$Z$8</f>
        <v>2044.3934496993215</v>
      </c>
      <c r="L8" s="73">
        <f>EFEITO!$N$8*EFEITO!$AA$8</f>
        <v>7822.6937237536658</v>
      </c>
      <c r="M8" s="73">
        <f>$J$8-EFEITO!$K$8*EFEITO!$Y$8</f>
        <v>0</v>
      </c>
      <c r="N8" s="73">
        <f ca="1">$K$8-EFEITO!$M$8*EFEITO!$Z$8</f>
        <v>0</v>
      </c>
      <c r="O8" s="73">
        <f>$L$8-EFEITO!$O$8*EFEITO!$AA$8</f>
        <v>0</v>
      </c>
      <c r="P8" s="57"/>
      <c r="Q8" s="73" t="s">
        <v>643</v>
      </c>
      <c r="R8" s="73">
        <f>SUMIF($B$2:$B$332,$Q$8,$J$2:$J$332)</f>
        <v>0</v>
      </c>
      <c r="S8" s="73">
        <f>SUMIF($B$2:$B$332,$Q$8,$K$2:$K$332)</f>
        <v>0</v>
      </c>
      <c r="T8" s="73">
        <f>SUMIF($B$2:$B$332,$Q$8,$L$2:$L$332)</f>
        <v>0</v>
      </c>
      <c r="U8" s="73">
        <f>SUMIF($B$2:$B$332,$Q$8,$M$2:$M$332)</f>
        <v>0</v>
      </c>
      <c r="V8" s="73">
        <f>SUMIF($B$2:$B$332,$Q$8,$N$2:$N$332)</f>
        <v>0</v>
      </c>
      <c r="W8" s="73">
        <f>SUMIF($B$2:$B$332,$Q$8,$O$2:$O$332)</f>
        <v>0</v>
      </c>
      <c r="X8" s="54">
        <f>$R$8-$U$8</f>
        <v>0</v>
      </c>
      <c r="Y8" s="54">
        <f>$S$8-$V$8</f>
        <v>0</v>
      </c>
      <c r="Z8" s="54">
        <f>$T$8-$W$8</f>
        <v>0</v>
      </c>
      <c r="AA8" s="54">
        <f>SUMIF(EFEITO!$B$2:$B$332,$Q$8,EFEITO!$AE$2:$AE$332)</f>
        <v>0</v>
      </c>
      <c r="AB8" s="54">
        <f>SUMIF(EFEITO!$B$2:$B$332,$Q$8,EFEITO!$AF$2:$AF$332)</f>
        <v>0</v>
      </c>
      <c r="AC8" s="54">
        <f>SUMIF(EFEITO!$B$2:$B$332,$Q$8,EFEITO!$AG$2:$AH$332)</f>
        <v>0</v>
      </c>
      <c r="AD8" s="54">
        <f>SUMIF(SUBSIDIO!$B$2:$B$332,$Q$8,SUBSIDIO!$AD$2:$AD$332)</f>
        <v>0</v>
      </c>
      <c r="AE8" s="54">
        <f>SUMIF(SUBSIDIO!$B$2:$B$332,$Q$8,SUBSIDIO!$AE$2:$AE$332)</f>
        <v>0</v>
      </c>
      <c r="AF8" s="54" t="str">
        <f>IF(ABS($X$8-$AA$8)&lt;0.01,"OK","ERRO")</f>
        <v>OK</v>
      </c>
      <c r="AG8" s="54" t="str">
        <f>IF(ABS($Y$8-$AB$8)&lt;0.01,"OK","ERRO")</f>
        <v>OK</v>
      </c>
      <c r="AH8" s="54" t="str">
        <f>IF(ABS($Z$8-$AC$8)&lt;0.01,"OK","ERRO")</f>
        <v>OK</v>
      </c>
      <c r="AI8" s="54" t="str">
        <f>IF(ABS($U$8-$AD$8)&lt;0.01,"OK","ERRO")</f>
        <v>OK</v>
      </c>
      <c r="AJ8" s="54" t="str">
        <f>IF(ABS(($V$8+$W$8)-$AE$8)&lt;0.01,"OK","ERRO")</f>
        <v>OK</v>
      </c>
    </row>
    <row r="9" spans="1:40" ht="11.25" customHeight="1" x14ac:dyDescent="0.2">
      <c r="A9" s="53" t="s">
        <v>21</v>
      </c>
      <c r="B9" s="53" t="s">
        <v>34</v>
      </c>
      <c r="C9" s="53" t="s">
        <v>35</v>
      </c>
      <c r="D9" s="53" t="s">
        <v>33</v>
      </c>
      <c r="E9" s="53" t="s">
        <v>25</v>
      </c>
      <c r="F9" s="53" t="s">
        <v>25</v>
      </c>
      <c r="G9" s="53" t="s">
        <v>25</v>
      </c>
      <c r="H9" s="53" t="s">
        <v>37</v>
      </c>
      <c r="I9" s="72">
        <v>44531</v>
      </c>
      <c r="J9" s="73">
        <f>EFEITO!$J$9*EFEITO!$Y$9</f>
        <v>0</v>
      </c>
      <c r="K9" s="73">
        <f ca="1">EFEITO!$L$9*EFEITO!$Z$9</f>
        <v>2140.7264765662035</v>
      </c>
      <c r="L9" s="73">
        <f>EFEITO!$N$9*EFEITO!$AA$9</f>
        <v>8191.3036724759058</v>
      </c>
      <c r="M9" s="73">
        <f>$J$9-EFEITO!$K$9*EFEITO!$Y$9</f>
        <v>0</v>
      </c>
      <c r="N9" s="73">
        <f ca="1">$K$9-EFEITO!$M$9*EFEITO!$Z$9</f>
        <v>0</v>
      </c>
      <c r="O9" s="73">
        <f>$L$9-EFEITO!$O$9*EFEITO!$AA$9</f>
        <v>0</v>
      </c>
      <c r="P9" s="57"/>
      <c r="Q9" s="73" t="s">
        <v>22</v>
      </c>
      <c r="R9" s="73">
        <f>SUMIF($B$2:$B$332,$Q$9,$J$2:$J$332)</f>
        <v>0</v>
      </c>
      <c r="S9" s="73">
        <f ca="1">SUMIF($B$2:$B$332,$Q$9,$K$2:$K$332)</f>
        <v>3167087.0024822084</v>
      </c>
      <c r="T9" s="73">
        <f>SUMIF($B$2:$B$332,$Q$9,$L$2:$L$332)</f>
        <v>1290117.1087684652</v>
      </c>
      <c r="U9" s="73">
        <f>SUMIF($B$2:$B$332,$Q$9,$M$2:$M$332)</f>
        <v>0</v>
      </c>
      <c r="V9" s="73">
        <f ca="1">SUMIF($B$2:$B$332,$Q$9,$N$2:$N$332)</f>
        <v>623041.2252987579</v>
      </c>
      <c r="W9" s="73">
        <f>SUMIF($B$2:$B$332,$Q$9,$O$2:$O$332)</f>
        <v>265557.13143826049</v>
      </c>
      <c r="X9" s="54">
        <f>$R$9-$U$9</f>
        <v>0</v>
      </c>
      <c r="Y9" s="54">
        <f ca="1">$S$9-$V$9</f>
        <v>2544045.7771834508</v>
      </c>
      <c r="Z9" s="54">
        <f>$T$9-$W$9</f>
        <v>1024559.9773302048</v>
      </c>
      <c r="AA9" s="54">
        <f>SUMIF(EFEITO!$B$2:$B$332,$Q$9,EFEITO!$AE$2:$AE$332)</f>
        <v>0</v>
      </c>
      <c r="AB9" s="54">
        <f ca="1">SUMIF(EFEITO!$B$2:$B$332,$Q$9,EFEITO!$AF$2:$AF$332)</f>
        <v>2544045.7771834498</v>
      </c>
      <c r="AC9" s="54">
        <f>SUMIF(EFEITO!$B$2:$B$332,$Q$9,EFEITO!$AG$2:$AH$332)</f>
        <v>1024559.977330205</v>
      </c>
      <c r="AD9" s="54">
        <f>SUMIF(SUBSIDIO!$B$2:$B$332,$Q$9,SUBSIDIO!$AD$2:$AD$332)</f>
        <v>0</v>
      </c>
      <c r="AE9" s="54">
        <f ca="1">SUMIF(SUBSIDIO!$B$2:$B$332,$Q$9,SUBSIDIO!$AE$2:$AE$332)</f>
        <v>888598.35673701821</v>
      </c>
      <c r="AF9" s="54" t="str">
        <f>IF(ABS($X$9-$AA$9)&lt;0.01,"OK","ERRO")</f>
        <v>OK</v>
      </c>
      <c r="AG9" s="54" t="str">
        <f ca="1">IF(ABS($Y$9-$AB$9)&lt;0.01,"OK","ERRO")</f>
        <v>OK</v>
      </c>
      <c r="AH9" s="54" t="str">
        <f>IF(ABS($Z$9-$AC$9)&lt;0.01,"OK","ERRO")</f>
        <v>OK</v>
      </c>
      <c r="AI9" s="54" t="str">
        <f>IF(ABS($U$9-$AD$9)&lt;0.01,"OK","ERRO")</f>
        <v>OK</v>
      </c>
      <c r="AJ9" s="54" t="str">
        <f ca="1">IF(ABS(($V$9+$W$9)-$AE$9)&lt;0.01,"OK","ERRO")</f>
        <v>OK</v>
      </c>
    </row>
    <row r="10" spans="1:40" ht="11.25" customHeight="1" x14ac:dyDescent="0.2">
      <c r="A10" s="53" t="s">
        <v>21</v>
      </c>
      <c r="B10" s="53" t="s">
        <v>34</v>
      </c>
      <c r="C10" s="53" t="s">
        <v>35</v>
      </c>
      <c r="D10" s="53" t="s">
        <v>33</v>
      </c>
      <c r="E10" s="53" t="s">
        <v>25</v>
      </c>
      <c r="F10" s="53" t="s">
        <v>25</v>
      </c>
      <c r="G10" s="53" t="s">
        <v>25</v>
      </c>
      <c r="H10" s="53" t="s">
        <v>37</v>
      </c>
      <c r="I10" s="72">
        <v>44562</v>
      </c>
      <c r="J10" s="73">
        <f>EFEITO!$J$10*EFEITO!$Y$10</f>
        <v>0</v>
      </c>
      <c r="K10" s="73">
        <f ca="1">EFEITO!$L$10*EFEITO!$Z$10</f>
        <v>1582.5852624071106</v>
      </c>
      <c r="L10" s="73">
        <f>EFEITO!$N$10*EFEITO!$AA$10</f>
        <v>6055.6248609375789</v>
      </c>
      <c r="M10" s="73">
        <f>$J$10-EFEITO!$K$10*EFEITO!$Y$10</f>
        <v>0</v>
      </c>
      <c r="N10" s="73">
        <f ca="1">$K$10-EFEITO!$M$10*EFEITO!$Z$10</f>
        <v>0</v>
      </c>
      <c r="O10" s="73">
        <f>$L$10-EFEITO!$O$10*EFEITO!$AA$10</f>
        <v>0</v>
      </c>
      <c r="P10" s="57"/>
      <c r="Q10" s="73" t="s">
        <v>41</v>
      </c>
      <c r="R10" s="73">
        <f>SUMIF($B$2:$B$332,$Q$10,$J$2:$J$332)</f>
        <v>0</v>
      </c>
      <c r="S10" s="73">
        <f ca="1">SUMIF($B$2:$B$332,$Q$10,$K$2:$K$332)</f>
        <v>1685159.8098925897</v>
      </c>
      <c r="T10" s="73">
        <f>SUMIF($B$2:$B$332,$Q$10,$L$2:$L$332)</f>
        <v>658947.26900160022</v>
      </c>
      <c r="U10" s="73">
        <f>SUMIF($B$2:$B$332,$Q$10,$M$2:$M$332)</f>
        <v>0</v>
      </c>
      <c r="V10" s="73">
        <f ca="1">SUMIF($B$2:$B$332,$Q$10,$N$2:$N$332)</f>
        <v>121873.37812262533</v>
      </c>
      <c r="W10" s="73">
        <f>SUMIF($B$2:$B$332,$Q$10,$O$2:$O$332)</f>
        <v>47637.614240332186</v>
      </c>
      <c r="X10" s="54">
        <f>$R$10-$U$10</f>
        <v>0</v>
      </c>
      <c r="Y10" s="54">
        <f ca="1">$S$10-$V$10</f>
        <v>1563286.4317699643</v>
      </c>
      <c r="Z10" s="54">
        <f>$T$10-$W$10</f>
        <v>611309.65476126806</v>
      </c>
      <c r="AA10" s="54">
        <f>SUMIF(EFEITO!$B$2:$B$332,$Q$10,EFEITO!$AE$2:$AE$332)</f>
        <v>0</v>
      </c>
      <c r="AB10" s="54">
        <f ca="1">SUMIF(EFEITO!$B$2:$B$332,$Q$10,EFEITO!$AF$2:$AF$332)</f>
        <v>1563286.4317699645</v>
      </c>
      <c r="AC10" s="54">
        <f>SUMIF(EFEITO!$B$2:$B$332,$Q$10,EFEITO!$AG$2:$AH$332)</f>
        <v>611309.65476126818</v>
      </c>
      <c r="AD10" s="54">
        <f>SUMIF(SUBSIDIO!$B$2:$B$332,$Q$10,SUBSIDIO!$AD$2:$AD$332)</f>
        <v>0</v>
      </c>
      <c r="AE10" s="54">
        <f ca="1">SUMIF(SUBSIDIO!$B$2:$B$332,$Q$10,SUBSIDIO!$AE$2:$AE$332)</f>
        <v>169510.99236295739</v>
      </c>
      <c r="AF10" s="54" t="str">
        <f>IF(ABS($X$10-$AA$10)&lt;0.01,"OK","ERRO")</f>
        <v>OK</v>
      </c>
      <c r="AG10" s="54" t="str">
        <f ca="1">IF(ABS($Y$10-$AB$10)&lt;0.01,"OK","ERRO")</f>
        <v>OK</v>
      </c>
      <c r="AH10" s="54" t="str">
        <f>IF(ABS($Z$10-$AC$10)&lt;0.01,"OK","ERRO")</f>
        <v>OK</v>
      </c>
      <c r="AI10" s="54" t="str">
        <f>IF(ABS($U$10-$AD$10)&lt;0.01,"OK","ERRO")</f>
        <v>OK</v>
      </c>
      <c r="AJ10" s="54" t="str">
        <f ca="1">IF(ABS(($V$10+$W$10)-$AE$10)&lt;0.01,"OK","ERRO")</f>
        <v>OK</v>
      </c>
    </row>
    <row r="11" spans="1:40" ht="11.25" customHeight="1" x14ac:dyDescent="0.2">
      <c r="A11" s="53" t="s">
        <v>21</v>
      </c>
      <c r="B11" s="53" t="s">
        <v>34</v>
      </c>
      <c r="C11" s="53" t="s">
        <v>35</v>
      </c>
      <c r="D11" s="53" t="s">
        <v>33</v>
      </c>
      <c r="E11" s="53" t="s">
        <v>25</v>
      </c>
      <c r="F11" s="53" t="s">
        <v>25</v>
      </c>
      <c r="G11" s="53" t="s">
        <v>25</v>
      </c>
      <c r="H11" s="53" t="s">
        <v>37</v>
      </c>
      <c r="I11" s="72">
        <v>44593</v>
      </c>
      <c r="J11" s="73">
        <f>EFEITO!$J$11*EFEITO!$Y$11</f>
        <v>0</v>
      </c>
      <c r="K11" s="73">
        <f ca="1">EFEITO!$L$11*EFEITO!$Z$11</f>
        <v>1568.6988163336812</v>
      </c>
      <c r="L11" s="73">
        <f>EFEITO!$N$11*EFEITO!$AA$11</f>
        <v>6002.4895828139688</v>
      </c>
      <c r="M11" s="73">
        <f>$J$11-EFEITO!$K$11*EFEITO!$Y$11</f>
        <v>0</v>
      </c>
      <c r="N11" s="73">
        <f ca="1">$K$11-EFEITO!$M$11*EFEITO!$Z$11</f>
        <v>0</v>
      </c>
      <c r="O11" s="73">
        <f>$L$11-EFEITO!$O$11*EFEITO!$AA$11</f>
        <v>0</v>
      </c>
      <c r="P11" s="57"/>
      <c r="Q11" s="73" t="s">
        <v>32</v>
      </c>
      <c r="R11" s="73">
        <f>SUMIF($B$2:$B$332,$Q$11,$J$2:$J$332)</f>
        <v>0</v>
      </c>
      <c r="S11" s="73">
        <f ca="1">SUMIF($B$2:$B$332,$Q$11,$K$2:$K$332)</f>
        <v>1181460.4123694624</v>
      </c>
      <c r="T11" s="73">
        <f>SUMIF($B$2:$B$332,$Q$11,$L$2:$L$332)</f>
        <v>461222.94164653786</v>
      </c>
      <c r="U11" s="73">
        <f>SUMIF($B$2:$B$332,$Q$11,$M$2:$M$332)</f>
        <v>0</v>
      </c>
      <c r="V11" s="73">
        <f ca="1">SUMIF($B$2:$B$332,$Q$11,$N$2:$N$332)</f>
        <v>14811.559491553722</v>
      </c>
      <c r="W11" s="73">
        <f>SUMIF($B$2:$B$332,$Q$11,$O$2:$O$332)</f>
        <v>5778.5770074167649</v>
      </c>
      <c r="X11" s="54">
        <f>$R$11-$U$11</f>
        <v>0</v>
      </c>
      <c r="Y11" s="54">
        <f ca="1">$S$11-$V$11</f>
        <v>1166648.8528779086</v>
      </c>
      <c r="Z11" s="54">
        <f>$T$11-$W$11</f>
        <v>455444.36463912111</v>
      </c>
      <c r="AA11" s="54">
        <f>SUMIF(EFEITO!$B$2:$B$332,$Q$11,EFEITO!$AE$2:$AE$332)</f>
        <v>0</v>
      </c>
      <c r="AB11" s="54">
        <f ca="1">SUMIF(EFEITO!$B$2:$B$332,$Q$11,EFEITO!$AF$2:$AF$332)</f>
        <v>1166648.8528779091</v>
      </c>
      <c r="AC11" s="54">
        <f>SUMIF(EFEITO!$B$2:$B$332,$Q$11,EFEITO!$AG$2:$AH$332)</f>
        <v>455444.36463912111</v>
      </c>
      <c r="AD11" s="54">
        <f>SUMIF(SUBSIDIO!$B$2:$B$332,$Q$11,SUBSIDIO!$AD$2:$AD$332)</f>
        <v>0</v>
      </c>
      <c r="AE11" s="54">
        <f ca="1">SUMIF(SUBSIDIO!$B$2:$B$332,$Q$11,SUBSIDIO!$AE$2:$AE$332)</f>
        <v>20590.136498970503</v>
      </c>
      <c r="AF11" s="54" t="str">
        <f>IF(ABS($X$11-$AA$11)&lt;0.01,"OK","ERRO")</f>
        <v>OK</v>
      </c>
      <c r="AG11" s="54" t="str">
        <f ca="1">IF(ABS($Y$11-$AB$11)&lt;0.01,"OK","ERRO")</f>
        <v>OK</v>
      </c>
      <c r="AH11" s="54" t="str">
        <f>IF(ABS($Z$11-$AC$11)&lt;0.01,"OK","ERRO")</f>
        <v>OK</v>
      </c>
      <c r="AI11" s="54" t="str">
        <f>IF(ABS($U$11-$AD$11)&lt;0.01,"OK","ERRO")</f>
        <v>OK</v>
      </c>
      <c r="AJ11" s="54" t="str">
        <f ca="1">IF(ABS(($V$11+$W$11)-$AE$11)&lt;0.01,"OK","ERRO")</f>
        <v>OK</v>
      </c>
    </row>
    <row r="12" spans="1:40" ht="11.25" customHeight="1" x14ac:dyDescent="0.2">
      <c r="A12" s="53" t="s">
        <v>21</v>
      </c>
      <c r="B12" s="53" t="s">
        <v>34</v>
      </c>
      <c r="C12" s="53" t="s">
        <v>35</v>
      </c>
      <c r="D12" s="53" t="s">
        <v>33</v>
      </c>
      <c r="E12" s="53" t="s">
        <v>25</v>
      </c>
      <c r="F12" s="53" t="s">
        <v>25</v>
      </c>
      <c r="G12" s="53" t="s">
        <v>25</v>
      </c>
      <c r="H12" s="53" t="s">
        <v>37</v>
      </c>
      <c r="I12" s="72">
        <v>44621</v>
      </c>
      <c r="J12" s="73">
        <f>EFEITO!$J$12*EFEITO!$Y$12</f>
        <v>0</v>
      </c>
      <c r="K12" s="73">
        <f ca="1">EFEITO!$L$12*EFEITO!$Z$12</f>
        <v>1848.5073504992554</v>
      </c>
      <c r="L12" s="73">
        <f>EFEITO!$N$12*EFEITO!$AA$12</f>
        <v>7073.1526023964643</v>
      </c>
      <c r="M12" s="73">
        <f>$J$12-EFEITO!$K$12*EFEITO!$Y$12</f>
        <v>0</v>
      </c>
      <c r="N12" s="73">
        <f ca="1">$K$12-EFEITO!$M$12*EFEITO!$Z$12</f>
        <v>0</v>
      </c>
      <c r="O12" s="73">
        <f>$L$12-EFEITO!$O$12*EFEITO!$AA$12</f>
        <v>0</v>
      </c>
      <c r="P12" s="57"/>
      <c r="Q12" s="73" t="s">
        <v>44</v>
      </c>
      <c r="R12" s="73">
        <f>SUMIF($B$2:$B$332,$Q$12,$J$2:$J$332)</f>
        <v>0</v>
      </c>
      <c r="S12" s="73">
        <f ca="1">SUMIF($B$2:$B$332,$Q$12,$K$2:$K$332)</f>
        <v>549346.56075832655</v>
      </c>
      <c r="T12" s="73">
        <f>SUMIF($B$2:$B$332,$Q$12,$L$2:$L$332)</f>
        <v>214321.88871885816</v>
      </c>
      <c r="U12" s="73">
        <f>SUMIF($B$2:$B$332,$Q$12,$M$2:$M$332)</f>
        <v>0</v>
      </c>
      <c r="V12" s="73">
        <f ca="1">SUMIF($B$2:$B$332,$Q$12,$N$2:$N$332)</f>
        <v>0</v>
      </c>
      <c r="W12" s="73">
        <f>SUMIF($B$2:$B$332,$Q$12,$O$2:$O$332)</f>
        <v>0</v>
      </c>
      <c r="X12" s="54">
        <f>$R$12-$U$12</f>
        <v>0</v>
      </c>
      <c r="Y12" s="54">
        <f ca="1">$S$12-$V$12</f>
        <v>549346.56075832655</v>
      </c>
      <c r="Z12" s="54">
        <f>$T$12-$W$12</f>
        <v>214321.88871885816</v>
      </c>
      <c r="AA12" s="54">
        <f>SUMIF(EFEITO!$B$2:$B$332,$Q$12,EFEITO!$AE$2:$AE$332)</f>
        <v>0</v>
      </c>
      <c r="AB12" s="54">
        <f ca="1">SUMIF(EFEITO!$B$2:$B$332,$Q$12,EFEITO!$AF$2:$AF$332)</f>
        <v>549346.56075832655</v>
      </c>
      <c r="AC12" s="54">
        <f>SUMIF(EFEITO!$B$2:$B$332,$Q$12,EFEITO!$AG$2:$AH$332)</f>
        <v>214321.88871885816</v>
      </c>
      <c r="AD12" s="54">
        <f>SUMIF(SUBSIDIO!$B$2:$B$332,$Q$12,SUBSIDIO!$AD$2:$AD$332)</f>
        <v>0</v>
      </c>
      <c r="AE12" s="54">
        <f>SUMIF(SUBSIDIO!$B$2:$B$332,$Q$12,SUBSIDIO!$AE$2:$AE$332)</f>
        <v>0</v>
      </c>
      <c r="AF12" s="54" t="str">
        <f>IF(ABS($X$12-$AA$12)&lt;0.01,"OK","ERRO")</f>
        <v>OK</v>
      </c>
      <c r="AG12" s="54" t="str">
        <f ca="1">IF(ABS($Y$12-$AB$12)&lt;0.01,"OK","ERRO")</f>
        <v>OK</v>
      </c>
      <c r="AH12" s="54" t="str">
        <f>IF(ABS($Z$12-$AC$12)&lt;0.01,"OK","ERRO")</f>
        <v>OK</v>
      </c>
      <c r="AI12" s="54" t="str">
        <f>IF(ABS($U$12-$AD$12)&lt;0.01,"OK","ERRO")</f>
        <v>OK</v>
      </c>
      <c r="AJ12" s="54" t="str">
        <f ca="1">IF(ABS(($V$12+$W$12)-$AE$12)&lt;0.01,"OK","ERRO")</f>
        <v>OK</v>
      </c>
    </row>
    <row r="13" spans="1:40" ht="11.25" customHeight="1" x14ac:dyDescent="0.2">
      <c r="A13" s="53" t="s">
        <v>21</v>
      </c>
      <c r="B13" s="53" t="s">
        <v>34</v>
      </c>
      <c r="C13" s="53" t="s">
        <v>35</v>
      </c>
      <c r="D13" s="53" t="s">
        <v>33</v>
      </c>
      <c r="E13" s="53" t="s">
        <v>25</v>
      </c>
      <c r="F13" s="53" t="s">
        <v>25</v>
      </c>
      <c r="G13" s="53" t="s">
        <v>25</v>
      </c>
      <c r="H13" s="53" t="s">
        <v>37</v>
      </c>
      <c r="I13" s="72">
        <v>44652</v>
      </c>
      <c r="J13" s="73">
        <f>EFEITO!$J$13*EFEITO!$Y$13</f>
        <v>0</v>
      </c>
      <c r="K13" s="73">
        <f ca="1">EFEITO!$L$13*EFEITO!$Z$13</f>
        <v>1740.300405975383</v>
      </c>
      <c r="L13" s="73">
        <f>EFEITO!$N$13*EFEITO!$AA$13</f>
        <v>6659.1081404960651</v>
      </c>
      <c r="M13" s="73">
        <f>$J$13-EFEITO!$K$13*EFEITO!$Y$13</f>
        <v>0</v>
      </c>
      <c r="N13" s="73">
        <f ca="1">$K$13-EFEITO!$M$13*EFEITO!$Z$13</f>
        <v>0</v>
      </c>
      <c r="O13" s="73">
        <f>$L$13-EFEITO!$O$13*EFEITO!$AA$13</f>
        <v>0</v>
      </c>
      <c r="P13" s="57"/>
      <c r="Q13" s="73" t="s">
        <v>80</v>
      </c>
      <c r="R13" s="73">
        <f>SUMIF($B$2:$B$332,$Q$13,$J$2:$J$332)</f>
        <v>0</v>
      </c>
      <c r="S13" s="73">
        <f>SUMIF($B$2:$B$332,$Q$13,$K$2:$K$332)</f>
        <v>0</v>
      </c>
      <c r="T13" s="73">
        <f>SUMIF($B$2:$B$332,$Q$13,$L$2:$L$332)</f>
        <v>0</v>
      </c>
      <c r="U13" s="73">
        <f>SUMIF($B$2:$B$332,$Q$13,$M$2:$M$332)</f>
        <v>0</v>
      </c>
      <c r="V13" s="73">
        <f>SUMIF($B$2:$B$332,$Q$13,$N$2:$N$332)</f>
        <v>0</v>
      </c>
      <c r="W13" s="73">
        <f>SUMIF($B$2:$B$332,$Q$13,$O$2:$O$332)</f>
        <v>0</v>
      </c>
      <c r="X13" s="54">
        <f>$R$13-$U$13</f>
        <v>0</v>
      </c>
      <c r="Y13" s="54">
        <f>$S$13-$V$13</f>
        <v>0</v>
      </c>
      <c r="Z13" s="54">
        <f>$T$13-$W$13</f>
        <v>0</v>
      </c>
      <c r="AA13" s="54">
        <f>SUMIF(EFEITO!$B$2:$B$332,$Q$13,EFEITO!$AE$2:$AE$332)</f>
        <v>0</v>
      </c>
      <c r="AB13" s="54">
        <f>SUMIF(EFEITO!$B$2:$B$332,$Q$13,EFEITO!$AF$2:$AF$332)</f>
        <v>0</v>
      </c>
      <c r="AC13" s="54">
        <f>SUMIF(EFEITO!$B$2:$B$332,$Q$13,EFEITO!$AG$2:$AH$332)</f>
        <v>0</v>
      </c>
      <c r="AD13" s="54">
        <f>SUMIF(SUBSIDIO!$B$2:$B$332,$Q$13,SUBSIDIO!$AD$2:$AD$332)</f>
        <v>0</v>
      </c>
      <c r="AE13" s="54">
        <f>SUMIF(SUBSIDIO!$B$2:$B$332,$Q$13,SUBSIDIO!$AE$2:$AE$332)</f>
        <v>0</v>
      </c>
      <c r="AF13" s="54" t="str">
        <f>IF(ABS($X$13-$AA$13)&lt;0.01,"OK","ERRO")</f>
        <v>OK</v>
      </c>
      <c r="AG13" s="54" t="str">
        <f>IF(ABS($Y$13-$AB$13)&lt;0.01,"OK","ERRO")</f>
        <v>OK</v>
      </c>
      <c r="AH13" s="54" t="str">
        <f>IF(ABS($Z$13-$AC$13)&lt;0.01,"OK","ERRO")</f>
        <v>OK</v>
      </c>
      <c r="AI13" s="54" t="str">
        <f>IF(ABS($U$13-$AD$13)&lt;0.01,"OK","ERRO")</f>
        <v>OK</v>
      </c>
      <c r="AJ13" s="54" t="str">
        <f>IF(ABS(($V$13+$W$13)-$AE$13)&lt;0.01,"OK","ERRO")</f>
        <v>OK</v>
      </c>
    </row>
    <row r="14" spans="1:40" ht="11.25" customHeight="1" x14ac:dyDescent="0.2">
      <c r="A14" s="53" t="s">
        <v>21</v>
      </c>
      <c r="B14" s="53" t="s">
        <v>34</v>
      </c>
      <c r="C14" s="53" t="s">
        <v>35</v>
      </c>
      <c r="D14" s="53" t="s">
        <v>33</v>
      </c>
      <c r="E14" s="53" t="s">
        <v>25</v>
      </c>
      <c r="F14" s="53" t="s">
        <v>25</v>
      </c>
      <c r="G14" s="53" t="s">
        <v>25</v>
      </c>
      <c r="H14" s="53" t="s">
        <v>25</v>
      </c>
      <c r="I14" s="72">
        <v>44317</v>
      </c>
      <c r="J14" s="73">
        <f ca="1">EFEITO!$J$14*EFEITO!$Y$14</f>
        <v>6729.9975460840615</v>
      </c>
      <c r="K14" s="73">
        <f>EFEITO!$L$14*EFEITO!$Z$14</f>
        <v>0</v>
      </c>
      <c r="L14" s="73">
        <f>EFEITO!$N$14*EFEITO!$AA$14</f>
        <v>0</v>
      </c>
      <c r="M14" s="73">
        <f ca="1">$J$14-EFEITO!$K$14*EFEITO!$Y$14</f>
        <v>0</v>
      </c>
      <c r="N14" s="73">
        <f>$K$14-EFEITO!$M$14*EFEITO!$Z$14</f>
        <v>0</v>
      </c>
      <c r="O14" s="73">
        <f>$L$14-EFEITO!$O$14*EFEITO!$AA$14</f>
        <v>0</v>
      </c>
      <c r="P14" s="57"/>
      <c r="Q14" s="57"/>
      <c r="R14" s="57"/>
      <c r="S14" s="57"/>
      <c r="T14" s="57"/>
      <c r="U14" s="57"/>
      <c r="V14" s="57"/>
      <c r="W14" s="57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40" ht="11.25" customHeight="1" x14ac:dyDescent="0.2">
      <c r="A15" s="53" t="s">
        <v>21</v>
      </c>
      <c r="B15" s="53" t="s">
        <v>34</v>
      </c>
      <c r="C15" s="53" t="s">
        <v>35</v>
      </c>
      <c r="D15" s="53" t="s">
        <v>33</v>
      </c>
      <c r="E15" s="53" t="s">
        <v>25</v>
      </c>
      <c r="F15" s="53" t="s">
        <v>25</v>
      </c>
      <c r="G15" s="53" t="s">
        <v>25</v>
      </c>
      <c r="H15" s="53" t="s">
        <v>25</v>
      </c>
      <c r="I15" s="72">
        <v>44348</v>
      </c>
      <c r="J15" s="73">
        <f ca="1">EFEITO!$J$15*EFEITO!$Y$15</f>
        <v>6729.9975460840615</v>
      </c>
      <c r="K15" s="73">
        <f>EFEITO!$L$15*EFEITO!$Z$15</f>
        <v>0</v>
      </c>
      <c r="L15" s="73">
        <f>EFEITO!$N$15*EFEITO!$AA$15</f>
        <v>0</v>
      </c>
      <c r="M15" s="73">
        <f ca="1">$J$15-EFEITO!$K$15*EFEITO!$Y$15</f>
        <v>0</v>
      </c>
      <c r="N15" s="73">
        <f>$K$15-EFEITO!$M$15*EFEITO!$Z$15</f>
        <v>0</v>
      </c>
      <c r="O15" s="73">
        <f>$L$15-EFEITO!$O$15*EFEITO!$AA$15</f>
        <v>0</v>
      </c>
      <c r="P15" s="57"/>
      <c r="Q15" s="57"/>
      <c r="R15" s="57"/>
      <c r="S15" s="57"/>
      <c r="T15" s="57"/>
      <c r="U15" s="57"/>
      <c r="V15" s="57"/>
      <c r="W15" s="57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40" ht="11.25" customHeight="1" x14ac:dyDescent="0.2">
      <c r="A16" s="53" t="s">
        <v>21</v>
      </c>
      <c r="B16" s="53" t="s">
        <v>34</v>
      </c>
      <c r="C16" s="53" t="s">
        <v>35</v>
      </c>
      <c r="D16" s="53" t="s">
        <v>33</v>
      </c>
      <c r="E16" s="53" t="s">
        <v>25</v>
      </c>
      <c r="F16" s="53" t="s">
        <v>25</v>
      </c>
      <c r="G16" s="53" t="s">
        <v>25</v>
      </c>
      <c r="H16" s="53" t="s">
        <v>25</v>
      </c>
      <c r="I16" s="72">
        <v>44378</v>
      </c>
      <c r="J16" s="73">
        <f ca="1">EFEITO!$J$16*EFEITO!$Y$16</f>
        <v>6729.9975460840615</v>
      </c>
      <c r="K16" s="73">
        <f>EFEITO!$L$16*EFEITO!$Z$16</f>
        <v>0</v>
      </c>
      <c r="L16" s="73">
        <f>EFEITO!$N$16*EFEITO!$AA$16</f>
        <v>0</v>
      </c>
      <c r="M16" s="73">
        <f ca="1">$J$16-EFEITO!$K$16*EFEITO!$Y$16</f>
        <v>0</v>
      </c>
      <c r="N16" s="73">
        <f>$K$16-EFEITO!$M$16*EFEITO!$Z$16</f>
        <v>0</v>
      </c>
      <c r="O16" s="73">
        <f>$L$16-EFEITO!$O$16*EFEITO!$AA$16</f>
        <v>0</v>
      </c>
      <c r="P16" s="57"/>
      <c r="Q16" s="57"/>
      <c r="R16" s="57"/>
      <c r="S16" s="57"/>
      <c r="T16" s="57"/>
      <c r="U16" s="57"/>
      <c r="V16" s="57"/>
      <c r="W16" s="57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ht="11.25" customHeight="1" x14ac:dyDescent="0.2">
      <c r="A17" s="53" t="s">
        <v>21</v>
      </c>
      <c r="B17" s="53" t="s">
        <v>34</v>
      </c>
      <c r="C17" s="53" t="s">
        <v>35</v>
      </c>
      <c r="D17" s="53" t="s">
        <v>33</v>
      </c>
      <c r="E17" s="53" t="s">
        <v>25</v>
      </c>
      <c r="F17" s="53" t="s">
        <v>25</v>
      </c>
      <c r="G17" s="53" t="s">
        <v>25</v>
      </c>
      <c r="H17" s="53" t="s">
        <v>25</v>
      </c>
      <c r="I17" s="72">
        <v>44409</v>
      </c>
      <c r="J17" s="73">
        <f ca="1">EFEITO!$J$17*EFEITO!$Y$17</f>
        <v>6729.9975460840615</v>
      </c>
      <c r="K17" s="73">
        <f>EFEITO!$L$17*EFEITO!$Z$17</f>
        <v>0</v>
      </c>
      <c r="L17" s="73">
        <f>EFEITO!$N$17*EFEITO!$AA$17</f>
        <v>0</v>
      </c>
      <c r="M17" s="73">
        <f ca="1">$J$17-EFEITO!$K$17*EFEITO!$Y$17</f>
        <v>0</v>
      </c>
      <c r="N17" s="73">
        <f>$K$17-EFEITO!$M$17*EFEITO!$Z$17</f>
        <v>0</v>
      </c>
      <c r="O17" s="73">
        <f>$L$17-EFEITO!$O$17*EFEITO!$AA$17</f>
        <v>0</v>
      </c>
      <c r="P17" s="57"/>
      <c r="Q17" s="57"/>
      <c r="R17" s="57"/>
      <c r="S17" s="57"/>
      <c r="T17" s="57"/>
      <c r="U17" s="57"/>
      <c r="V17" s="57"/>
      <c r="W17" s="57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ht="11.25" customHeight="1" x14ac:dyDescent="0.2">
      <c r="A18" s="53" t="s">
        <v>21</v>
      </c>
      <c r="B18" s="53" t="s">
        <v>34</v>
      </c>
      <c r="C18" s="53" t="s">
        <v>35</v>
      </c>
      <c r="D18" s="53" t="s">
        <v>33</v>
      </c>
      <c r="E18" s="53" t="s">
        <v>25</v>
      </c>
      <c r="F18" s="53" t="s">
        <v>25</v>
      </c>
      <c r="G18" s="53" t="s">
        <v>25</v>
      </c>
      <c r="H18" s="53" t="s">
        <v>25</v>
      </c>
      <c r="I18" s="72">
        <v>44440</v>
      </c>
      <c r="J18" s="73">
        <f ca="1">EFEITO!$J$18*EFEITO!$Y$18</f>
        <v>6729.9975460840615</v>
      </c>
      <c r="K18" s="73">
        <f>EFEITO!$L$18*EFEITO!$Z$18</f>
        <v>0</v>
      </c>
      <c r="L18" s="73">
        <f>EFEITO!$N$18*EFEITO!$AA$18</f>
        <v>0</v>
      </c>
      <c r="M18" s="73">
        <f ca="1">$J$18-EFEITO!$K$18*EFEITO!$Y$18</f>
        <v>0</v>
      </c>
      <c r="N18" s="73">
        <f>$K$18-EFEITO!$M$18*EFEITO!$Z$18</f>
        <v>0</v>
      </c>
      <c r="O18" s="73">
        <f>$L$18-EFEITO!$O$18*EFEITO!$AA$18</f>
        <v>0</v>
      </c>
      <c r="P18" s="57"/>
      <c r="Q18" s="57"/>
      <c r="R18" s="57"/>
      <c r="S18" s="57"/>
      <c r="T18" s="57"/>
      <c r="U18" s="57"/>
      <c r="V18" s="57"/>
      <c r="W18" s="57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ht="11.25" customHeight="1" x14ac:dyDescent="0.2">
      <c r="A19" s="53" t="s">
        <v>21</v>
      </c>
      <c r="B19" s="53" t="s">
        <v>34</v>
      </c>
      <c r="C19" s="53" t="s">
        <v>35</v>
      </c>
      <c r="D19" s="53" t="s">
        <v>33</v>
      </c>
      <c r="E19" s="53" t="s">
        <v>25</v>
      </c>
      <c r="F19" s="53" t="s">
        <v>25</v>
      </c>
      <c r="G19" s="53" t="s">
        <v>25</v>
      </c>
      <c r="H19" s="53" t="s">
        <v>25</v>
      </c>
      <c r="I19" s="72">
        <v>44470</v>
      </c>
      <c r="J19" s="73">
        <f ca="1">EFEITO!$J$19*EFEITO!$Y$19</f>
        <v>6898.2474847361627</v>
      </c>
      <c r="K19" s="73">
        <f>EFEITO!$L$19*EFEITO!$Z$19</f>
        <v>0</v>
      </c>
      <c r="L19" s="73">
        <f>EFEITO!$N$19*EFEITO!$AA$19</f>
        <v>0</v>
      </c>
      <c r="M19" s="73">
        <f ca="1">$J$19-EFEITO!$K$19*EFEITO!$Y$19</f>
        <v>0</v>
      </c>
      <c r="N19" s="73">
        <f>$K$19-EFEITO!$M$19*EFEITO!$Z$19</f>
        <v>0</v>
      </c>
      <c r="O19" s="73">
        <f>$L$19-EFEITO!$O$19*EFEITO!$AA$19</f>
        <v>0</v>
      </c>
      <c r="P19" s="57"/>
      <c r="Q19" s="57"/>
      <c r="R19" s="57"/>
      <c r="S19" s="57"/>
      <c r="T19" s="57"/>
      <c r="U19" s="57"/>
      <c r="V19" s="57"/>
      <c r="W19" s="57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ht="11.25" customHeight="1" x14ac:dyDescent="0.2">
      <c r="A20" s="53" t="s">
        <v>21</v>
      </c>
      <c r="B20" s="53" t="s">
        <v>34</v>
      </c>
      <c r="C20" s="53" t="s">
        <v>35</v>
      </c>
      <c r="D20" s="53" t="s">
        <v>33</v>
      </c>
      <c r="E20" s="53" t="s">
        <v>25</v>
      </c>
      <c r="F20" s="53" t="s">
        <v>25</v>
      </c>
      <c r="G20" s="53" t="s">
        <v>25</v>
      </c>
      <c r="H20" s="53" t="s">
        <v>25</v>
      </c>
      <c r="I20" s="72">
        <v>44501</v>
      </c>
      <c r="J20" s="73">
        <f ca="1">EFEITO!$J$20*EFEITO!$Y$20</f>
        <v>6729.9975460840615</v>
      </c>
      <c r="K20" s="73">
        <f>EFEITO!$L$20*EFEITO!$Z$20</f>
        <v>0</v>
      </c>
      <c r="L20" s="73">
        <f>EFEITO!$N$20*EFEITO!$AA$20</f>
        <v>0</v>
      </c>
      <c r="M20" s="73">
        <f ca="1">$J$20-EFEITO!$K$20*EFEITO!$Y$20</f>
        <v>0</v>
      </c>
      <c r="N20" s="73">
        <f>$K$20-EFEITO!$M$20*EFEITO!$Z$20</f>
        <v>0</v>
      </c>
      <c r="O20" s="73">
        <f>$L$20-EFEITO!$O$20*EFEITO!$AA$20</f>
        <v>0</v>
      </c>
      <c r="P20" s="57"/>
      <c r="Q20" s="57"/>
      <c r="R20" s="57"/>
      <c r="S20" s="57"/>
      <c r="T20" s="57"/>
      <c r="U20" s="57"/>
      <c r="V20" s="57"/>
      <c r="W20" s="57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ht="11.25" customHeight="1" x14ac:dyDescent="0.2">
      <c r="A21" s="53" t="s">
        <v>21</v>
      </c>
      <c r="B21" s="53" t="s">
        <v>34</v>
      </c>
      <c r="C21" s="53" t="s">
        <v>35</v>
      </c>
      <c r="D21" s="53" t="s">
        <v>33</v>
      </c>
      <c r="E21" s="53" t="s">
        <v>25</v>
      </c>
      <c r="F21" s="53" t="s">
        <v>25</v>
      </c>
      <c r="G21" s="53" t="s">
        <v>25</v>
      </c>
      <c r="H21" s="53" t="s">
        <v>25</v>
      </c>
      <c r="I21" s="72">
        <v>44531</v>
      </c>
      <c r="J21" s="73">
        <f ca="1">EFEITO!$J$21*EFEITO!$Y$21</f>
        <v>6729.9975460840615</v>
      </c>
      <c r="K21" s="73">
        <f>EFEITO!$L$21*EFEITO!$Z$21</f>
        <v>0</v>
      </c>
      <c r="L21" s="73">
        <f>EFEITO!$N$21*EFEITO!$AA$21</f>
        <v>0</v>
      </c>
      <c r="M21" s="73">
        <f ca="1">$J$21-EFEITO!$K$21*EFEITO!$Y$21</f>
        <v>0</v>
      </c>
      <c r="N21" s="73">
        <f>$K$21-EFEITO!$M$21*EFEITO!$Z$21</f>
        <v>0</v>
      </c>
      <c r="O21" s="73">
        <f>$L$21-EFEITO!$O$21*EFEITO!$AA$21</f>
        <v>0</v>
      </c>
      <c r="P21" s="57"/>
      <c r="Q21" s="57"/>
      <c r="R21" s="57"/>
      <c r="S21" s="57"/>
      <c r="T21" s="57"/>
      <c r="U21" s="57"/>
      <c r="V21" s="57"/>
      <c r="W21" s="57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ht="11.25" customHeight="1" x14ac:dyDescent="0.2">
      <c r="A22" s="53" t="s">
        <v>21</v>
      </c>
      <c r="B22" s="53" t="s">
        <v>34</v>
      </c>
      <c r="C22" s="53" t="s">
        <v>35</v>
      </c>
      <c r="D22" s="53" t="s">
        <v>33</v>
      </c>
      <c r="E22" s="53" t="s">
        <v>25</v>
      </c>
      <c r="F22" s="53" t="s">
        <v>25</v>
      </c>
      <c r="G22" s="53" t="s">
        <v>25</v>
      </c>
      <c r="H22" s="53" t="s">
        <v>25</v>
      </c>
      <c r="I22" s="72">
        <v>44562</v>
      </c>
      <c r="J22" s="73">
        <f ca="1">EFEITO!$J$22*EFEITO!$Y$22</f>
        <v>6729.9975460840615</v>
      </c>
      <c r="K22" s="73">
        <f>EFEITO!$L$22*EFEITO!$Z$22</f>
        <v>0</v>
      </c>
      <c r="L22" s="73">
        <f>EFEITO!$N$22*EFEITO!$AA$22</f>
        <v>0</v>
      </c>
      <c r="M22" s="73">
        <f ca="1">$J$22-EFEITO!$K$22*EFEITO!$Y$22</f>
        <v>0</v>
      </c>
      <c r="N22" s="73">
        <f>$K$22-EFEITO!$M$22*EFEITO!$Z$22</f>
        <v>0</v>
      </c>
      <c r="O22" s="73">
        <f>$L$22-EFEITO!$O$22*EFEITO!$AA$22</f>
        <v>0</v>
      </c>
      <c r="P22" s="57"/>
      <c r="Q22" s="57"/>
      <c r="R22" s="57"/>
      <c r="S22" s="57"/>
      <c r="T22" s="57"/>
      <c r="U22" s="57"/>
      <c r="V22" s="57"/>
      <c r="W22" s="57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6" ht="11.25" customHeight="1" x14ac:dyDescent="0.2">
      <c r="A23" s="53" t="s">
        <v>21</v>
      </c>
      <c r="B23" s="53" t="s">
        <v>34</v>
      </c>
      <c r="C23" s="53" t="s">
        <v>35</v>
      </c>
      <c r="D23" s="53" t="s">
        <v>33</v>
      </c>
      <c r="E23" s="53" t="s">
        <v>25</v>
      </c>
      <c r="F23" s="53" t="s">
        <v>25</v>
      </c>
      <c r="G23" s="53" t="s">
        <v>25</v>
      </c>
      <c r="H23" s="53" t="s">
        <v>25</v>
      </c>
      <c r="I23" s="72">
        <v>44593</v>
      </c>
      <c r="J23" s="73">
        <f ca="1">EFEITO!$J$23*EFEITO!$Y$23</f>
        <v>6729.9975460840615</v>
      </c>
      <c r="K23" s="73">
        <f>EFEITO!$L$23*EFEITO!$Z$23</f>
        <v>0</v>
      </c>
      <c r="L23" s="73">
        <f>EFEITO!$N$23*EFEITO!$AA$23</f>
        <v>0</v>
      </c>
      <c r="M23" s="73">
        <f ca="1">$J$23-EFEITO!$K$23*EFEITO!$Y$23</f>
        <v>0</v>
      </c>
      <c r="N23" s="73">
        <f>$K$23-EFEITO!$M$23*EFEITO!$Z$23</f>
        <v>0</v>
      </c>
      <c r="O23" s="73">
        <f>$L$23-EFEITO!$O$23*EFEITO!$AA$23</f>
        <v>0</v>
      </c>
      <c r="P23" s="57"/>
      <c r="Q23" s="57"/>
      <c r="R23" s="57"/>
      <c r="S23" s="57"/>
      <c r="T23" s="57"/>
      <c r="U23" s="57"/>
      <c r="V23" s="57"/>
      <c r="W23" s="57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 ht="11.25" customHeight="1" x14ac:dyDescent="0.2">
      <c r="A24" s="53" t="s">
        <v>21</v>
      </c>
      <c r="B24" s="53" t="s">
        <v>34</v>
      </c>
      <c r="C24" s="53" t="s">
        <v>35</v>
      </c>
      <c r="D24" s="53" t="s">
        <v>33</v>
      </c>
      <c r="E24" s="53" t="s">
        <v>25</v>
      </c>
      <c r="F24" s="53" t="s">
        <v>25</v>
      </c>
      <c r="G24" s="53" t="s">
        <v>25</v>
      </c>
      <c r="H24" s="53" t="s">
        <v>25</v>
      </c>
      <c r="I24" s="72">
        <v>44621</v>
      </c>
      <c r="J24" s="73">
        <f ca="1">EFEITO!$J$24*EFEITO!$Y$24</f>
        <v>6842.1641718521287</v>
      </c>
      <c r="K24" s="73">
        <f>EFEITO!$L$24*EFEITO!$Z$24</f>
        <v>0</v>
      </c>
      <c r="L24" s="73">
        <f>EFEITO!$N$24*EFEITO!$AA$24</f>
        <v>0</v>
      </c>
      <c r="M24" s="73">
        <f ca="1">$J$24-EFEITO!$K$24*EFEITO!$Y$24</f>
        <v>0</v>
      </c>
      <c r="N24" s="73">
        <f>$K$24-EFEITO!$M$24*EFEITO!$Z$24</f>
        <v>0</v>
      </c>
      <c r="O24" s="73">
        <f>$L$24-EFEITO!$O$24*EFEITO!$AA$24</f>
        <v>0</v>
      </c>
      <c r="P24" s="57"/>
      <c r="Q24" s="57"/>
      <c r="R24" s="57"/>
      <c r="S24" s="57"/>
      <c r="T24" s="57"/>
      <c r="U24" s="57"/>
      <c r="V24" s="57"/>
      <c r="W24" s="57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6" ht="11.25" customHeight="1" x14ac:dyDescent="0.2">
      <c r="A25" s="53" t="s">
        <v>21</v>
      </c>
      <c r="B25" s="53" t="s">
        <v>34</v>
      </c>
      <c r="C25" s="53" t="s">
        <v>35</v>
      </c>
      <c r="D25" s="53" t="s">
        <v>33</v>
      </c>
      <c r="E25" s="53" t="s">
        <v>25</v>
      </c>
      <c r="F25" s="53" t="s">
        <v>25</v>
      </c>
      <c r="G25" s="53" t="s">
        <v>25</v>
      </c>
      <c r="H25" s="53" t="s">
        <v>25</v>
      </c>
      <c r="I25" s="72">
        <v>44652</v>
      </c>
      <c r="J25" s="73">
        <f ca="1">EFEITO!$J$25*EFEITO!$Y$25</f>
        <v>6729.9975460840615</v>
      </c>
      <c r="K25" s="73">
        <f>EFEITO!$L$25*EFEITO!$Z$25</f>
        <v>0</v>
      </c>
      <c r="L25" s="73">
        <f>EFEITO!$N$25*EFEITO!$AA$25</f>
        <v>0</v>
      </c>
      <c r="M25" s="73">
        <f ca="1">$J$25-EFEITO!$K$25*EFEITO!$Y$25</f>
        <v>0</v>
      </c>
      <c r="N25" s="73">
        <f>$K$25-EFEITO!$M$25*EFEITO!$Z$25</f>
        <v>0</v>
      </c>
      <c r="O25" s="73">
        <f>$L$25-EFEITO!$O$25*EFEITO!$AA$25</f>
        <v>0</v>
      </c>
      <c r="P25" s="57"/>
      <c r="Q25" s="57"/>
      <c r="R25" s="57"/>
      <c r="S25" s="57"/>
      <c r="T25" s="57"/>
      <c r="U25" s="57"/>
      <c r="V25" s="57"/>
      <c r="W25" s="57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1:36" ht="11.25" customHeight="1" x14ac:dyDescent="0.2">
      <c r="A26" s="53" t="s">
        <v>21</v>
      </c>
      <c r="B26" s="53" t="s">
        <v>34</v>
      </c>
      <c r="C26" s="53" t="s">
        <v>35</v>
      </c>
      <c r="D26" s="53" t="s">
        <v>33</v>
      </c>
      <c r="E26" s="53" t="s">
        <v>25</v>
      </c>
      <c r="F26" s="53" t="s">
        <v>25</v>
      </c>
      <c r="G26" s="53" t="s">
        <v>25</v>
      </c>
      <c r="H26" s="53" t="s">
        <v>36</v>
      </c>
      <c r="I26" s="72">
        <v>44317</v>
      </c>
      <c r="J26" s="73">
        <f>EFEITO!$J$26*EFEITO!$Y$26</f>
        <v>0</v>
      </c>
      <c r="K26" s="73">
        <f ca="1">EFEITO!$L$26*EFEITO!$Z$26</f>
        <v>509.80327077306538</v>
      </c>
      <c r="L26" s="73">
        <f>EFEITO!$N$26*EFEITO!$AA$26</f>
        <v>43.637668024220609</v>
      </c>
      <c r="M26" s="73">
        <f>$J$26-EFEITO!$K$26*EFEITO!$Y$26</f>
        <v>0</v>
      </c>
      <c r="N26" s="73">
        <f ca="1">$K$26-EFEITO!$M$26*EFEITO!$Z$26</f>
        <v>0</v>
      </c>
      <c r="O26" s="73">
        <f>$L$26-EFEITO!$O$26*EFEITO!$AA$26</f>
        <v>0</v>
      </c>
      <c r="P26" s="57"/>
      <c r="Q26" s="57"/>
      <c r="R26" s="57"/>
      <c r="S26" s="57"/>
      <c r="T26" s="57"/>
      <c r="U26" s="57"/>
      <c r="V26" s="57"/>
      <c r="W26" s="57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1:36" ht="11.25" customHeight="1" x14ac:dyDescent="0.2">
      <c r="A27" s="53" t="s">
        <v>21</v>
      </c>
      <c r="B27" s="53" t="s">
        <v>34</v>
      </c>
      <c r="C27" s="53" t="s">
        <v>35</v>
      </c>
      <c r="D27" s="53" t="s">
        <v>33</v>
      </c>
      <c r="E27" s="53" t="s">
        <v>25</v>
      </c>
      <c r="F27" s="53" t="s">
        <v>25</v>
      </c>
      <c r="G27" s="53" t="s">
        <v>25</v>
      </c>
      <c r="H27" s="53" t="s">
        <v>36</v>
      </c>
      <c r="I27" s="72">
        <v>44348</v>
      </c>
      <c r="J27" s="73">
        <f>EFEITO!$J$27*EFEITO!$Y$27</f>
        <v>0</v>
      </c>
      <c r="K27" s="73">
        <f ca="1">EFEITO!$L$27*EFEITO!$Z$27</f>
        <v>527.79632738858527</v>
      </c>
      <c r="L27" s="73">
        <f>EFEITO!$N$27*EFEITO!$AA$27</f>
        <v>45.177821013310748</v>
      </c>
      <c r="M27" s="73">
        <f>$J$27-EFEITO!$K$27*EFEITO!$Y$27</f>
        <v>0</v>
      </c>
      <c r="N27" s="73">
        <f ca="1">$K$27-EFEITO!$M$27*EFEITO!$Z$27</f>
        <v>0</v>
      </c>
      <c r="O27" s="73">
        <f>$L$27-EFEITO!$O$27*EFEITO!$AA$27</f>
        <v>0</v>
      </c>
      <c r="P27" s="57"/>
      <c r="Q27" s="57"/>
      <c r="R27" s="57"/>
      <c r="S27" s="57"/>
      <c r="T27" s="57"/>
      <c r="U27" s="57"/>
      <c r="V27" s="57"/>
      <c r="W27" s="57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spans="1:36" ht="11.25" customHeight="1" x14ac:dyDescent="0.2">
      <c r="A28" s="53" t="s">
        <v>21</v>
      </c>
      <c r="B28" s="53" t="s">
        <v>34</v>
      </c>
      <c r="C28" s="53" t="s">
        <v>35</v>
      </c>
      <c r="D28" s="53" t="s">
        <v>33</v>
      </c>
      <c r="E28" s="53" t="s">
        <v>25</v>
      </c>
      <c r="F28" s="53" t="s">
        <v>25</v>
      </c>
      <c r="G28" s="53" t="s">
        <v>25</v>
      </c>
      <c r="H28" s="53" t="s">
        <v>36</v>
      </c>
      <c r="I28" s="72">
        <v>44378</v>
      </c>
      <c r="J28" s="73">
        <f>EFEITO!$J$28*EFEITO!$Y$28</f>
        <v>0</v>
      </c>
      <c r="K28" s="73">
        <f ca="1">EFEITO!$L$28*EFEITO!$Z$28</f>
        <v>710.72573631303806</v>
      </c>
      <c r="L28" s="73">
        <f>EFEITO!$N$28*EFEITO!$AA$28</f>
        <v>60.836043069060494</v>
      </c>
      <c r="M28" s="73">
        <f>$J$28-EFEITO!$K$28*EFEITO!$Y$28</f>
        <v>0</v>
      </c>
      <c r="N28" s="73">
        <f ca="1">$K$28-EFEITO!$M$28*EFEITO!$Z$28</f>
        <v>0</v>
      </c>
      <c r="O28" s="73">
        <f>$L$28-EFEITO!$O$28*EFEITO!$AA$28</f>
        <v>0</v>
      </c>
      <c r="P28" s="57"/>
      <c r="Q28" s="57"/>
      <c r="R28" s="57"/>
      <c r="S28" s="57"/>
      <c r="T28" s="57"/>
      <c r="U28" s="57"/>
      <c r="V28" s="57"/>
      <c r="W28" s="57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spans="1:36" ht="11.25" customHeight="1" x14ac:dyDescent="0.2">
      <c r="A29" s="53" t="s">
        <v>21</v>
      </c>
      <c r="B29" s="53" t="s">
        <v>34</v>
      </c>
      <c r="C29" s="53" t="s">
        <v>35</v>
      </c>
      <c r="D29" s="53" t="s">
        <v>33</v>
      </c>
      <c r="E29" s="53" t="s">
        <v>25</v>
      </c>
      <c r="F29" s="53" t="s">
        <v>25</v>
      </c>
      <c r="G29" s="53" t="s">
        <v>25</v>
      </c>
      <c r="H29" s="53" t="s">
        <v>36</v>
      </c>
      <c r="I29" s="72">
        <v>44409</v>
      </c>
      <c r="J29" s="73">
        <f>EFEITO!$J$29*EFEITO!$Y$29</f>
        <v>0</v>
      </c>
      <c r="K29" s="73">
        <f ca="1">EFEITO!$L$29*EFEITO!$Z$29</f>
        <v>839.67597539093117</v>
      </c>
      <c r="L29" s="73">
        <f>EFEITO!$N$29*EFEITO!$AA$29</f>
        <v>71.873806157539832</v>
      </c>
      <c r="M29" s="73">
        <f>$J$29-EFEITO!$K$29*EFEITO!$Y$29</f>
        <v>0</v>
      </c>
      <c r="N29" s="73">
        <f ca="1">$K$29-EFEITO!$M$29*EFEITO!$Z$29</f>
        <v>0</v>
      </c>
      <c r="O29" s="73">
        <f>$L$29-EFEITO!$O$29*EFEITO!$AA$29</f>
        <v>0</v>
      </c>
      <c r="P29" s="57"/>
      <c r="Q29" s="57"/>
      <c r="R29" s="57"/>
      <c r="S29" s="57"/>
      <c r="T29" s="57"/>
      <c r="U29" s="57"/>
      <c r="V29" s="57"/>
      <c r="W29" s="57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1:36" ht="11.25" customHeight="1" x14ac:dyDescent="0.2">
      <c r="A30" s="53" t="s">
        <v>21</v>
      </c>
      <c r="B30" s="53" t="s">
        <v>34</v>
      </c>
      <c r="C30" s="53" t="s">
        <v>35</v>
      </c>
      <c r="D30" s="53" t="s">
        <v>33</v>
      </c>
      <c r="E30" s="53" t="s">
        <v>25</v>
      </c>
      <c r="F30" s="53" t="s">
        <v>25</v>
      </c>
      <c r="G30" s="53" t="s">
        <v>25</v>
      </c>
      <c r="H30" s="53" t="s">
        <v>36</v>
      </c>
      <c r="I30" s="72">
        <v>44440</v>
      </c>
      <c r="J30" s="73">
        <f>EFEITO!$J$30*EFEITO!$Y$30</f>
        <v>0</v>
      </c>
      <c r="K30" s="73">
        <f ca="1">EFEITO!$L$30*EFEITO!$Z$30</f>
        <v>638.75350985095827</v>
      </c>
      <c r="L30" s="73">
        <f>EFEITO!$N$30*EFEITO!$AA$30</f>
        <v>54.67543111269994</v>
      </c>
      <c r="M30" s="73">
        <f>$J$30-EFEITO!$K$30*EFEITO!$Y$30</f>
        <v>0</v>
      </c>
      <c r="N30" s="73">
        <f ca="1">$K$30-EFEITO!$M$30*EFEITO!$Z$30</f>
        <v>0</v>
      </c>
      <c r="O30" s="73">
        <f>$L$30-EFEITO!$O$30*EFEITO!$AA$30</f>
        <v>0</v>
      </c>
      <c r="P30" s="57"/>
      <c r="Q30" s="57"/>
      <c r="R30" s="57"/>
      <c r="S30" s="57"/>
      <c r="T30" s="57"/>
      <c r="U30" s="57"/>
      <c r="V30" s="57"/>
      <c r="W30" s="57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6" ht="11.25" customHeight="1" x14ac:dyDescent="0.2">
      <c r="A31" s="53" t="s">
        <v>21</v>
      </c>
      <c r="B31" s="53" t="s">
        <v>34</v>
      </c>
      <c r="C31" s="53" t="s">
        <v>35</v>
      </c>
      <c r="D31" s="53" t="s">
        <v>33</v>
      </c>
      <c r="E31" s="53" t="s">
        <v>25</v>
      </c>
      <c r="F31" s="53" t="s">
        <v>25</v>
      </c>
      <c r="G31" s="53" t="s">
        <v>25</v>
      </c>
      <c r="H31" s="53" t="s">
        <v>36</v>
      </c>
      <c r="I31" s="72">
        <v>44470</v>
      </c>
      <c r="J31" s="73">
        <f>EFEITO!$J$31*EFEITO!$Y$31</f>
        <v>0</v>
      </c>
      <c r="K31" s="73">
        <f ca="1">EFEITO!$L$31*EFEITO!$Z$31</f>
        <v>425.83567323397216</v>
      </c>
      <c r="L31" s="73">
        <f>EFEITO!$N$31*EFEITO!$AA$31</f>
        <v>36.450287408466622</v>
      </c>
      <c r="M31" s="73">
        <f>$J$31-EFEITO!$K$31*EFEITO!$Y$31</f>
        <v>0</v>
      </c>
      <c r="N31" s="73">
        <f ca="1">$K$31-EFEITO!$M$31*EFEITO!$Z$31</f>
        <v>0</v>
      </c>
      <c r="O31" s="73">
        <f>$L$31-EFEITO!$O$31*EFEITO!$AA$31</f>
        <v>0</v>
      </c>
      <c r="P31" s="57"/>
      <c r="Q31" s="57"/>
      <c r="R31" s="57"/>
      <c r="S31" s="57"/>
      <c r="T31" s="57"/>
      <c r="U31" s="57"/>
      <c r="V31" s="57"/>
      <c r="W31" s="57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spans="1:36" ht="11.25" customHeight="1" x14ac:dyDescent="0.2">
      <c r="A32" s="53" t="s">
        <v>21</v>
      </c>
      <c r="B32" s="53" t="s">
        <v>34</v>
      </c>
      <c r="C32" s="53" t="s">
        <v>35</v>
      </c>
      <c r="D32" s="53" t="s">
        <v>33</v>
      </c>
      <c r="E32" s="53" t="s">
        <v>25</v>
      </c>
      <c r="F32" s="53" t="s">
        <v>25</v>
      </c>
      <c r="G32" s="53" t="s">
        <v>25</v>
      </c>
      <c r="H32" s="53" t="s">
        <v>36</v>
      </c>
      <c r="I32" s="72">
        <v>44501</v>
      </c>
      <c r="J32" s="73">
        <f>EFEITO!$J$32*EFEITO!$Y$32</f>
        <v>0</v>
      </c>
      <c r="K32" s="73">
        <f ca="1">EFEITO!$L$32*EFEITO!$Z$32</f>
        <v>539.79169846559853</v>
      </c>
      <c r="L32" s="73">
        <f>EFEITO!$N$32*EFEITO!$AA$32</f>
        <v>46.204589672704174</v>
      </c>
      <c r="M32" s="73">
        <f>$J$32-EFEITO!$K$32*EFEITO!$Y$32</f>
        <v>0</v>
      </c>
      <c r="N32" s="73">
        <f ca="1">$K$32-EFEITO!$M$32*EFEITO!$Z$32</f>
        <v>0</v>
      </c>
      <c r="O32" s="73">
        <f>$L$32-EFEITO!$O$32*EFEITO!$AA$32</f>
        <v>0</v>
      </c>
      <c r="P32" s="57"/>
      <c r="Q32" s="57"/>
      <c r="R32" s="57"/>
      <c r="S32" s="57"/>
      <c r="T32" s="57"/>
      <c r="U32" s="57"/>
      <c r="V32" s="57"/>
      <c r="W32" s="57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spans="1:36" ht="11.25" customHeight="1" x14ac:dyDescent="0.2">
      <c r="A33" s="53" t="s">
        <v>21</v>
      </c>
      <c r="B33" s="53" t="s">
        <v>34</v>
      </c>
      <c r="C33" s="53" t="s">
        <v>35</v>
      </c>
      <c r="D33" s="53" t="s">
        <v>33</v>
      </c>
      <c r="E33" s="53" t="s">
        <v>25</v>
      </c>
      <c r="F33" s="53" t="s">
        <v>25</v>
      </c>
      <c r="G33" s="53" t="s">
        <v>25</v>
      </c>
      <c r="H33" s="53" t="s">
        <v>36</v>
      </c>
      <c r="I33" s="72">
        <v>44531</v>
      </c>
      <c r="J33" s="73">
        <f>EFEITO!$J$33*EFEITO!$Y$33</f>
        <v>0</v>
      </c>
      <c r="K33" s="73">
        <f ca="1">EFEITO!$L$33*EFEITO!$Z$33</f>
        <v>665.74309477423822</v>
      </c>
      <c r="L33" s="73">
        <f>EFEITO!$N$33*EFEITO!$AA$33</f>
        <v>56.985660596335151</v>
      </c>
      <c r="M33" s="73">
        <f>$J$33-EFEITO!$K$33*EFEITO!$Y$33</f>
        <v>0</v>
      </c>
      <c r="N33" s="73">
        <f ca="1">$K$33-EFEITO!$M$33*EFEITO!$Z$33</f>
        <v>0</v>
      </c>
      <c r="O33" s="73">
        <f>$L$33-EFEITO!$O$33*EFEITO!$AA$33</f>
        <v>0</v>
      </c>
      <c r="P33" s="57"/>
      <c r="Q33" s="57"/>
      <c r="R33" s="57"/>
      <c r="S33" s="57"/>
      <c r="T33" s="57"/>
      <c r="U33" s="57"/>
      <c r="V33" s="57"/>
      <c r="W33" s="57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spans="1:36" ht="11.25" customHeight="1" x14ac:dyDescent="0.2">
      <c r="A34" s="53" t="s">
        <v>21</v>
      </c>
      <c r="B34" s="53" t="s">
        <v>34</v>
      </c>
      <c r="C34" s="53" t="s">
        <v>35</v>
      </c>
      <c r="D34" s="53" t="s">
        <v>33</v>
      </c>
      <c r="E34" s="53" t="s">
        <v>25</v>
      </c>
      <c r="F34" s="53" t="s">
        <v>25</v>
      </c>
      <c r="G34" s="53" t="s">
        <v>25</v>
      </c>
      <c r="H34" s="53" t="s">
        <v>36</v>
      </c>
      <c r="I34" s="72">
        <v>44562</v>
      </c>
      <c r="J34" s="73">
        <f>EFEITO!$J$34*EFEITO!$Y$34</f>
        <v>0</v>
      </c>
      <c r="K34" s="73">
        <f ca="1">EFEITO!$L$34*EFEITO!$Z$34</f>
        <v>479.81484308053211</v>
      </c>
      <c r="L34" s="73">
        <f>EFEITO!$N$34*EFEITO!$AA$34</f>
        <v>41.070746375737045</v>
      </c>
      <c r="M34" s="73">
        <f>$J$34-EFEITO!$K$34*EFEITO!$Y$34</f>
        <v>0</v>
      </c>
      <c r="N34" s="73">
        <f ca="1">$K$34-EFEITO!$M$34*EFEITO!$Z$34</f>
        <v>0</v>
      </c>
      <c r="O34" s="73">
        <f>$L$34-EFEITO!$O$34*EFEITO!$AA$34</f>
        <v>0</v>
      </c>
      <c r="P34" s="57"/>
      <c r="Q34" s="57"/>
      <c r="R34" s="57"/>
      <c r="S34" s="57"/>
      <c r="T34" s="57"/>
      <c r="U34" s="57"/>
      <c r="V34" s="57"/>
      <c r="W34" s="57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spans="1:36" ht="11.25" customHeight="1" x14ac:dyDescent="0.2">
      <c r="A35" s="53" t="s">
        <v>21</v>
      </c>
      <c r="B35" s="53" t="s">
        <v>34</v>
      </c>
      <c r="C35" s="53" t="s">
        <v>35</v>
      </c>
      <c r="D35" s="53" t="s">
        <v>33</v>
      </c>
      <c r="E35" s="53" t="s">
        <v>25</v>
      </c>
      <c r="F35" s="53" t="s">
        <v>25</v>
      </c>
      <c r="G35" s="53" t="s">
        <v>25</v>
      </c>
      <c r="H35" s="53" t="s">
        <v>36</v>
      </c>
      <c r="I35" s="72">
        <v>44593</v>
      </c>
      <c r="J35" s="73">
        <f>EFEITO!$J$35*EFEITO!$Y$35</f>
        <v>0</v>
      </c>
      <c r="K35" s="73">
        <f ca="1">EFEITO!$L$35*EFEITO!$Z$35</f>
        <v>431.83335877247885</v>
      </c>
      <c r="L35" s="73">
        <f>EFEITO!$N$35*EFEITO!$AA$35</f>
        <v>36.963671738163335</v>
      </c>
      <c r="M35" s="73">
        <f>$J$35-EFEITO!$K$35*EFEITO!$Y$35</f>
        <v>0</v>
      </c>
      <c r="N35" s="73">
        <f ca="1">$K$35-EFEITO!$M$35*EFEITO!$Z$35</f>
        <v>0</v>
      </c>
      <c r="O35" s="73">
        <f>$L$35-EFEITO!$O$35*EFEITO!$AA$35</f>
        <v>0</v>
      </c>
      <c r="P35" s="57"/>
      <c r="Q35" s="57"/>
      <c r="R35" s="57"/>
      <c r="S35" s="57"/>
      <c r="T35" s="57"/>
      <c r="U35" s="57"/>
      <c r="V35" s="57"/>
      <c r="W35" s="57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36" ht="11.25" customHeight="1" x14ac:dyDescent="0.2">
      <c r="A36" s="53" t="s">
        <v>21</v>
      </c>
      <c r="B36" s="53" t="s">
        <v>34</v>
      </c>
      <c r="C36" s="53" t="s">
        <v>35</v>
      </c>
      <c r="D36" s="53" t="s">
        <v>33</v>
      </c>
      <c r="E36" s="53" t="s">
        <v>25</v>
      </c>
      <c r="F36" s="53" t="s">
        <v>25</v>
      </c>
      <c r="G36" s="53" t="s">
        <v>25</v>
      </c>
      <c r="H36" s="53" t="s">
        <v>36</v>
      </c>
      <c r="I36" s="72">
        <v>44621</v>
      </c>
      <c r="J36" s="73">
        <f>EFEITO!$J$36*EFEITO!$Y$36</f>
        <v>0</v>
      </c>
      <c r="K36" s="73">
        <f ca="1">EFEITO!$L$36*EFEITO!$Z$36</f>
        <v>629.75698154319832</v>
      </c>
      <c r="L36" s="73">
        <f>EFEITO!$N$36*EFEITO!$AA$36</f>
        <v>53.905354618154867</v>
      </c>
      <c r="M36" s="73">
        <f>$J$36-EFEITO!$K$36*EFEITO!$Y$36</f>
        <v>0</v>
      </c>
      <c r="N36" s="73">
        <f ca="1">$K$36-EFEITO!$M$36*EFEITO!$Z$36</f>
        <v>0</v>
      </c>
      <c r="O36" s="73">
        <f>$L$36-EFEITO!$O$36*EFEITO!$AA$36</f>
        <v>0</v>
      </c>
      <c r="P36" s="57"/>
      <c r="Q36" s="57"/>
      <c r="R36" s="57"/>
      <c r="S36" s="57"/>
      <c r="T36" s="57"/>
      <c r="U36" s="57"/>
      <c r="V36" s="57"/>
      <c r="W36" s="57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spans="1:36" ht="11.25" customHeight="1" x14ac:dyDescent="0.2">
      <c r="A37" s="53" t="s">
        <v>21</v>
      </c>
      <c r="B37" s="53" t="s">
        <v>34</v>
      </c>
      <c r="C37" s="53" t="s">
        <v>35</v>
      </c>
      <c r="D37" s="53" t="s">
        <v>33</v>
      </c>
      <c r="E37" s="53" t="s">
        <v>25</v>
      </c>
      <c r="F37" s="53" t="s">
        <v>25</v>
      </c>
      <c r="G37" s="53" t="s">
        <v>25</v>
      </c>
      <c r="H37" s="53" t="s">
        <v>36</v>
      </c>
      <c r="I37" s="72">
        <v>44652</v>
      </c>
      <c r="J37" s="73">
        <f>EFEITO!$J$37*EFEITO!$Y$37</f>
        <v>0</v>
      </c>
      <c r="K37" s="73">
        <f ca="1">EFEITO!$L$37*EFEITO!$Z$37</f>
        <v>473.81715754202543</v>
      </c>
      <c r="L37" s="73">
        <f>EFEITO!$N$37*EFEITO!$AA$37</f>
        <v>40.557362046040332</v>
      </c>
      <c r="M37" s="73">
        <f>$J$37-EFEITO!$K$37*EFEITO!$Y$37</f>
        <v>0</v>
      </c>
      <c r="N37" s="73">
        <f ca="1">$K$37-EFEITO!$M$37*EFEITO!$Z$37</f>
        <v>0</v>
      </c>
      <c r="O37" s="73">
        <f>$L$37-EFEITO!$O$37*EFEITO!$AA$37</f>
        <v>0</v>
      </c>
      <c r="P37" s="57"/>
      <c r="Q37" s="57"/>
      <c r="R37" s="57"/>
      <c r="S37" s="57"/>
      <c r="T37" s="57"/>
      <c r="U37" s="57"/>
      <c r="V37" s="57"/>
      <c r="W37" s="57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spans="1:36" ht="11.25" customHeight="1" x14ac:dyDescent="0.2">
      <c r="A38" s="53" t="s">
        <v>21</v>
      </c>
      <c r="B38" s="53" t="s">
        <v>22</v>
      </c>
      <c r="C38" s="53" t="s">
        <v>39</v>
      </c>
      <c r="D38" s="53" t="s">
        <v>24</v>
      </c>
      <c r="E38" s="53" t="s">
        <v>24</v>
      </c>
      <c r="F38" s="53" t="s">
        <v>25</v>
      </c>
      <c r="G38" s="53" t="s">
        <v>25</v>
      </c>
      <c r="H38" s="53" t="s">
        <v>37</v>
      </c>
      <c r="I38" s="72">
        <v>44531</v>
      </c>
      <c r="J38" s="73">
        <f>EFEITO!$J$38*EFEITO!$Y$38</f>
        <v>0</v>
      </c>
      <c r="K38" s="73">
        <f ca="1">EFEITO!$L$38*EFEITO!$Z$38</f>
        <v>110.80808735416248</v>
      </c>
      <c r="L38" s="73">
        <f>EFEITO!$N$38*EFEITO!$AA$38</f>
        <v>65.713194201179277</v>
      </c>
      <c r="M38" s="73">
        <f>$J$38-EFEITO!$K$38*EFEITO!$Y$38</f>
        <v>0</v>
      </c>
      <c r="N38" s="73">
        <f ca="1">$K$38-EFEITO!$M$38*EFEITO!$Z$38</f>
        <v>0</v>
      </c>
      <c r="O38" s="73">
        <f>$L$38-EFEITO!$O$38*EFEITO!$AA$38</f>
        <v>0</v>
      </c>
      <c r="P38" s="57"/>
      <c r="Q38" s="57"/>
      <c r="R38" s="57"/>
      <c r="S38" s="57"/>
      <c r="T38" s="57"/>
      <c r="U38" s="57"/>
      <c r="V38" s="57"/>
      <c r="W38" s="57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spans="1:36" ht="11.25" customHeight="1" x14ac:dyDescent="0.2">
      <c r="A39" s="53" t="s">
        <v>21</v>
      </c>
      <c r="B39" s="53" t="s">
        <v>22</v>
      </c>
      <c r="C39" s="53" t="s">
        <v>39</v>
      </c>
      <c r="D39" s="53" t="s">
        <v>24</v>
      </c>
      <c r="E39" s="53" t="s">
        <v>24</v>
      </c>
      <c r="F39" s="53" t="s">
        <v>25</v>
      </c>
      <c r="G39" s="53" t="s">
        <v>25</v>
      </c>
      <c r="H39" s="53" t="s">
        <v>37</v>
      </c>
      <c r="I39" s="72">
        <v>44562</v>
      </c>
      <c r="J39" s="73">
        <f>EFEITO!$J$39*EFEITO!$Y$39</f>
        <v>0</v>
      </c>
      <c r="K39" s="73">
        <f ca="1">EFEITO!$L$39*EFEITO!$Z$39</f>
        <v>80.509000968258675</v>
      </c>
      <c r="L39" s="73">
        <f>EFEITO!$N$39*EFEITO!$AA$39</f>
        <v>47.744742661794312</v>
      </c>
      <c r="M39" s="73">
        <f>$J$39-EFEITO!$K$39*EFEITO!$Y$39</f>
        <v>0</v>
      </c>
      <c r="N39" s="73">
        <f ca="1">$K$39-EFEITO!$M$39*EFEITO!$Z$39</f>
        <v>0</v>
      </c>
      <c r="O39" s="73">
        <f>$L$39-EFEITO!$O$39*EFEITO!$AA$39</f>
        <v>0</v>
      </c>
      <c r="P39" s="57"/>
      <c r="Q39" s="57"/>
      <c r="R39" s="57"/>
      <c r="S39" s="57"/>
      <c r="T39" s="57"/>
      <c r="U39" s="57"/>
      <c r="V39" s="57"/>
      <c r="W39" s="57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spans="1:36" ht="11.25" customHeight="1" x14ac:dyDescent="0.2">
      <c r="A40" s="53" t="s">
        <v>21</v>
      </c>
      <c r="B40" s="53" t="s">
        <v>22</v>
      </c>
      <c r="C40" s="53" t="s">
        <v>39</v>
      </c>
      <c r="D40" s="53" t="s">
        <v>24</v>
      </c>
      <c r="E40" s="53" t="s">
        <v>24</v>
      </c>
      <c r="F40" s="53" t="s">
        <v>25</v>
      </c>
      <c r="G40" s="53" t="s">
        <v>25</v>
      </c>
      <c r="H40" s="53" t="s">
        <v>37</v>
      </c>
      <c r="I40" s="72">
        <v>44593</v>
      </c>
      <c r="J40" s="73">
        <f>EFEITO!$J$40*EFEITO!$Y$40</f>
        <v>0</v>
      </c>
      <c r="K40" s="73">
        <f ca="1">EFEITO!$L$40*EFEITO!$Z$40</f>
        <v>87.001662336666641</v>
      </c>
      <c r="L40" s="73">
        <f>EFEITO!$N$40*EFEITO!$AA$40</f>
        <v>51.595125134519662</v>
      </c>
      <c r="M40" s="73">
        <f>$J$40-EFEITO!$K$40*EFEITO!$Y$40</f>
        <v>0</v>
      </c>
      <c r="N40" s="73">
        <f ca="1">$K$40-EFEITO!$M$40*EFEITO!$Z$40</f>
        <v>0</v>
      </c>
      <c r="O40" s="73">
        <f>$L$40-EFEITO!$O$40*EFEITO!$AA$40</f>
        <v>0</v>
      </c>
      <c r="P40" s="57"/>
      <c r="Q40" s="57"/>
      <c r="R40" s="57"/>
      <c r="S40" s="57"/>
      <c r="T40" s="57"/>
      <c r="U40" s="57"/>
      <c r="V40" s="57"/>
      <c r="W40" s="57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6" ht="11.25" customHeight="1" x14ac:dyDescent="0.2">
      <c r="A41" s="53" t="s">
        <v>21</v>
      </c>
      <c r="B41" s="53" t="s">
        <v>22</v>
      </c>
      <c r="C41" s="53" t="s">
        <v>39</v>
      </c>
      <c r="D41" s="53" t="s">
        <v>24</v>
      </c>
      <c r="E41" s="53" t="s">
        <v>24</v>
      </c>
      <c r="F41" s="53" t="s">
        <v>25</v>
      </c>
      <c r="G41" s="53" t="s">
        <v>25</v>
      </c>
      <c r="H41" s="53" t="s">
        <v>37</v>
      </c>
      <c r="I41" s="72">
        <v>44621</v>
      </c>
      <c r="J41" s="73">
        <f>EFEITO!$J$41*EFEITO!$Y$41</f>
        <v>0</v>
      </c>
      <c r="K41" s="73">
        <f ca="1">EFEITO!$L$41*EFEITO!$Z$41</f>
        <v>82.673221424394654</v>
      </c>
      <c r="L41" s="73">
        <f>EFEITO!$N$41*EFEITO!$AA$41</f>
        <v>49.028203486036098</v>
      </c>
      <c r="M41" s="73">
        <f>$J$41-EFEITO!$K$41*EFEITO!$Y$41</f>
        <v>0</v>
      </c>
      <c r="N41" s="73">
        <f ca="1">$K$41-EFEITO!$M$41*EFEITO!$Z$41</f>
        <v>0</v>
      </c>
      <c r="O41" s="73">
        <f>$L$41-EFEITO!$O$41*EFEITO!$AA$41</f>
        <v>0</v>
      </c>
      <c r="P41" s="57"/>
      <c r="Q41" s="57"/>
      <c r="R41" s="57"/>
      <c r="S41" s="57"/>
      <c r="T41" s="57"/>
      <c r="U41" s="57"/>
      <c r="V41" s="57"/>
      <c r="W41" s="57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spans="1:36" ht="11.25" customHeight="1" x14ac:dyDescent="0.2">
      <c r="A42" s="53" t="s">
        <v>21</v>
      </c>
      <c r="B42" s="53" t="s">
        <v>22</v>
      </c>
      <c r="C42" s="53" t="s">
        <v>39</v>
      </c>
      <c r="D42" s="53" t="s">
        <v>24</v>
      </c>
      <c r="E42" s="53" t="s">
        <v>24</v>
      </c>
      <c r="F42" s="53" t="s">
        <v>25</v>
      </c>
      <c r="G42" s="53" t="s">
        <v>25</v>
      </c>
      <c r="H42" s="53" t="s">
        <v>37</v>
      </c>
      <c r="I42" s="72">
        <v>44652</v>
      </c>
      <c r="J42" s="73">
        <f>EFEITO!$J$42*EFEITO!$Y$42</f>
        <v>0</v>
      </c>
      <c r="K42" s="73">
        <f ca="1">EFEITO!$L$42*EFEITO!$Z$42</f>
        <v>57.135420041990031</v>
      </c>
      <c r="L42" s="73">
        <f>EFEITO!$N$42*EFEITO!$AA$42</f>
        <v>33.883365759983064</v>
      </c>
      <c r="M42" s="73">
        <f>$J$42-EFEITO!$K$42*EFEITO!$Y$42</f>
        <v>0</v>
      </c>
      <c r="N42" s="73">
        <f ca="1">$K$42-EFEITO!$M$42*EFEITO!$Z$42</f>
        <v>0</v>
      </c>
      <c r="O42" s="73">
        <f>$L$42-EFEITO!$O$42*EFEITO!$AA$42</f>
        <v>0</v>
      </c>
      <c r="P42" s="57"/>
      <c r="Q42" s="57"/>
      <c r="R42" s="57"/>
      <c r="S42" s="57"/>
      <c r="T42" s="57"/>
      <c r="U42" s="57"/>
      <c r="V42" s="57"/>
      <c r="W42" s="57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spans="1:36" ht="11.25" customHeight="1" x14ac:dyDescent="0.2">
      <c r="A43" s="53" t="s">
        <v>21</v>
      </c>
      <c r="B43" s="53" t="s">
        <v>22</v>
      </c>
      <c r="C43" s="53" t="s">
        <v>39</v>
      </c>
      <c r="D43" s="53" t="s">
        <v>24</v>
      </c>
      <c r="E43" s="53" t="s">
        <v>24</v>
      </c>
      <c r="F43" s="53" t="s">
        <v>25</v>
      </c>
      <c r="G43" s="53" t="s">
        <v>25</v>
      </c>
      <c r="H43" s="53" t="s">
        <v>40</v>
      </c>
      <c r="I43" s="72">
        <v>44531</v>
      </c>
      <c r="J43" s="73">
        <f>EFEITO!$J$43*EFEITO!$Y$43</f>
        <v>0</v>
      </c>
      <c r="K43" s="73">
        <f ca="1">EFEITO!$L$43*EFEITO!$Z$43</f>
        <v>1.1081569203310138</v>
      </c>
      <c r="L43" s="73">
        <f>EFEITO!$N$43*EFEITO!$AA$43</f>
        <v>0.25669216484835655</v>
      </c>
      <c r="M43" s="73">
        <f>$J$43-EFEITO!$K$43*EFEITO!$Y$43</f>
        <v>0</v>
      </c>
      <c r="N43" s="73">
        <f ca="1">$K$43-EFEITO!$M$43*EFEITO!$Z$43</f>
        <v>0</v>
      </c>
      <c r="O43" s="73">
        <f>$L$43-EFEITO!$O$43*EFEITO!$AA$43</f>
        <v>0</v>
      </c>
      <c r="P43" s="57"/>
      <c r="Q43" s="57"/>
      <c r="R43" s="57"/>
      <c r="S43" s="57"/>
      <c r="T43" s="57"/>
      <c r="U43" s="57"/>
      <c r="V43" s="57"/>
      <c r="W43" s="57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spans="1:36" ht="11.25" customHeight="1" x14ac:dyDescent="0.2">
      <c r="A44" s="53" t="s">
        <v>21</v>
      </c>
      <c r="B44" s="53" t="s">
        <v>22</v>
      </c>
      <c r="C44" s="53" t="s">
        <v>39</v>
      </c>
      <c r="D44" s="53" t="s">
        <v>24</v>
      </c>
      <c r="E44" s="53" t="s">
        <v>24</v>
      </c>
      <c r="F44" s="53" t="s">
        <v>25</v>
      </c>
      <c r="G44" s="53" t="s">
        <v>25</v>
      </c>
      <c r="H44" s="53" t="s">
        <v>40</v>
      </c>
      <c r="I44" s="72">
        <v>44593</v>
      </c>
      <c r="J44" s="73">
        <f>EFEITO!$J$44*EFEITO!$Y$44</f>
        <v>0</v>
      </c>
      <c r="K44" s="73">
        <f ca="1">EFEITO!$L$44*EFEITO!$Z$44</f>
        <v>2.2163138406620275</v>
      </c>
      <c r="L44" s="73">
        <f>EFEITO!$N$44*EFEITO!$AA$44</f>
        <v>0.5133843296967131</v>
      </c>
      <c r="M44" s="73">
        <f>$J$44-EFEITO!$K$44*EFEITO!$Y$44</f>
        <v>0</v>
      </c>
      <c r="N44" s="73">
        <f ca="1">$K$44-EFEITO!$M$44*EFEITO!$Z$44</f>
        <v>0</v>
      </c>
      <c r="O44" s="73">
        <f>$L$44-EFEITO!$O$44*EFEITO!$AA$44</f>
        <v>0</v>
      </c>
      <c r="P44" s="57"/>
      <c r="Q44" s="57"/>
      <c r="R44" s="57"/>
      <c r="S44" s="57"/>
      <c r="T44" s="57"/>
      <c r="U44" s="57"/>
      <c r="V44" s="57"/>
      <c r="W44" s="57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1:36" ht="11.25" customHeight="1" x14ac:dyDescent="0.2">
      <c r="A45" s="53" t="s">
        <v>21</v>
      </c>
      <c r="B45" s="53" t="s">
        <v>22</v>
      </c>
      <c r="C45" s="53" t="s">
        <v>39</v>
      </c>
      <c r="D45" s="53" t="s">
        <v>24</v>
      </c>
      <c r="E45" s="53" t="s">
        <v>24</v>
      </c>
      <c r="F45" s="53" t="s">
        <v>25</v>
      </c>
      <c r="G45" s="53" t="s">
        <v>25</v>
      </c>
      <c r="H45" s="53" t="s">
        <v>40</v>
      </c>
      <c r="I45" s="72">
        <v>44621</v>
      </c>
      <c r="J45" s="73">
        <f>EFEITO!$J$45*EFEITO!$Y$45</f>
        <v>0</v>
      </c>
      <c r="K45" s="73">
        <f ca="1">EFEITO!$L$45*EFEITO!$Z$45</f>
        <v>2.2163138406620275</v>
      </c>
      <c r="L45" s="73">
        <f>EFEITO!$N$45*EFEITO!$AA$45</f>
        <v>0.5133843296967131</v>
      </c>
      <c r="M45" s="73">
        <f>$J$45-EFEITO!$K$45*EFEITO!$Y$45</f>
        <v>0</v>
      </c>
      <c r="N45" s="73">
        <f ca="1">$K$45-EFEITO!$M$45*EFEITO!$Z$45</f>
        <v>0</v>
      </c>
      <c r="O45" s="73">
        <f>$L$45-EFEITO!$O$45*EFEITO!$AA$45</f>
        <v>0</v>
      </c>
      <c r="P45" s="57"/>
      <c r="Q45" s="57"/>
      <c r="R45" s="57"/>
      <c r="S45" s="57"/>
      <c r="T45" s="57"/>
      <c r="U45" s="57"/>
      <c r="V45" s="57"/>
      <c r="W45" s="57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spans="1:36" ht="11.25" customHeight="1" x14ac:dyDescent="0.2">
      <c r="A46" s="53" t="s">
        <v>21</v>
      </c>
      <c r="B46" s="53" t="s">
        <v>22</v>
      </c>
      <c r="C46" s="53" t="s">
        <v>23</v>
      </c>
      <c r="D46" s="53" t="s">
        <v>24</v>
      </c>
      <c r="E46" s="53" t="s">
        <v>24</v>
      </c>
      <c r="F46" s="53" t="s">
        <v>25</v>
      </c>
      <c r="G46" s="53" t="s">
        <v>25</v>
      </c>
      <c r="H46" s="53" t="s">
        <v>25</v>
      </c>
      <c r="I46" s="72">
        <v>44317</v>
      </c>
      <c r="J46" s="73">
        <f>EFEITO!$J$46*EFEITO!$Y$46</f>
        <v>0</v>
      </c>
      <c r="K46" s="73">
        <f ca="1">EFEITO!$L$46*EFEITO!$Z$46</f>
        <v>138939.83259331362</v>
      </c>
      <c r="L46" s="73">
        <f>EFEITO!$N$46*EFEITO!$AA$46</f>
        <v>54205.941143192293</v>
      </c>
      <c r="M46" s="73">
        <f>$J$46-EFEITO!$K$46*EFEITO!$Y$46</f>
        <v>0</v>
      </c>
      <c r="N46" s="73">
        <f ca="1">$K$46-EFEITO!$M$46*EFEITO!$Z$46</f>
        <v>0</v>
      </c>
      <c r="O46" s="73">
        <f>$L$46-EFEITO!$O$46*EFEITO!$AA$46</f>
        <v>0</v>
      </c>
      <c r="P46" s="57"/>
      <c r="Q46" s="57"/>
      <c r="R46" s="57"/>
      <c r="S46" s="57"/>
      <c r="T46" s="57"/>
      <c r="U46" s="57"/>
      <c r="V46" s="57"/>
      <c r="W46" s="57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spans="1:36" ht="11.25" customHeight="1" x14ac:dyDescent="0.2">
      <c r="A47" s="53" t="s">
        <v>27</v>
      </c>
      <c r="B47" s="53" t="s">
        <v>22</v>
      </c>
      <c r="C47" s="53" t="s">
        <v>23</v>
      </c>
      <c r="D47" s="53" t="s">
        <v>24</v>
      </c>
      <c r="E47" s="53" t="s">
        <v>24</v>
      </c>
      <c r="F47" s="53" t="s">
        <v>25</v>
      </c>
      <c r="G47" s="53" t="s">
        <v>25</v>
      </c>
      <c r="H47" s="53" t="s">
        <v>25</v>
      </c>
      <c r="I47" s="72">
        <v>44317</v>
      </c>
      <c r="J47" s="73">
        <f>EFEITO!$J$47*EFEITO!$Y$47</f>
        <v>0</v>
      </c>
      <c r="K47" s="73">
        <f ca="1">EFEITO!$L$47*EFEITO!$Z$47</f>
        <v>911.25991798939901</v>
      </c>
      <c r="L47" s="73">
        <f>EFEITO!$N$47*EFEITO!$AA$47</f>
        <v>355.5186483149738</v>
      </c>
      <c r="M47" s="73">
        <f>$J$47-EFEITO!$K$47*EFEITO!$Y$47</f>
        <v>0</v>
      </c>
      <c r="N47" s="73">
        <f ca="1">$K$47-EFEITO!$M$47*EFEITO!$Z$47</f>
        <v>0</v>
      </c>
      <c r="O47" s="73">
        <f>$L$47-EFEITO!$O$47*EFEITO!$AA$47</f>
        <v>0</v>
      </c>
      <c r="P47" s="57"/>
      <c r="Q47" s="57"/>
      <c r="R47" s="57"/>
      <c r="S47" s="57"/>
      <c r="T47" s="57"/>
      <c r="U47" s="57"/>
      <c r="V47" s="57"/>
      <c r="W47" s="57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spans="1:36" ht="11.25" customHeight="1" x14ac:dyDescent="0.2">
      <c r="A48" s="53" t="s">
        <v>21</v>
      </c>
      <c r="B48" s="53" t="s">
        <v>22</v>
      </c>
      <c r="C48" s="53" t="s">
        <v>23</v>
      </c>
      <c r="D48" s="53" t="s">
        <v>24</v>
      </c>
      <c r="E48" s="53" t="s">
        <v>24</v>
      </c>
      <c r="F48" s="53" t="s">
        <v>25</v>
      </c>
      <c r="G48" s="53" t="s">
        <v>25</v>
      </c>
      <c r="H48" s="53" t="s">
        <v>25</v>
      </c>
      <c r="I48" s="72">
        <v>44348</v>
      </c>
      <c r="J48" s="73">
        <f>EFEITO!$J$48*EFEITO!$Y$48</f>
        <v>0</v>
      </c>
      <c r="K48" s="73">
        <f ca="1">EFEITO!$L$48*EFEITO!$Z$48</f>
        <v>131258.27335683259</v>
      </c>
      <c r="L48" s="73">
        <f>EFEITO!$N$48*EFEITO!$AA$48</f>
        <v>51209.060118587739</v>
      </c>
      <c r="M48" s="73">
        <f>$J$48-EFEITO!$K$48*EFEITO!$Y$48</f>
        <v>0</v>
      </c>
      <c r="N48" s="73">
        <f ca="1">$K$48-EFEITO!$M$48*EFEITO!$Z$48</f>
        <v>0</v>
      </c>
      <c r="O48" s="73">
        <f>$L$48-EFEITO!$O$48*EFEITO!$AA$48</f>
        <v>0</v>
      </c>
      <c r="P48" s="57"/>
      <c r="Q48" s="57"/>
      <c r="R48" s="57"/>
      <c r="S48" s="57"/>
      <c r="T48" s="57"/>
      <c r="U48" s="57"/>
      <c r="V48" s="57"/>
      <c r="W48" s="57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spans="1:36" ht="11.25" customHeight="1" x14ac:dyDescent="0.2">
      <c r="A49" s="53" t="s">
        <v>27</v>
      </c>
      <c r="B49" s="53" t="s">
        <v>22</v>
      </c>
      <c r="C49" s="53" t="s">
        <v>23</v>
      </c>
      <c r="D49" s="53" t="s">
        <v>24</v>
      </c>
      <c r="E49" s="53" t="s">
        <v>24</v>
      </c>
      <c r="F49" s="53" t="s">
        <v>25</v>
      </c>
      <c r="G49" s="53" t="s">
        <v>25</v>
      </c>
      <c r="H49" s="53" t="s">
        <v>25</v>
      </c>
      <c r="I49" s="72">
        <v>44348</v>
      </c>
      <c r="J49" s="73">
        <f>EFEITO!$J$49*EFEITO!$Y$49</f>
        <v>0</v>
      </c>
      <c r="K49" s="73">
        <f ca="1">EFEITO!$L$49*EFEITO!$Z$49</f>
        <v>977.71280731570175</v>
      </c>
      <c r="L49" s="73">
        <f>EFEITO!$N$49*EFEITO!$AA$49</f>
        <v>381.44455696465781</v>
      </c>
      <c r="M49" s="73">
        <f>$J$49-EFEITO!$K$49*EFEITO!$Y$49</f>
        <v>0</v>
      </c>
      <c r="N49" s="73">
        <f ca="1">$K$49-EFEITO!$M$49*EFEITO!$Z$49</f>
        <v>0</v>
      </c>
      <c r="O49" s="73">
        <f>$L$49-EFEITO!$O$49*EFEITO!$AA$49</f>
        <v>0</v>
      </c>
      <c r="P49" s="57"/>
      <c r="Q49" s="57"/>
      <c r="R49" s="57"/>
      <c r="S49" s="57"/>
      <c r="T49" s="57"/>
      <c r="U49" s="57"/>
      <c r="V49" s="57"/>
      <c r="W49" s="57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1:36" ht="11.25" customHeight="1" x14ac:dyDescent="0.2">
      <c r="A50" s="53" t="s">
        <v>21</v>
      </c>
      <c r="B50" s="53" t="s">
        <v>22</v>
      </c>
      <c r="C50" s="53" t="s">
        <v>23</v>
      </c>
      <c r="D50" s="53" t="s">
        <v>24</v>
      </c>
      <c r="E50" s="53" t="s">
        <v>24</v>
      </c>
      <c r="F50" s="53" t="s">
        <v>25</v>
      </c>
      <c r="G50" s="53" t="s">
        <v>25</v>
      </c>
      <c r="H50" s="53" t="s">
        <v>25</v>
      </c>
      <c r="I50" s="72">
        <v>44378</v>
      </c>
      <c r="J50" s="73">
        <f>EFEITO!$J$50*EFEITO!$Y$50</f>
        <v>0</v>
      </c>
      <c r="K50" s="73">
        <f ca="1">EFEITO!$L$50*EFEITO!$Z$50</f>
        <v>126832.90569734041</v>
      </c>
      <c r="L50" s="73">
        <f>EFEITO!$N$50*EFEITO!$AA$50</f>
        <v>49482.548617817687</v>
      </c>
      <c r="M50" s="73">
        <f>$J$50-EFEITO!$K$50*EFEITO!$Y$50</f>
        <v>0</v>
      </c>
      <c r="N50" s="73">
        <f ca="1">$K$50-EFEITO!$M$50*EFEITO!$Z$50</f>
        <v>0</v>
      </c>
      <c r="O50" s="73">
        <f>$L$50-EFEITO!$O$50*EFEITO!$AA$50</f>
        <v>0</v>
      </c>
      <c r="P50" s="57"/>
      <c r="Q50" s="57"/>
      <c r="R50" s="57"/>
      <c r="S50" s="57"/>
      <c r="T50" s="57"/>
      <c r="U50" s="57"/>
      <c r="V50" s="57"/>
      <c r="W50" s="57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spans="1:36" ht="11.25" customHeight="1" x14ac:dyDescent="0.2">
      <c r="A51" s="53" t="s">
        <v>27</v>
      </c>
      <c r="B51" s="53" t="s">
        <v>22</v>
      </c>
      <c r="C51" s="53" t="s">
        <v>23</v>
      </c>
      <c r="D51" s="53" t="s">
        <v>24</v>
      </c>
      <c r="E51" s="53" t="s">
        <v>24</v>
      </c>
      <c r="F51" s="53" t="s">
        <v>25</v>
      </c>
      <c r="G51" s="53" t="s">
        <v>25</v>
      </c>
      <c r="H51" s="53" t="s">
        <v>25</v>
      </c>
      <c r="I51" s="72">
        <v>44378</v>
      </c>
      <c r="J51" s="73">
        <f>EFEITO!$J$51*EFEITO!$Y$51</f>
        <v>0</v>
      </c>
      <c r="K51" s="73">
        <f ca="1">EFEITO!$L$51*EFEITO!$Z$51</f>
        <v>972.44921212153918</v>
      </c>
      <c r="L51" s="73">
        <f>EFEITO!$N$51*EFEITO!$AA$51</f>
        <v>379.39101964587093</v>
      </c>
      <c r="M51" s="73">
        <f>$J$51-EFEITO!$K$51*EFEITO!$Y$51</f>
        <v>0</v>
      </c>
      <c r="N51" s="73">
        <f ca="1">$K$51-EFEITO!$M$51*EFEITO!$Z$51</f>
        <v>0</v>
      </c>
      <c r="O51" s="73">
        <f>$L$51-EFEITO!$O$51*EFEITO!$AA$51</f>
        <v>0</v>
      </c>
      <c r="P51" s="57"/>
      <c r="Q51" s="57"/>
      <c r="R51" s="57"/>
      <c r="S51" s="57"/>
      <c r="T51" s="57"/>
      <c r="U51" s="57"/>
      <c r="V51" s="57"/>
      <c r="W51" s="57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spans="1:36" ht="11.25" customHeight="1" x14ac:dyDescent="0.2">
      <c r="A52" s="53" t="s">
        <v>21</v>
      </c>
      <c r="B52" s="53" t="s">
        <v>22</v>
      </c>
      <c r="C52" s="53" t="s">
        <v>23</v>
      </c>
      <c r="D52" s="53" t="s">
        <v>24</v>
      </c>
      <c r="E52" s="53" t="s">
        <v>24</v>
      </c>
      <c r="F52" s="53" t="s">
        <v>25</v>
      </c>
      <c r="G52" s="53" t="s">
        <v>25</v>
      </c>
      <c r="H52" s="53" t="s">
        <v>25</v>
      </c>
      <c r="I52" s="72">
        <v>44409</v>
      </c>
      <c r="J52" s="73">
        <f>EFEITO!$J$52*EFEITO!$Y$52</f>
        <v>0</v>
      </c>
      <c r="K52" s="73">
        <f ca="1">EFEITO!$L$52*EFEITO!$Z$52</f>
        <v>129275.21386743184</v>
      </c>
      <c r="L52" s="73">
        <f>EFEITO!$N$52*EFEITO!$AA$52</f>
        <v>50435.38993373479</v>
      </c>
      <c r="M52" s="73">
        <f>$J$52-EFEITO!$K$52*EFEITO!$Y$52</f>
        <v>0</v>
      </c>
      <c r="N52" s="73">
        <f ca="1">$K$52-EFEITO!$M$52*EFEITO!$Z$52</f>
        <v>0</v>
      </c>
      <c r="O52" s="73">
        <f>$L$52-EFEITO!$O$52*EFEITO!$AA$52</f>
        <v>0</v>
      </c>
      <c r="P52" s="57"/>
      <c r="Q52" s="57"/>
      <c r="R52" s="57"/>
      <c r="S52" s="57"/>
      <c r="T52" s="57"/>
      <c r="U52" s="57"/>
      <c r="V52" s="57"/>
      <c r="W52" s="57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spans="1:36" ht="11.25" customHeight="1" x14ac:dyDescent="0.2">
      <c r="A53" s="53" t="s">
        <v>27</v>
      </c>
      <c r="B53" s="53" t="s">
        <v>22</v>
      </c>
      <c r="C53" s="53" t="s">
        <v>23</v>
      </c>
      <c r="D53" s="53" t="s">
        <v>24</v>
      </c>
      <c r="E53" s="53" t="s">
        <v>24</v>
      </c>
      <c r="F53" s="53" t="s">
        <v>25</v>
      </c>
      <c r="G53" s="53" t="s">
        <v>25</v>
      </c>
      <c r="H53" s="53" t="s">
        <v>25</v>
      </c>
      <c r="I53" s="72">
        <v>44409</v>
      </c>
      <c r="J53" s="73">
        <f>EFEITO!$J$53*EFEITO!$Y$53</f>
        <v>0</v>
      </c>
      <c r="K53" s="73">
        <f ca="1">EFEITO!$L$53*EFEITO!$Z$53</f>
        <v>967.1856169273766</v>
      </c>
      <c r="L53" s="73">
        <f>EFEITO!$N$53*EFEITO!$AA$53</f>
        <v>377.3374823270841</v>
      </c>
      <c r="M53" s="73">
        <f>$J$53-EFEITO!$K$53*EFEITO!$Y$53</f>
        <v>0</v>
      </c>
      <c r="N53" s="73">
        <f ca="1">$K$53-EFEITO!$M$53*EFEITO!$Z$53</f>
        <v>0</v>
      </c>
      <c r="O53" s="73">
        <f>$L$53-EFEITO!$O$53*EFEITO!$AA$53</f>
        <v>0</v>
      </c>
      <c r="P53" s="57"/>
      <c r="Q53" s="57"/>
      <c r="R53" s="57"/>
      <c r="S53" s="57"/>
      <c r="T53" s="57"/>
      <c r="U53" s="57"/>
      <c r="V53" s="57"/>
      <c r="W53" s="57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spans="1:36" ht="11.25" customHeight="1" x14ac:dyDescent="0.2">
      <c r="A54" s="53" t="s">
        <v>21</v>
      </c>
      <c r="B54" s="53" t="s">
        <v>22</v>
      </c>
      <c r="C54" s="53" t="s">
        <v>23</v>
      </c>
      <c r="D54" s="53" t="s">
        <v>24</v>
      </c>
      <c r="E54" s="53" t="s">
        <v>24</v>
      </c>
      <c r="F54" s="53" t="s">
        <v>25</v>
      </c>
      <c r="G54" s="53" t="s">
        <v>25</v>
      </c>
      <c r="H54" s="53" t="s">
        <v>25</v>
      </c>
      <c r="I54" s="72">
        <v>44440</v>
      </c>
      <c r="J54" s="73">
        <f>EFEITO!$J$54*EFEITO!$Y$54</f>
        <v>0</v>
      </c>
      <c r="K54" s="73">
        <f ca="1">EFEITO!$L$54*EFEITO!$Z$54</f>
        <v>131527.37466113415</v>
      </c>
      <c r="L54" s="73">
        <f>EFEITO!$N$54*EFEITO!$AA$54</f>
        <v>51314.047214010709</v>
      </c>
      <c r="M54" s="73">
        <f>$J$54-EFEITO!$K$54*EFEITO!$Y$54</f>
        <v>0</v>
      </c>
      <c r="N54" s="73">
        <f ca="1">$K$54-EFEITO!$M$54*EFEITO!$Z$54</f>
        <v>0</v>
      </c>
      <c r="O54" s="73">
        <f>$L$54-EFEITO!$O$54*EFEITO!$AA$54</f>
        <v>0</v>
      </c>
      <c r="P54" s="57"/>
      <c r="Q54" s="57"/>
      <c r="R54" s="57"/>
      <c r="S54" s="57"/>
      <c r="T54" s="57"/>
      <c r="U54" s="57"/>
      <c r="V54" s="57"/>
      <c r="W54" s="57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spans="1:36" ht="11.25" customHeight="1" x14ac:dyDescent="0.2">
      <c r="A55" s="53" t="s">
        <v>27</v>
      </c>
      <c r="B55" s="53" t="s">
        <v>22</v>
      </c>
      <c r="C55" s="53" t="s">
        <v>23</v>
      </c>
      <c r="D55" s="53" t="s">
        <v>24</v>
      </c>
      <c r="E55" s="53" t="s">
        <v>24</v>
      </c>
      <c r="F55" s="53" t="s">
        <v>25</v>
      </c>
      <c r="G55" s="53" t="s">
        <v>25</v>
      </c>
      <c r="H55" s="53" t="s">
        <v>25</v>
      </c>
      <c r="I55" s="72">
        <v>44440</v>
      </c>
      <c r="J55" s="73">
        <f>EFEITO!$J$55*EFEITO!$Y$55</f>
        <v>0</v>
      </c>
      <c r="K55" s="73">
        <f ca="1">EFEITO!$L$55*EFEITO!$Z$55</f>
        <v>1425.1183988195221</v>
      </c>
      <c r="L55" s="73">
        <f>EFEITO!$N$55*EFEITO!$AA$55</f>
        <v>555.99522906154027</v>
      </c>
      <c r="M55" s="73">
        <f>$J$55-EFEITO!$K$55*EFEITO!$Y$55</f>
        <v>0</v>
      </c>
      <c r="N55" s="73">
        <f ca="1">$K$55-EFEITO!$M$55*EFEITO!$Z$55</f>
        <v>0</v>
      </c>
      <c r="O55" s="73">
        <f>$L$55-EFEITO!$O$55*EFEITO!$AA$55</f>
        <v>0</v>
      </c>
      <c r="P55" s="57"/>
      <c r="Q55" s="57"/>
      <c r="R55" s="57"/>
      <c r="S55" s="57"/>
      <c r="T55" s="57"/>
      <c r="U55" s="57"/>
      <c r="V55" s="57"/>
      <c r="W55" s="57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spans="1:36" ht="11.25" customHeight="1" x14ac:dyDescent="0.2">
      <c r="A56" s="53" t="s">
        <v>21</v>
      </c>
      <c r="B56" s="53" t="s">
        <v>22</v>
      </c>
      <c r="C56" s="53" t="s">
        <v>23</v>
      </c>
      <c r="D56" s="53" t="s">
        <v>24</v>
      </c>
      <c r="E56" s="53" t="s">
        <v>24</v>
      </c>
      <c r="F56" s="53" t="s">
        <v>25</v>
      </c>
      <c r="G56" s="53" t="s">
        <v>25</v>
      </c>
      <c r="H56" s="53" t="s">
        <v>25</v>
      </c>
      <c r="I56" s="72">
        <v>44470</v>
      </c>
      <c r="J56" s="73">
        <f>EFEITO!$J$56*EFEITO!$Y$56</f>
        <v>0</v>
      </c>
      <c r="K56" s="73">
        <f ca="1">EFEITO!$L$56*EFEITO!$Z$56</f>
        <v>130835.86984250105</v>
      </c>
      <c r="L56" s="73">
        <f>EFEITO!$N$56*EFEITO!$AA$56</f>
        <v>51044.263748755089</v>
      </c>
      <c r="M56" s="73">
        <f>$J$56-EFEITO!$K$56*EFEITO!$Y$56</f>
        <v>0</v>
      </c>
      <c r="N56" s="73">
        <f ca="1">$K$56-EFEITO!$M$56*EFEITO!$Z$56</f>
        <v>0</v>
      </c>
      <c r="O56" s="73">
        <f>$L$56-EFEITO!$O$56*EFEITO!$AA$56</f>
        <v>0</v>
      </c>
      <c r="P56" s="57"/>
      <c r="Q56" s="57"/>
      <c r="R56" s="57"/>
      <c r="S56" s="57"/>
      <c r="T56" s="57"/>
      <c r="U56" s="57"/>
      <c r="V56" s="57"/>
      <c r="W56" s="57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spans="1:36" ht="11.25" customHeight="1" x14ac:dyDescent="0.2">
      <c r="A57" s="53" t="s">
        <v>27</v>
      </c>
      <c r="B57" s="53" t="s">
        <v>22</v>
      </c>
      <c r="C57" s="53" t="s">
        <v>23</v>
      </c>
      <c r="D57" s="53" t="s">
        <v>24</v>
      </c>
      <c r="E57" s="53" t="s">
        <v>24</v>
      </c>
      <c r="F57" s="53" t="s">
        <v>25</v>
      </c>
      <c r="G57" s="53" t="s">
        <v>25</v>
      </c>
      <c r="H57" s="53" t="s">
        <v>25</v>
      </c>
      <c r="I57" s="72">
        <v>44470</v>
      </c>
      <c r="J57" s="73">
        <f>EFEITO!$J$57*EFEITO!$Y$57</f>
        <v>0</v>
      </c>
      <c r="K57" s="73">
        <f ca="1">EFEITO!$L$57*EFEITO!$Z$57</f>
        <v>1622.5032186006197</v>
      </c>
      <c r="L57" s="73">
        <f>EFEITO!$N$57*EFEITO!$AA$57</f>
        <v>633.00287851604719</v>
      </c>
      <c r="M57" s="73">
        <f>$J$57-EFEITO!$K$57*EFEITO!$Y$57</f>
        <v>0</v>
      </c>
      <c r="N57" s="73">
        <f ca="1">$K$57-EFEITO!$M$57*EFEITO!$Z$57</f>
        <v>0</v>
      </c>
      <c r="O57" s="73">
        <f>$L$57-EFEITO!$O$57*EFEITO!$AA$57</f>
        <v>0</v>
      </c>
      <c r="P57" s="57"/>
      <c r="Q57" s="57"/>
      <c r="R57" s="57"/>
      <c r="S57" s="57"/>
      <c r="T57" s="57"/>
      <c r="U57" s="57"/>
      <c r="V57" s="57"/>
      <c r="W57" s="57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spans="1:36" ht="11.25" customHeight="1" x14ac:dyDescent="0.2">
      <c r="A58" s="53" t="s">
        <v>21</v>
      </c>
      <c r="B58" s="53" t="s">
        <v>22</v>
      </c>
      <c r="C58" s="53" t="s">
        <v>23</v>
      </c>
      <c r="D58" s="53" t="s">
        <v>24</v>
      </c>
      <c r="E58" s="53" t="s">
        <v>24</v>
      </c>
      <c r="F58" s="53" t="s">
        <v>25</v>
      </c>
      <c r="G58" s="53" t="s">
        <v>25</v>
      </c>
      <c r="H58" s="53" t="s">
        <v>25</v>
      </c>
      <c r="I58" s="72">
        <v>44501</v>
      </c>
      <c r="J58" s="73">
        <f>EFEITO!$J$58*EFEITO!$Y$58</f>
        <v>0</v>
      </c>
      <c r="K58" s="73">
        <f ca="1">EFEITO!$L$58*EFEITO!$Z$58</f>
        <v>153321.29056256436</v>
      </c>
      <c r="L58" s="73">
        <f>EFEITO!$N$58*EFEITO!$AA$58</f>
        <v>59816.718482447672</v>
      </c>
      <c r="M58" s="73">
        <f>$J$58-EFEITO!$K$58*EFEITO!$Y$58</f>
        <v>0</v>
      </c>
      <c r="N58" s="73">
        <f ca="1">$K$58-EFEITO!$M$58*EFEITO!$Z$58</f>
        <v>0</v>
      </c>
      <c r="O58" s="73">
        <f>$L$58-EFEITO!$O$58*EFEITO!$AA$58</f>
        <v>0</v>
      </c>
      <c r="P58" s="57"/>
      <c r="Q58" s="57"/>
      <c r="R58" s="57"/>
      <c r="S58" s="57"/>
      <c r="T58" s="57"/>
      <c r="U58" s="57"/>
      <c r="V58" s="57"/>
      <c r="W58" s="57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 spans="1:36" ht="11.25" customHeight="1" x14ac:dyDescent="0.2">
      <c r="A59" s="53" t="s">
        <v>27</v>
      </c>
      <c r="B59" s="53" t="s">
        <v>22</v>
      </c>
      <c r="C59" s="53" t="s">
        <v>23</v>
      </c>
      <c r="D59" s="53" t="s">
        <v>24</v>
      </c>
      <c r="E59" s="53" t="s">
        <v>24</v>
      </c>
      <c r="F59" s="53" t="s">
        <v>25</v>
      </c>
      <c r="G59" s="53" t="s">
        <v>25</v>
      </c>
      <c r="H59" s="53" t="s">
        <v>25</v>
      </c>
      <c r="I59" s="72">
        <v>44501</v>
      </c>
      <c r="J59" s="73">
        <f>EFEITO!$J$59*EFEITO!$Y$59</f>
        <v>0</v>
      </c>
      <c r="K59" s="73">
        <f ca="1">EFEITO!$L$59*EFEITO!$Z$59</f>
        <v>1826.4675323744198</v>
      </c>
      <c r="L59" s="73">
        <f>EFEITO!$N$59*EFEITO!$AA$59</f>
        <v>712.57744961903768</v>
      </c>
      <c r="M59" s="73">
        <f>$J$59-EFEITO!$K$59*EFEITO!$Y$59</f>
        <v>0</v>
      </c>
      <c r="N59" s="73">
        <f ca="1">$K$59-EFEITO!$M$59*EFEITO!$Z$59</f>
        <v>0</v>
      </c>
      <c r="O59" s="73">
        <f>$L$59-EFEITO!$O$59*EFEITO!$AA$59</f>
        <v>0</v>
      </c>
      <c r="P59" s="57"/>
      <c r="Q59" s="57"/>
      <c r="R59" s="57"/>
      <c r="S59" s="57"/>
      <c r="T59" s="57"/>
      <c r="U59" s="57"/>
      <c r="V59" s="57"/>
      <c r="W59" s="57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spans="1:36" ht="11.25" customHeight="1" x14ac:dyDescent="0.2">
      <c r="A60" s="53" t="s">
        <v>21</v>
      </c>
      <c r="B60" s="53" t="s">
        <v>22</v>
      </c>
      <c r="C60" s="53" t="s">
        <v>23</v>
      </c>
      <c r="D60" s="53" t="s">
        <v>24</v>
      </c>
      <c r="E60" s="53" t="s">
        <v>24</v>
      </c>
      <c r="F60" s="53" t="s">
        <v>25</v>
      </c>
      <c r="G60" s="53" t="s">
        <v>25</v>
      </c>
      <c r="H60" s="53" t="s">
        <v>25</v>
      </c>
      <c r="I60" s="72">
        <v>44531</v>
      </c>
      <c r="J60" s="73">
        <f>EFEITO!$J$60*EFEITO!$Y$60</f>
        <v>0</v>
      </c>
      <c r="K60" s="73">
        <f ca="1">EFEITO!$L$60*EFEITO!$Z$60</f>
        <v>144131.71130295578</v>
      </c>
      <c r="L60" s="73">
        <f>EFEITO!$N$60*EFEITO!$AA$60</f>
        <v>56231.499016010683</v>
      </c>
      <c r="M60" s="73">
        <f>$J$60-EFEITO!$K$60*EFEITO!$Y$60</f>
        <v>0</v>
      </c>
      <c r="N60" s="73">
        <f ca="1">$K$60-EFEITO!$M$60*EFEITO!$Z$60</f>
        <v>0</v>
      </c>
      <c r="O60" s="73">
        <f>$L$60-EFEITO!$O$60*EFEITO!$AA$60</f>
        <v>0</v>
      </c>
      <c r="P60" s="57"/>
      <c r="Q60" s="57"/>
      <c r="R60" s="57"/>
      <c r="S60" s="57"/>
      <c r="T60" s="57"/>
      <c r="U60" s="57"/>
      <c r="V60" s="57"/>
      <c r="W60" s="57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 spans="1:36" ht="11.25" customHeight="1" x14ac:dyDescent="0.2">
      <c r="A61" s="53" t="s">
        <v>27</v>
      </c>
      <c r="B61" s="53" t="s">
        <v>22</v>
      </c>
      <c r="C61" s="53" t="s">
        <v>23</v>
      </c>
      <c r="D61" s="53" t="s">
        <v>24</v>
      </c>
      <c r="E61" s="53" t="s">
        <v>24</v>
      </c>
      <c r="F61" s="53" t="s">
        <v>25</v>
      </c>
      <c r="G61" s="53" t="s">
        <v>25</v>
      </c>
      <c r="H61" s="53" t="s">
        <v>25</v>
      </c>
      <c r="I61" s="72">
        <v>44531</v>
      </c>
      <c r="J61" s="73">
        <f>EFEITO!$J$61*EFEITO!$Y$61</f>
        <v>0</v>
      </c>
      <c r="K61" s="73">
        <f ca="1">EFEITO!$L$61*EFEITO!$Z$61</f>
        <v>2410.7265989264679</v>
      </c>
      <c r="L61" s="73">
        <f>EFEITO!$N$61*EFEITO!$AA$61</f>
        <v>940.5200920043784</v>
      </c>
      <c r="M61" s="73">
        <f>$J$61-EFEITO!$K$61*EFEITO!$Y$61</f>
        <v>0</v>
      </c>
      <c r="N61" s="73">
        <f ca="1">$K$61-EFEITO!$M$61*EFEITO!$Z$61</f>
        <v>0</v>
      </c>
      <c r="O61" s="73">
        <f>$L$61-EFEITO!$O$61*EFEITO!$AA$61</f>
        <v>0</v>
      </c>
      <c r="P61" s="57"/>
      <c r="Q61" s="57"/>
      <c r="R61" s="57"/>
      <c r="S61" s="57"/>
      <c r="T61" s="57"/>
      <c r="U61" s="57"/>
      <c r="V61" s="57"/>
      <c r="W61" s="57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 spans="1:36" ht="11.25" customHeight="1" x14ac:dyDescent="0.2">
      <c r="A62" s="53" t="s">
        <v>21</v>
      </c>
      <c r="B62" s="53" t="s">
        <v>22</v>
      </c>
      <c r="C62" s="53" t="s">
        <v>23</v>
      </c>
      <c r="D62" s="53" t="s">
        <v>24</v>
      </c>
      <c r="E62" s="53" t="s">
        <v>24</v>
      </c>
      <c r="F62" s="53" t="s">
        <v>25</v>
      </c>
      <c r="G62" s="53" t="s">
        <v>25</v>
      </c>
      <c r="H62" s="53" t="s">
        <v>25</v>
      </c>
      <c r="I62" s="72">
        <v>44562</v>
      </c>
      <c r="J62" s="73">
        <f>EFEITO!$J$62*EFEITO!$Y$62</f>
        <v>0</v>
      </c>
      <c r="K62" s="73">
        <f ca="1">EFEITO!$L$62*EFEITO!$Z$62</f>
        <v>143406.65106495988</v>
      </c>
      <c r="L62" s="73">
        <f>EFEITO!$N$62*EFEITO!$AA$62</f>
        <v>55948.624250347792</v>
      </c>
      <c r="M62" s="73">
        <f>$J$62-EFEITO!$K$62*EFEITO!$Y$62</f>
        <v>0</v>
      </c>
      <c r="N62" s="73">
        <f ca="1">$K$62-EFEITO!$M$62*EFEITO!$Z$62</f>
        <v>0</v>
      </c>
      <c r="O62" s="73">
        <f>$L$62-EFEITO!$O$62*EFEITO!$AA$62</f>
        <v>0</v>
      </c>
      <c r="P62" s="57"/>
      <c r="Q62" s="57"/>
      <c r="R62" s="57"/>
      <c r="S62" s="57"/>
      <c r="T62" s="57"/>
      <c r="U62" s="57"/>
      <c r="V62" s="57"/>
      <c r="W62" s="57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spans="1:36" ht="11.25" customHeight="1" x14ac:dyDescent="0.2">
      <c r="A63" s="53" t="s">
        <v>27</v>
      </c>
      <c r="B63" s="53" t="s">
        <v>22</v>
      </c>
      <c r="C63" s="53" t="s">
        <v>23</v>
      </c>
      <c r="D63" s="53" t="s">
        <v>24</v>
      </c>
      <c r="E63" s="53" t="s">
        <v>24</v>
      </c>
      <c r="F63" s="53" t="s">
        <v>25</v>
      </c>
      <c r="G63" s="53" t="s">
        <v>25</v>
      </c>
      <c r="H63" s="53" t="s">
        <v>25</v>
      </c>
      <c r="I63" s="72">
        <v>44562</v>
      </c>
      <c r="J63" s="73">
        <f>EFEITO!$J$63*EFEITO!$Y$63</f>
        <v>0</v>
      </c>
      <c r="K63" s="73">
        <f ca="1">EFEITO!$L$63*EFEITO!$Z$63</f>
        <v>2418.6219917177118</v>
      </c>
      <c r="L63" s="73">
        <f>EFEITO!$N$63*EFEITO!$AA$63</f>
        <v>943.60039798255866</v>
      </c>
      <c r="M63" s="73">
        <f>$J$63-EFEITO!$K$63*EFEITO!$Y$63</f>
        <v>0</v>
      </c>
      <c r="N63" s="73">
        <f ca="1">$K$63-EFEITO!$M$63*EFEITO!$Z$63</f>
        <v>0</v>
      </c>
      <c r="O63" s="73">
        <f>$L$63-EFEITO!$O$63*EFEITO!$AA$63</f>
        <v>0</v>
      </c>
      <c r="P63" s="57"/>
      <c r="Q63" s="57"/>
      <c r="R63" s="57"/>
      <c r="S63" s="57"/>
      <c r="T63" s="57"/>
      <c r="U63" s="57"/>
      <c r="V63" s="57"/>
      <c r="W63" s="57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 spans="1:36" ht="11.25" customHeight="1" x14ac:dyDescent="0.2">
      <c r="A64" s="53" t="s">
        <v>21</v>
      </c>
      <c r="B64" s="53" t="s">
        <v>22</v>
      </c>
      <c r="C64" s="53" t="s">
        <v>23</v>
      </c>
      <c r="D64" s="53" t="s">
        <v>24</v>
      </c>
      <c r="E64" s="53" t="s">
        <v>24</v>
      </c>
      <c r="F64" s="53" t="s">
        <v>25</v>
      </c>
      <c r="G64" s="53" t="s">
        <v>25</v>
      </c>
      <c r="H64" s="53" t="s">
        <v>25</v>
      </c>
      <c r="I64" s="72">
        <v>44593</v>
      </c>
      <c r="J64" s="73">
        <f>EFEITO!$J$64*EFEITO!$Y$64</f>
        <v>0</v>
      </c>
      <c r="K64" s="73">
        <f ca="1">EFEITO!$L$64*EFEITO!$Z$64</f>
        <v>133207.11947747131</v>
      </c>
      <c r="L64" s="73">
        <f>EFEITO!$N$64*EFEITO!$AA$64</f>
        <v>51969.382310868568</v>
      </c>
      <c r="M64" s="73">
        <f>$J$64-EFEITO!$K$64*EFEITO!$Y$64</f>
        <v>0</v>
      </c>
      <c r="N64" s="73">
        <f ca="1">$K$64-EFEITO!$M$64*EFEITO!$Z$64</f>
        <v>0</v>
      </c>
      <c r="O64" s="73">
        <f>$L$64-EFEITO!$O$64*EFEITO!$AA$64</f>
        <v>0</v>
      </c>
      <c r="P64" s="57"/>
      <c r="Q64" s="57"/>
      <c r="R64" s="57"/>
      <c r="S64" s="57"/>
      <c r="T64" s="57"/>
      <c r="U64" s="57"/>
      <c r="V64" s="57"/>
      <c r="W64" s="57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spans="1:36" ht="11.25" customHeight="1" x14ac:dyDescent="0.2">
      <c r="A65" s="53" t="s">
        <v>27</v>
      </c>
      <c r="B65" s="53" t="s">
        <v>22</v>
      </c>
      <c r="C65" s="53" t="s">
        <v>23</v>
      </c>
      <c r="D65" s="53" t="s">
        <v>24</v>
      </c>
      <c r="E65" s="53" t="s">
        <v>24</v>
      </c>
      <c r="F65" s="53" t="s">
        <v>25</v>
      </c>
      <c r="G65" s="53" t="s">
        <v>25</v>
      </c>
      <c r="H65" s="53" t="s">
        <v>25</v>
      </c>
      <c r="I65" s="72">
        <v>44593</v>
      </c>
      <c r="J65" s="73">
        <f>EFEITO!$J$65*EFEITO!$Y$65</f>
        <v>0</v>
      </c>
      <c r="K65" s="73">
        <f ca="1">EFEITO!$L$65*EFEITO!$Z$65</f>
        <v>2340.326013204543</v>
      </c>
      <c r="L65" s="73">
        <f>EFEITO!$N$65*EFEITO!$AA$65</f>
        <v>913.05403036560415</v>
      </c>
      <c r="M65" s="73">
        <f>$J$65-EFEITO!$K$65*EFEITO!$Y$65</f>
        <v>0</v>
      </c>
      <c r="N65" s="73">
        <f ca="1">$K$65-EFEITO!$M$65*EFEITO!$Z$65</f>
        <v>0</v>
      </c>
      <c r="O65" s="73">
        <f>$L$65-EFEITO!$O$65*EFEITO!$AA$65</f>
        <v>0</v>
      </c>
      <c r="P65" s="57"/>
      <c r="Q65" s="57"/>
      <c r="R65" s="57"/>
      <c r="S65" s="57"/>
      <c r="T65" s="57"/>
      <c r="U65" s="57"/>
      <c r="V65" s="57"/>
      <c r="W65" s="57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spans="1:36" ht="11.25" customHeight="1" x14ac:dyDescent="0.2">
      <c r="A66" s="53" t="s">
        <v>21</v>
      </c>
      <c r="B66" s="53" t="s">
        <v>22</v>
      </c>
      <c r="C66" s="53" t="s">
        <v>23</v>
      </c>
      <c r="D66" s="53" t="s">
        <v>24</v>
      </c>
      <c r="E66" s="53" t="s">
        <v>24</v>
      </c>
      <c r="F66" s="53" t="s">
        <v>25</v>
      </c>
      <c r="G66" s="53" t="s">
        <v>25</v>
      </c>
      <c r="H66" s="53" t="s">
        <v>25</v>
      </c>
      <c r="I66" s="72">
        <v>44621</v>
      </c>
      <c r="J66" s="73">
        <f>EFEITO!$J$66*EFEITO!$Y$66</f>
        <v>0</v>
      </c>
      <c r="K66" s="73">
        <f ca="1">EFEITO!$L$66*EFEITO!$Z$66</f>
        <v>140504.43626477846</v>
      </c>
      <c r="L66" s="73">
        <f>EFEITO!$N$66*EFEITO!$AA$66</f>
        <v>54816.355111201687</v>
      </c>
      <c r="M66" s="73">
        <f>$J$66-EFEITO!$K$66*EFEITO!$Y$66</f>
        <v>0</v>
      </c>
      <c r="N66" s="73">
        <f ca="1">$K$66-EFEITO!$M$66*EFEITO!$Z$66</f>
        <v>0</v>
      </c>
      <c r="O66" s="73">
        <f>$L$66-EFEITO!$O$66*EFEITO!$AA$66</f>
        <v>0</v>
      </c>
      <c r="P66" s="57"/>
      <c r="Q66" s="57"/>
      <c r="R66" s="57"/>
      <c r="S66" s="57"/>
      <c r="T66" s="57"/>
      <c r="U66" s="57"/>
      <c r="V66" s="57"/>
      <c r="W66" s="57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1:36" ht="11.25" customHeight="1" x14ac:dyDescent="0.2">
      <c r="A67" s="53" t="s">
        <v>27</v>
      </c>
      <c r="B67" s="53" t="s">
        <v>22</v>
      </c>
      <c r="C67" s="53" t="s">
        <v>23</v>
      </c>
      <c r="D67" s="53" t="s">
        <v>24</v>
      </c>
      <c r="E67" s="53" t="s">
        <v>24</v>
      </c>
      <c r="F67" s="53" t="s">
        <v>25</v>
      </c>
      <c r="G67" s="53" t="s">
        <v>25</v>
      </c>
      <c r="H67" s="53" t="s">
        <v>25</v>
      </c>
      <c r="I67" s="72">
        <v>44621</v>
      </c>
      <c r="J67" s="73">
        <f>EFEITO!$J$67*EFEITO!$Y$67</f>
        <v>0</v>
      </c>
      <c r="K67" s="73">
        <f ca="1">EFEITO!$L$67*EFEITO!$Z$67</f>
        <v>2480.469235249122</v>
      </c>
      <c r="L67" s="73">
        <f>EFEITO!$N$67*EFEITO!$AA$67</f>
        <v>967.72946147830407</v>
      </c>
      <c r="M67" s="73">
        <f>$J$67-EFEITO!$K$67*EFEITO!$Y$67</f>
        <v>0</v>
      </c>
      <c r="N67" s="73">
        <f ca="1">$K$67-EFEITO!$M$67*EFEITO!$Z$67</f>
        <v>0</v>
      </c>
      <c r="O67" s="73">
        <f>$L$67-EFEITO!$O$67*EFEITO!$AA$67</f>
        <v>0</v>
      </c>
      <c r="P67" s="57"/>
      <c r="Q67" s="57"/>
      <c r="R67" s="57"/>
      <c r="S67" s="57"/>
      <c r="T67" s="57"/>
      <c r="U67" s="57"/>
      <c r="V67" s="57"/>
      <c r="W67" s="57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1:36" ht="11.25" customHeight="1" x14ac:dyDescent="0.2">
      <c r="A68" s="53" t="s">
        <v>21</v>
      </c>
      <c r="B68" s="53" t="s">
        <v>22</v>
      </c>
      <c r="C68" s="53" t="s">
        <v>23</v>
      </c>
      <c r="D68" s="53" t="s">
        <v>24</v>
      </c>
      <c r="E68" s="53" t="s">
        <v>24</v>
      </c>
      <c r="F68" s="53" t="s">
        <v>25</v>
      </c>
      <c r="G68" s="53" t="s">
        <v>25</v>
      </c>
      <c r="H68" s="53" t="s">
        <v>25</v>
      </c>
      <c r="I68" s="72">
        <v>44652</v>
      </c>
      <c r="J68" s="73">
        <f>EFEITO!$J$68*EFEITO!$Y$68</f>
        <v>0</v>
      </c>
      <c r="K68" s="73">
        <f ca="1">EFEITO!$L$68*EFEITO!$Z$68</f>
        <v>134294.05188506588</v>
      </c>
      <c r="L68" s="73">
        <f>EFEITO!$N$68*EFEITO!$AA$68</f>
        <v>52393.437767198055</v>
      </c>
      <c r="M68" s="73">
        <f>$J$68-EFEITO!$K$68*EFEITO!$Y$68</f>
        <v>0</v>
      </c>
      <c r="N68" s="73">
        <f ca="1">$K$68-EFEITO!$M$68*EFEITO!$Z$68</f>
        <v>0</v>
      </c>
      <c r="O68" s="73">
        <f>$L$68-EFEITO!$O$68*EFEITO!$AA$68</f>
        <v>0</v>
      </c>
      <c r="P68" s="57"/>
      <c r="Q68" s="57"/>
      <c r="R68" s="57"/>
      <c r="S68" s="57"/>
      <c r="T68" s="57"/>
      <c r="U68" s="57"/>
      <c r="V68" s="57"/>
      <c r="W68" s="57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 ht="11.25" customHeight="1" x14ac:dyDescent="0.2">
      <c r="A69" s="53" t="s">
        <v>27</v>
      </c>
      <c r="B69" s="53" t="s">
        <v>22</v>
      </c>
      <c r="C69" s="53" t="s">
        <v>23</v>
      </c>
      <c r="D69" s="53" t="s">
        <v>24</v>
      </c>
      <c r="E69" s="53" t="s">
        <v>24</v>
      </c>
      <c r="F69" s="53" t="s">
        <v>25</v>
      </c>
      <c r="G69" s="53" t="s">
        <v>25</v>
      </c>
      <c r="H69" s="53" t="s">
        <v>25</v>
      </c>
      <c r="I69" s="72">
        <v>44652</v>
      </c>
      <c r="J69" s="73">
        <f>EFEITO!$J$69*EFEITO!$Y$69</f>
        <v>0</v>
      </c>
      <c r="K69" s="73">
        <f ca="1">EFEITO!$L$69*EFEITO!$Z$69</f>
        <v>2586.3990885316443</v>
      </c>
      <c r="L69" s="73">
        <f>EFEITO!$N$69*EFEITO!$AA$69</f>
        <v>1009.0569000188896</v>
      </c>
      <c r="M69" s="73">
        <f>$J$69-EFEITO!$K$69*EFEITO!$Y$69</f>
        <v>0</v>
      </c>
      <c r="N69" s="73">
        <f ca="1">$K$69-EFEITO!$M$69*EFEITO!$Z$69</f>
        <v>0</v>
      </c>
      <c r="O69" s="73">
        <f>$L$69-EFEITO!$O$69*EFEITO!$AA$69</f>
        <v>0</v>
      </c>
      <c r="P69" s="57"/>
      <c r="Q69" s="57"/>
      <c r="R69" s="57"/>
      <c r="S69" s="57"/>
      <c r="T69" s="57"/>
      <c r="U69" s="57"/>
      <c r="V69" s="57"/>
      <c r="W69" s="57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ht="11.25" customHeight="1" x14ac:dyDescent="0.2">
      <c r="A70" s="53" t="s">
        <v>21</v>
      </c>
      <c r="B70" s="53" t="s">
        <v>22</v>
      </c>
      <c r="C70" s="53" t="s">
        <v>23</v>
      </c>
      <c r="D70" s="53" t="s">
        <v>24</v>
      </c>
      <c r="E70" s="53" t="s">
        <v>28</v>
      </c>
      <c r="F70" s="53" t="s">
        <v>25</v>
      </c>
      <c r="G70" s="53" t="s">
        <v>25</v>
      </c>
      <c r="H70" s="53" t="s">
        <v>25</v>
      </c>
      <c r="I70" s="72">
        <v>44317</v>
      </c>
      <c r="J70" s="73">
        <f>EFEITO!$J$70*EFEITO!$Y$46</f>
        <v>0</v>
      </c>
      <c r="K70" s="73">
        <f ca="1">EFEITO!$L$70*EFEITO!$Z$106</f>
        <v>35809.341329706192</v>
      </c>
      <c r="L70" s="73">
        <f>EFEITO!$N$70*EFEITO!$AA$106</f>
        <v>15262.91612188328</v>
      </c>
      <c r="M70" s="73">
        <f>$J$70-EFEITO!$K$70*EFEITO!$Y$70</f>
        <v>0</v>
      </c>
      <c r="N70" s="73">
        <f ca="1">$K$70-EFEITO!$M$70*EFEITO!$Z$70</f>
        <v>23276.071864309026</v>
      </c>
      <c r="O70" s="73">
        <f>$L$70-EFEITO!$O$70*EFEITO!$AA$70</f>
        <v>9920.8954792241311</v>
      </c>
      <c r="P70" s="57"/>
      <c r="Q70" s="57"/>
      <c r="R70" s="57"/>
      <c r="S70" s="57"/>
      <c r="T70" s="57"/>
      <c r="U70" s="57"/>
      <c r="V70" s="57"/>
      <c r="W70" s="57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spans="1:36" ht="11.25" customHeight="1" x14ac:dyDescent="0.2">
      <c r="A71" s="53" t="s">
        <v>21</v>
      </c>
      <c r="B71" s="53" t="s">
        <v>22</v>
      </c>
      <c r="C71" s="53" t="s">
        <v>23</v>
      </c>
      <c r="D71" s="53" t="s">
        <v>24</v>
      </c>
      <c r="E71" s="53" t="s">
        <v>28</v>
      </c>
      <c r="F71" s="53" t="s">
        <v>25</v>
      </c>
      <c r="G71" s="53" t="s">
        <v>25</v>
      </c>
      <c r="H71" s="53" t="s">
        <v>25</v>
      </c>
      <c r="I71" s="72">
        <v>44348</v>
      </c>
      <c r="J71" s="73">
        <f>EFEITO!$J$71*EFEITO!$Y$46</f>
        <v>0</v>
      </c>
      <c r="K71" s="73">
        <f ca="1">EFEITO!$L$71*EFEITO!$Z$106</f>
        <v>36116.48502425968</v>
      </c>
      <c r="L71" s="73">
        <f>EFEITO!$N$71*EFEITO!$AA$106</f>
        <v>15393.829125955941</v>
      </c>
      <c r="M71" s="73">
        <f>$J$71-EFEITO!$K$71*EFEITO!$Y$71</f>
        <v>0</v>
      </c>
      <c r="N71" s="73">
        <f ca="1">$K$71-EFEITO!$M$71*EFEITO!$Z$71</f>
        <v>23475.715265768795</v>
      </c>
      <c r="O71" s="73">
        <f>$L$71-EFEITO!$O$71*EFEITO!$AA$71</f>
        <v>10005.988931871361</v>
      </c>
      <c r="P71" s="57"/>
      <c r="Q71" s="57"/>
      <c r="R71" s="57"/>
      <c r="S71" s="57"/>
      <c r="T71" s="57"/>
      <c r="U71" s="57"/>
      <c r="V71" s="57"/>
      <c r="W71" s="57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spans="1:36" ht="11.25" customHeight="1" x14ac:dyDescent="0.2">
      <c r="A72" s="53" t="s">
        <v>21</v>
      </c>
      <c r="B72" s="53" t="s">
        <v>22</v>
      </c>
      <c r="C72" s="53" t="s">
        <v>23</v>
      </c>
      <c r="D72" s="53" t="s">
        <v>24</v>
      </c>
      <c r="E72" s="53" t="s">
        <v>28</v>
      </c>
      <c r="F72" s="53" t="s">
        <v>25</v>
      </c>
      <c r="G72" s="53" t="s">
        <v>25</v>
      </c>
      <c r="H72" s="53" t="s">
        <v>25</v>
      </c>
      <c r="I72" s="72">
        <v>44378</v>
      </c>
      <c r="J72" s="73">
        <f>EFEITO!$J$72*EFEITO!$Y$46</f>
        <v>0</v>
      </c>
      <c r="K72" s="73">
        <f ca="1">EFEITO!$L$72*EFEITO!$Z$106</f>
        <v>36315.22506191193</v>
      </c>
      <c r="L72" s="73">
        <f>EFEITO!$N$72*EFEITO!$AA$106</f>
        <v>15478.537540355897</v>
      </c>
      <c r="M72" s="73">
        <f>$J$72-EFEITO!$K$72*EFEITO!$Y$72</f>
        <v>0</v>
      </c>
      <c r="N72" s="73">
        <f ca="1">$K$72-EFEITO!$M$72*EFEITO!$Z$72</f>
        <v>23604.896290242752</v>
      </c>
      <c r="O72" s="73">
        <f>$L$72-EFEITO!$O$72*EFEITO!$AA$72</f>
        <v>10061.049401231334</v>
      </c>
      <c r="P72" s="57"/>
      <c r="Q72" s="57"/>
      <c r="R72" s="57"/>
      <c r="S72" s="57"/>
      <c r="T72" s="57"/>
      <c r="U72" s="57"/>
      <c r="V72" s="57"/>
      <c r="W72" s="57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spans="1:36" ht="11.25" customHeight="1" x14ac:dyDescent="0.2">
      <c r="A73" s="53" t="s">
        <v>21</v>
      </c>
      <c r="B73" s="53" t="s">
        <v>22</v>
      </c>
      <c r="C73" s="53" t="s">
        <v>23</v>
      </c>
      <c r="D73" s="53" t="s">
        <v>24</v>
      </c>
      <c r="E73" s="53" t="s">
        <v>28</v>
      </c>
      <c r="F73" s="53" t="s">
        <v>25</v>
      </c>
      <c r="G73" s="53" t="s">
        <v>25</v>
      </c>
      <c r="H73" s="53" t="s">
        <v>25</v>
      </c>
      <c r="I73" s="72">
        <v>44409</v>
      </c>
      <c r="J73" s="73">
        <f>EFEITO!$J$73*EFEITO!$Y$46</f>
        <v>0</v>
      </c>
      <c r="K73" s="73">
        <f ca="1">EFEITO!$L$73*EFEITO!$Z$106</f>
        <v>36676.570584916029</v>
      </c>
      <c r="L73" s="73">
        <f>EFEITO!$N$73*EFEITO!$AA$106</f>
        <v>15632.552839264912</v>
      </c>
      <c r="M73" s="73">
        <f>$J$73-EFEITO!$K$73*EFEITO!$Y$73</f>
        <v>0</v>
      </c>
      <c r="N73" s="73">
        <f ca="1">$K$73-EFEITO!$M$73*EFEITO!$Z$73</f>
        <v>23839.770880195421</v>
      </c>
      <c r="O73" s="73">
        <f>$L$73-EFEITO!$O$73*EFEITO!$AA$73</f>
        <v>10161.159345522194</v>
      </c>
      <c r="P73" s="57"/>
      <c r="Q73" s="57"/>
      <c r="R73" s="57"/>
      <c r="S73" s="57"/>
      <c r="T73" s="57"/>
      <c r="U73" s="57"/>
      <c r="V73" s="57"/>
      <c r="W73" s="57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spans="1:36" ht="11.25" customHeight="1" x14ac:dyDescent="0.2">
      <c r="A74" s="53" t="s">
        <v>21</v>
      </c>
      <c r="B74" s="53" t="s">
        <v>22</v>
      </c>
      <c r="C74" s="53" t="s">
        <v>23</v>
      </c>
      <c r="D74" s="53" t="s">
        <v>24</v>
      </c>
      <c r="E74" s="53" t="s">
        <v>28</v>
      </c>
      <c r="F74" s="53" t="s">
        <v>25</v>
      </c>
      <c r="G74" s="53" t="s">
        <v>25</v>
      </c>
      <c r="H74" s="53" t="s">
        <v>25</v>
      </c>
      <c r="I74" s="72">
        <v>44440</v>
      </c>
      <c r="J74" s="73">
        <f>EFEITO!$J$74*EFEITO!$Y$46</f>
        <v>0</v>
      </c>
      <c r="K74" s="73">
        <f ca="1">EFEITO!$L$74*EFEITO!$Z$106</f>
        <v>36875.310622568286</v>
      </c>
      <c r="L74" s="73">
        <f>EFEITO!$N$74*EFEITO!$AA$106</f>
        <v>15717.261253664868</v>
      </c>
      <c r="M74" s="73">
        <f>$J$74-EFEITO!$K$74*EFEITO!$Y$74</f>
        <v>0</v>
      </c>
      <c r="N74" s="73">
        <f ca="1">$K$74-EFEITO!$M$74*EFEITO!$Z$74</f>
        <v>23968.951904669389</v>
      </c>
      <c r="O74" s="73">
        <f>$L$74-EFEITO!$O$74*EFEITO!$AA$74</f>
        <v>10216.219814882164</v>
      </c>
      <c r="P74" s="57"/>
      <c r="Q74" s="57"/>
      <c r="R74" s="57"/>
      <c r="S74" s="57"/>
      <c r="T74" s="57"/>
      <c r="U74" s="57"/>
      <c r="V74" s="57"/>
      <c r="W74" s="57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spans="1:36" ht="11.25" customHeight="1" x14ac:dyDescent="0.2">
      <c r="A75" s="53" t="s">
        <v>21</v>
      </c>
      <c r="B75" s="53" t="s">
        <v>22</v>
      </c>
      <c r="C75" s="53" t="s">
        <v>23</v>
      </c>
      <c r="D75" s="53" t="s">
        <v>24</v>
      </c>
      <c r="E75" s="53" t="s">
        <v>28</v>
      </c>
      <c r="F75" s="53" t="s">
        <v>25</v>
      </c>
      <c r="G75" s="53" t="s">
        <v>25</v>
      </c>
      <c r="H75" s="53" t="s">
        <v>25</v>
      </c>
      <c r="I75" s="72">
        <v>44470</v>
      </c>
      <c r="J75" s="73">
        <f>EFEITO!$J$75*EFEITO!$Y$46</f>
        <v>0</v>
      </c>
      <c r="K75" s="73">
        <f ca="1">EFEITO!$L$75*EFEITO!$Z$106</f>
        <v>37326.992526323411</v>
      </c>
      <c r="L75" s="73">
        <f>EFEITO!$N$75*EFEITO!$AA$106</f>
        <v>15909.780377301136</v>
      </c>
      <c r="M75" s="73">
        <f>$J$75-EFEITO!$K$75*EFEITO!$Y$75</f>
        <v>0</v>
      </c>
      <c r="N75" s="73">
        <f ca="1">$K$75-EFEITO!$M$75*EFEITO!$Z$75</f>
        <v>24262.545142110219</v>
      </c>
      <c r="O75" s="73">
        <f>$L$75-EFEITO!$O$75*EFEITO!$AA$75</f>
        <v>10341.357245245739</v>
      </c>
      <c r="P75" s="57"/>
      <c r="Q75" s="57"/>
      <c r="R75" s="57"/>
      <c r="S75" s="57"/>
      <c r="T75" s="57"/>
      <c r="U75" s="57"/>
      <c r="V75" s="57"/>
      <c r="W75" s="57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spans="1:36" ht="11.25" customHeight="1" x14ac:dyDescent="0.2">
      <c r="A76" s="53" t="s">
        <v>21</v>
      </c>
      <c r="B76" s="53" t="s">
        <v>22</v>
      </c>
      <c r="C76" s="53" t="s">
        <v>23</v>
      </c>
      <c r="D76" s="53" t="s">
        <v>24</v>
      </c>
      <c r="E76" s="53" t="s">
        <v>28</v>
      </c>
      <c r="F76" s="53" t="s">
        <v>25</v>
      </c>
      <c r="G76" s="53" t="s">
        <v>25</v>
      </c>
      <c r="H76" s="53" t="s">
        <v>25</v>
      </c>
      <c r="I76" s="72">
        <v>44501</v>
      </c>
      <c r="J76" s="73">
        <f>EFEITO!$J$76*EFEITO!$Y$46</f>
        <v>0</v>
      </c>
      <c r="K76" s="73">
        <f ca="1">EFEITO!$L$76*EFEITO!$Z$106</f>
        <v>37887.07808697976</v>
      </c>
      <c r="L76" s="73">
        <f>EFEITO!$N$76*EFEITO!$AA$106</f>
        <v>16148.504090610108</v>
      </c>
      <c r="M76" s="73">
        <f>$J$76-EFEITO!$K$76*EFEITO!$Y$76</f>
        <v>0</v>
      </c>
      <c r="N76" s="73">
        <f ca="1">$K$76-EFEITO!$M$76*EFEITO!$Z$76</f>
        <v>24626.600756536845</v>
      </c>
      <c r="O76" s="73">
        <f>$L$76-EFEITO!$O$76*EFEITO!$AA$76</f>
        <v>10496.52765889657</v>
      </c>
      <c r="P76" s="57"/>
      <c r="Q76" s="57"/>
      <c r="R76" s="57"/>
      <c r="S76" s="57"/>
      <c r="T76" s="57"/>
      <c r="U76" s="57"/>
      <c r="V76" s="57"/>
      <c r="W76" s="57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spans="1:36" ht="11.25" customHeight="1" x14ac:dyDescent="0.2">
      <c r="A77" s="53" t="s">
        <v>21</v>
      </c>
      <c r="B77" s="53" t="s">
        <v>22</v>
      </c>
      <c r="C77" s="53" t="s">
        <v>23</v>
      </c>
      <c r="D77" s="53" t="s">
        <v>24</v>
      </c>
      <c r="E77" s="53" t="s">
        <v>28</v>
      </c>
      <c r="F77" s="53" t="s">
        <v>25</v>
      </c>
      <c r="G77" s="53" t="s">
        <v>25</v>
      </c>
      <c r="H77" s="53" t="s">
        <v>25</v>
      </c>
      <c r="I77" s="72">
        <v>44531</v>
      </c>
      <c r="J77" s="73">
        <f>EFEITO!$J$77*EFEITO!$Y$46</f>
        <v>0</v>
      </c>
      <c r="K77" s="73">
        <f ca="1">EFEITO!$L$77*EFEITO!$Z$106</f>
        <v>39007.249208292465</v>
      </c>
      <c r="L77" s="73">
        <f>EFEITO!$N$77*EFEITO!$AA$106</f>
        <v>16625.951517228052</v>
      </c>
      <c r="M77" s="73">
        <f>$J$77-EFEITO!$K$77*EFEITO!$Y$77</f>
        <v>0</v>
      </c>
      <c r="N77" s="73">
        <f ca="1">$K$77-EFEITO!$M$77*EFEITO!$Z$77</f>
        <v>25354.711985390102</v>
      </c>
      <c r="O77" s="73">
        <f>$L$77-EFEITO!$O$77*EFEITO!$AA$77</f>
        <v>10806.868486198235</v>
      </c>
      <c r="P77" s="57"/>
      <c r="Q77" s="57"/>
      <c r="R77" s="57"/>
      <c r="S77" s="57"/>
      <c r="T77" s="57"/>
      <c r="U77" s="57"/>
      <c r="V77" s="57"/>
      <c r="W77" s="57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spans="1:36" ht="11.25" customHeight="1" x14ac:dyDescent="0.2">
      <c r="A78" s="53" t="s">
        <v>21</v>
      </c>
      <c r="B78" s="53" t="s">
        <v>22</v>
      </c>
      <c r="C78" s="53" t="s">
        <v>23</v>
      </c>
      <c r="D78" s="53" t="s">
        <v>24</v>
      </c>
      <c r="E78" s="53" t="s">
        <v>28</v>
      </c>
      <c r="F78" s="53" t="s">
        <v>25</v>
      </c>
      <c r="G78" s="53" t="s">
        <v>25</v>
      </c>
      <c r="H78" s="53" t="s">
        <v>25</v>
      </c>
      <c r="I78" s="72">
        <v>44562</v>
      </c>
      <c r="J78" s="73">
        <f>EFEITO!$J$78*EFEITO!$Y$46</f>
        <v>0</v>
      </c>
      <c r="K78" s="73">
        <f ca="1">EFEITO!$L$78*EFEITO!$Z$106</f>
        <v>39097.585589043498</v>
      </c>
      <c r="L78" s="73">
        <f>EFEITO!$N$78*EFEITO!$AA$106</f>
        <v>16664.455341955305</v>
      </c>
      <c r="M78" s="73">
        <f>$J$78-EFEITO!$K$78*EFEITO!$Y$78</f>
        <v>0</v>
      </c>
      <c r="N78" s="73">
        <f ca="1">$K$78-EFEITO!$M$78*EFEITO!$Z$78</f>
        <v>25413.430632878277</v>
      </c>
      <c r="O78" s="73">
        <f>$L$78-EFEITO!$O$78*EFEITO!$AA$78</f>
        <v>10831.895972270948</v>
      </c>
      <c r="P78" s="57"/>
      <c r="Q78" s="57"/>
      <c r="R78" s="57"/>
      <c r="S78" s="57"/>
      <c r="T78" s="57"/>
      <c r="U78" s="57"/>
      <c r="V78" s="57"/>
      <c r="W78" s="57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spans="1:36" ht="11.25" customHeight="1" x14ac:dyDescent="0.2">
      <c r="A79" s="53" t="s">
        <v>21</v>
      </c>
      <c r="B79" s="53" t="s">
        <v>22</v>
      </c>
      <c r="C79" s="53" t="s">
        <v>23</v>
      </c>
      <c r="D79" s="53" t="s">
        <v>24</v>
      </c>
      <c r="E79" s="53" t="s">
        <v>28</v>
      </c>
      <c r="F79" s="53" t="s">
        <v>25</v>
      </c>
      <c r="G79" s="53" t="s">
        <v>25</v>
      </c>
      <c r="H79" s="53" t="s">
        <v>25</v>
      </c>
      <c r="I79" s="72">
        <v>44593</v>
      </c>
      <c r="J79" s="73">
        <f>EFEITO!$J$79*EFEITO!$Y$46</f>
        <v>0</v>
      </c>
      <c r="K79" s="73">
        <f ca="1">EFEITO!$L$79*EFEITO!$Z$106</f>
        <v>44156.422911100875</v>
      </c>
      <c r="L79" s="73">
        <f>EFEITO!$N$79*EFEITO!$AA$106</f>
        <v>18820.6695266815</v>
      </c>
      <c r="M79" s="73">
        <f>$J$79-EFEITO!$K$79*EFEITO!$Y$79</f>
        <v>0</v>
      </c>
      <c r="N79" s="73">
        <f ca="1">$K$79-EFEITO!$M$79*EFEITO!$Z$79</f>
        <v>28701.674892215571</v>
      </c>
      <c r="O79" s="73">
        <f>$L$79-EFEITO!$O$79*EFEITO!$AA$79</f>
        <v>12233.435192342977</v>
      </c>
      <c r="P79" s="57"/>
      <c r="Q79" s="57"/>
      <c r="R79" s="57"/>
      <c r="S79" s="57"/>
      <c r="T79" s="57"/>
      <c r="U79" s="57"/>
      <c r="V79" s="57"/>
      <c r="W79" s="57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spans="1:36" ht="11.25" customHeight="1" x14ac:dyDescent="0.2">
      <c r="A80" s="53" t="s">
        <v>21</v>
      </c>
      <c r="B80" s="53" t="s">
        <v>22</v>
      </c>
      <c r="C80" s="53" t="s">
        <v>23</v>
      </c>
      <c r="D80" s="53" t="s">
        <v>24</v>
      </c>
      <c r="E80" s="53" t="s">
        <v>28</v>
      </c>
      <c r="F80" s="53" t="s">
        <v>25</v>
      </c>
      <c r="G80" s="53" t="s">
        <v>25</v>
      </c>
      <c r="H80" s="53" t="s">
        <v>25</v>
      </c>
      <c r="I80" s="72">
        <v>44621</v>
      </c>
      <c r="J80" s="73">
        <f>EFEITO!$J$80*EFEITO!$Y$46</f>
        <v>0</v>
      </c>
      <c r="K80" s="73">
        <f ca="1">EFEITO!$L$80*EFEITO!$Z$106</f>
        <v>45384.997689314812</v>
      </c>
      <c r="L80" s="73">
        <f>EFEITO!$N$80*EFEITO!$AA$106</f>
        <v>19344.321542972149</v>
      </c>
      <c r="M80" s="73">
        <f>$J$80-EFEITO!$K$80*EFEITO!$Y$80</f>
        <v>0</v>
      </c>
      <c r="N80" s="73">
        <f ca="1">$K$80-EFEITO!$M$80*EFEITO!$Z$80</f>
        <v>29500.248498054629</v>
      </c>
      <c r="O80" s="73">
        <f>$L$80-EFEITO!$O$80*EFEITO!$AA$80</f>
        <v>12573.809002931899</v>
      </c>
      <c r="P80" s="57"/>
      <c r="Q80" s="57"/>
      <c r="R80" s="57"/>
      <c r="S80" s="57"/>
      <c r="T80" s="57"/>
      <c r="U80" s="57"/>
      <c r="V80" s="57"/>
      <c r="W80" s="57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spans="1:36" ht="11.25" customHeight="1" x14ac:dyDescent="0.2">
      <c r="A81" s="53" t="s">
        <v>21</v>
      </c>
      <c r="B81" s="53" t="s">
        <v>22</v>
      </c>
      <c r="C81" s="53" t="s">
        <v>23</v>
      </c>
      <c r="D81" s="53" t="s">
        <v>24</v>
      </c>
      <c r="E81" s="53" t="s">
        <v>28</v>
      </c>
      <c r="F81" s="53" t="s">
        <v>25</v>
      </c>
      <c r="G81" s="53" t="s">
        <v>25</v>
      </c>
      <c r="H81" s="53" t="s">
        <v>25</v>
      </c>
      <c r="I81" s="72">
        <v>44652</v>
      </c>
      <c r="J81" s="73">
        <f>EFEITO!$J$81*EFEITO!$Y$46</f>
        <v>0</v>
      </c>
      <c r="K81" s="73">
        <f ca="1">EFEITO!$L$81*EFEITO!$Z$106</f>
        <v>46396.765153726294</v>
      </c>
      <c r="L81" s="73">
        <f>EFEITO!$N$81*EFEITO!$AA$106</f>
        <v>19775.564379917389</v>
      </c>
      <c r="M81" s="73">
        <f>$J$81-EFEITO!$K$81*EFEITO!$Y$81</f>
        <v>0</v>
      </c>
      <c r="N81" s="73">
        <f ca="1">$K$81-EFEITO!$M$81*EFEITO!$Z$81</f>
        <v>30157.897349922092</v>
      </c>
      <c r="O81" s="73">
        <f>$L$81-EFEITO!$O$81*EFEITO!$AA$81</f>
        <v>12854.116846946305</v>
      </c>
      <c r="P81" s="57"/>
      <c r="Q81" s="57"/>
      <c r="R81" s="57"/>
      <c r="S81" s="57"/>
      <c r="T81" s="57"/>
      <c r="U81" s="57"/>
      <c r="V81" s="57"/>
      <c r="W81" s="57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spans="1:36" ht="11.25" customHeight="1" x14ac:dyDescent="0.2">
      <c r="A82" s="53" t="s">
        <v>21</v>
      </c>
      <c r="B82" s="53" t="s">
        <v>22</v>
      </c>
      <c r="C82" s="53" t="s">
        <v>23</v>
      </c>
      <c r="D82" s="53" t="s">
        <v>24</v>
      </c>
      <c r="E82" s="53" t="s">
        <v>29</v>
      </c>
      <c r="F82" s="53" t="s">
        <v>25</v>
      </c>
      <c r="G82" s="53" t="s">
        <v>25</v>
      </c>
      <c r="H82" s="53" t="s">
        <v>25</v>
      </c>
      <c r="I82" s="72">
        <v>44317</v>
      </c>
      <c r="J82" s="73">
        <f>EFEITO!$J$82*EFEITO!$Y$46</f>
        <v>0</v>
      </c>
      <c r="K82" s="73">
        <f ca="1">EFEITO!$L$82*EFEITO!$Z$106</f>
        <v>56976.962067286309</v>
      </c>
      <c r="L82" s="73">
        <f>EFEITO!$N$82*EFEITO!$AA$106</f>
        <v>24285.132331973316</v>
      </c>
      <c r="M82" s="73">
        <f>$J$82-EFEITO!$K$82*EFEITO!$Y$82</f>
        <v>0</v>
      </c>
      <c r="N82" s="73">
        <f ca="1">$K$82-EFEITO!$M$82*EFEITO!$Z$82</f>
        <v>22790.784826914525</v>
      </c>
      <c r="O82" s="73">
        <f>$L$82-EFEITO!$O$82*EFEITO!$AA$82</f>
        <v>9714.0529327893273</v>
      </c>
      <c r="P82" s="57"/>
      <c r="Q82" s="57"/>
      <c r="R82" s="57"/>
      <c r="S82" s="57"/>
      <c r="T82" s="57"/>
      <c r="U82" s="57"/>
      <c r="V82" s="57"/>
      <c r="W82" s="57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spans="1:36" ht="11.25" customHeight="1" x14ac:dyDescent="0.2">
      <c r="A83" s="53" t="s">
        <v>21</v>
      </c>
      <c r="B83" s="53" t="s">
        <v>22</v>
      </c>
      <c r="C83" s="53" t="s">
        <v>23</v>
      </c>
      <c r="D83" s="53" t="s">
        <v>24</v>
      </c>
      <c r="E83" s="53" t="s">
        <v>29</v>
      </c>
      <c r="F83" s="53" t="s">
        <v>25</v>
      </c>
      <c r="G83" s="53" t="s">
        <v>25</v>
      </c>
      <c r="H83" s="53" t="s">
        <v>25</v>
      </c>
      <c r="I83" s="72">
        <v>44348</v>
      </c>
      <c r="J83" s="73">
        <f>EFEITO!$J$83*EFEITO!$Y$46</f>
        <v>0</v>
      </c>
      <c r="K83" s="73">
        <f ca="1">EFEITO!$L$83*EFEITO!$Z$106</f>
        <v>53833.256017150648</v>
      </c>
      <c r="L83" s="73">
        <f>EFEITO!$N$83*EFEITO!$AA$106</f>
        <v>22945.199231464896</v>
      </c>
      <c r="M83" s="73">
        <f>$J$83-EFEITO!$K$83*EFEITO!$Y$83</f>
        <v>0</v>
      </c>
      <c r="N83" s="73">
        <f ca="1">$K$83-EFEITO!$M$83*EFEITO!$Z$83</f>
        <v>21533.302406860261</v>
      </c>
      <c r="O83" s="73">
        <f>$L$83-EFEITO!$O$83*EFEITO!$AA$83</f>
        <v>9178.0796925859595</v>
      </c>
      <c r="P83" s="57"/>
      <c r="Q83" s="57"/>
      <c r="R83" s="57"/>
      <c r="S83" s="57"/>
      <c r="T83" s="57"/>
      <c r="U83" s="57"/>
      <c r="V83" s="57"/>
      <c r="W83" s="57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spans="1:36" ht="11.25" customHeight="1" x14ac:dyDescent="0.2">
      <c r="A84" s="53" t="s">
        <v>21</v>
      </c>
      <c r="B84" s="53" t="s">
        <v>22</v>
      </c>
      <c r="C84" s="53" t="s">
        <v>23</v>
      </c>
      <c r="D84" s="53" t="s">
        <v>24</v>
      </c>
      <c r="E84" s="53" t="s">
        <v>29</v>
      </c>
      <c r="F84" s="53" t="s">
        <v>25</v>
      </c>
      <c r="G84" s="53" t="s">
        <v>25</v>
      </c>
      <c r="H84" s="53" t="s">
        <v>25</v>
      </c>
      <c r="I84" s="72">
        <v>44378</v>
      </c>
      <c r="J84" s="73">
        <f>EFEITO!$J$84*EFEITO!$Y$46</f>
        <v>0</v>
      </c>
      <c r="K84" s="73">
        <f ca="1">EFEITO!$L$84*EFEITO!$Z$106</f>
        <v>52507.117947725608</v>
      </c>
      <c r="L84" s="73">
        <f>EFEITO!$N$84*EFEITO!$AA$106</f>
        <v>22379.963084468814</v>
      </c>
      <c r="M84" s="73">
        <f>$J$84-EFEITO!$K$84*EFEITO!$Y$84</f>
        <v>0</v>
      </c>
      <c r="N84" s="73">
        <f ca="1">$K$84-EFEITO!$M$84*EFEITO!$Z$84</f>
        <v>21002.847179090244</v>
      </c>
      <c r="O84" s="73">
        <f>$L$84-EFEITO!$O$84*EFEITO!$AA$84</f>
        <v>8951.9852337875254</v>
      </c>
      <c r="P84" s="57"/>
      <c r="Q84" s="57"/>
      <c r="R84" s="57"/>
      <c r="S84" s="57"/>
      <c r="T84" s="57"/>
      <c r="U84" s="57"/>
      <c r="V84" s="57"/>
      <c r="W84" s="57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spans="1:36" ht="11.25" customHeight="1" x14ac:dyDescent="0.2">
      <c r="A85" s="53" t="s">
        <v>21</v>
      </c>
      <c r="B85" s="53" t="s">
        <v>22</v>
      </c>
      <c r="C85" s="53" t="s">
        <v>23</v>
      </c>
      <c r="D85" s="53" t="s">
        <v>24</v>
      </c>
      <c r="E85" s="53" t="s">
        <v>29</v>
      </c>
      <c r="F85" s="53" t="s">
        <v>25</v>
      </c>
      <c r="G85" s="53" t="s">
        <v>25</v>
      </c>
      <c r="H85" s="53" t="s">
        <v>25</v>
      </c>
      <c r="I85" s="72">
        <v>44409</v>
      </c>
      <c r="J85" s="73">
        <f>EFEITO!$J$85*EFEITO!$Y$46</f>
        <v>0</v>
      </c>
      <c r="K85" s="73">
        <f ca="1">EFEITO!$L$85*EFEITO!$Z$106</f>
        <v>53276.181669185993</v>
      </c>
      <c r="L85" s="73">
        <f>EFEITO!$N$85*EFEITO!$AA$106</f>
        <v>22707.75897898016</v>
      </c>
      <c r="M85" s="73">
        <f>$J$85-EFEITO!$K$85*EFEITO!$Y$85</f>
        <v>0</v>
      </c>
      <c r="N85" s="73">
        <f ca="1">$K$85-EFEITO!$M$85*EFEITO!$Z$85</f>
        <v>21310.472667674399</v>
      </c>
      <c r="O85" s="73">
        <f>$L$85-EFEITO!$O$85*EFEITO!$AA$85</f>
        <v>9083.103591592062</v>
      </c>
      <c r="P85" s="57"/>
      <c r="Q85" s="57"/>
      <c r="R85" s="57"/>
      <c r="S85" s="57"/>
      <c r="T85" s="57"/>
      <c r="U85" s="57"/>
      <c r="V85" s="57"/>
      <c r="W85" s="57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spans="1:36" ht="11.25" customHeight="1" x14ac:dyDescent="0.2">
      <c r="A86" s="53" t="s">
        <v>21</v>
      </c>
      <c r="B86" s="53" t="s">
        <v>22</v>
      </c>
      <c r="C86" s="53" t="s">
        <v>23</v>
      </c>
      <c r="D86" s="53" t="s">
        <v>24</v>
      </c>
      <c r="E86" s="53" t="s">
        <v>29</v>
      </c>
      <c r="F86" s="53" t="s">
        <v>25</v>
      </c>
      <c r="G86" s="53" t="s">
        <v>25</v>
      </c>
      <c r="H86" s="53" t="s">
        <v>25</v>
      </c>
      <c r="I86" s="72">
        <v>44440</v>
      </c>
      <c r="J86" s="73">
        <f>EFEITO!$J$86*EFEITO!$Y$46</f>
        <v>0</v>
      </c>
      <c r="K86" s="73">
        <f ca="1">EFEITO!$L$86*EFEITO!$Z$106</f>
        <v>54875.135608479126</v>
      </c>
      <c r="L86" s="73">
        <f>EFEITO!$N$86*EFEITO!$AA$106</f>
        <v>23389.276676652549</v>
      </c>
      <c r="M86" s="73">
        <f>$J$86-EFEITO!$K$86*EFEITO!$Y$86</f>
        <v>0</v>
      </c>
      <c r="N86" s="73">
        <f ca="1">$K$86-EFEITO!$M$86*EFEITO!$Z$86</f>
        <v>21950.054243391649</v>
      </c>
      <c r="O86" s="73">
        <f>$L$86-EFEITO!$O$86*EFEITO!$AA$86</f>
        <v>9355.7106706610193</v>
      </c>
      <c r="P86" s="57"/>
      <c r="Q86" s="57"/>
      <c r="R86" s="57"/>
      <c r="S86" s="57"/>
      <c r="T86" s="57"/>
      <c r="U86" s="57"/>
      <c r="V86" s="57"/>
      <c r="W86" s="57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spans="1:36" ht="11.25" customHeight="1" x14ac:dyDescent="0.2">
      <c r="A87" s="53" t="s">
        <v>21</v>
      </c>
      <c r="B87" s="53" t="s">
        <v>22</v>
      </c>
      <c r="C87" s="53" t="s">
        <v>23</v>
      </c>
      <c r="D87" s="53" t="s">
        <v>24</v>
      </c>
      <c r="E87" s="53" t="s">
        <v>29</v>
      </c>
      <c r="F87" s="53" t="s">
        <v>25</v>
      </c>
      <c r="G87" s="53" t="s">
        <v>25</v>
      </c>
      <c r="H87" s="53" t="s">
        <v>25</v>
      </c>
      <c r="I87" s="72">
        <v>44470</v>
      </c>
      <c r="J87" s="73">
        <f>EFEITO!$J$87*EFEITO!$Y$46</f>
        <v>0</v>
      </c>
      <c r="K87" s="73">
        <f ca="1">EFEITO!$L$87*EFEITO!$Z$106</f>
        <v>55495.445422969497</v>
      </c>
      <c r="L87" s="73">
        <f>EFEITO!$N$87*EFEITO!$AA$106</f>
        <v>23653.669606446358</v>
      </c>
      <c r="M87" s="73">
        <f>$J$87-EFEITO!$K$87*EFEITO!$Y$87</f>
        <v>0</v>
      </c>
      <c r="N87" s="73">
        <f ca="1">$K$87-EFEITO!$M$87*EFEITO!$Z$87</f>
        <v>22198.178169187799</v>
      </c>
      <c r="O87" s="73">
        <f>$L$87-EFEITO!$O$87*EFEITO!$AA$87</f>
        <v>9461.4678425785442</v>
      </c>
      <c r="P87" s="57"/>
      <c r="Q87" s="57"/>
      <c r="R87" s="57"/>
      <c r="S87" s="57"/>
      <c r="T87" s="57"/>
      <c r="U87" s="57"/>
      <c r="V87" s="57"/>
      <c r="W87" s="57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spans="1:36" ht="11.25" customHeight="1" x14ac:dyDescent="0.2">
      <c r="A88" s="53" t="s">
        <v>21</v>
      </c>
      <c r="B88" s="53" t="s">
        <v>22</v>
      </c>
      <c r="C88" s="53" t="s">
        <v>23</v>
      </c>
      <c r="D88" s="53" t="s">
        <v>24</v>
      </c>
      <c r="E88" s="53" t="s">
        <v>29</v>
      </c>
      <c r="F88" s="53" t="s">
        <v>25</v>
      </c>
      <c r="G88" s="53" t="s">
        <v>25</v>
      </c>
      <c r="H88" s="53" t="s">
        <v>25</v>
      </c>
      <c r="I88" s="72">
        <v>44501</v>
      </c>
      <c r="J88" s="73">
        <f>EFEITO!$J$88*EFEITO!$Y$46</f>
        <v>0</v>
      </c>
      <c r="K88" s="73">
        <f ca="1">EFEITO!$L$88*EFEITO!$Z$106</f>
        <v>65285.50012622722</v>
      </c>
      <c r="L88" s="73">
        <f>EFEITO!$N$88*EFEITO!$AA$106</f>
        <v>27826.457438221241</v>
      </c>
      <c r="M88" s="73">
        <f>$J$88-EFEITO!$K$88*EFEITO!$Y$88</f>
        <v>0</v>
      </c>
      <c r="N88" s="73">
        <f ca="1">$K$88-EFEITO!$M$88*EFEITO!$Z$88</f>
        <v>26114.200050490894</v>
      </c>
      <c r="O88" s="73">
        <f>$L$88-EFEITO!$O$88*EFEITO!$AA$88</f>
        <v>11130.582975288497</v>
      </c>
      <c r="P88" s="57"/>
      <c r="Q88" s="57"/>
      <c r="R88" s="57"/>
      <c r="S88" s="57"/>
      <c r="T88" s="57"/>
      <c r="U88" s="57"/>
      <c r="V88" s="57"/>
      <c r="W88" s="57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spans="1:36" ht="11.25" customHeight="1" x14ac:dyDescent="0.2">
      <c r="A89" s="53" t="s">
        <v>21</v>
      </c>
      <c r="B89" s="53" t="s">
        <v>22</v>
      </c>
      <c r="C89" s="53" t="s">
        <v>23</v>
      </c>
      <c r="D89" s="53" t="s">
        <v>24</v>
      </c>
      <c r="E89" s="53" t="s">
        <v>29</v>
      </c>
      <c r="F89" s="53" t="s">
        <v>25</v>
      </c>
      <c r="G89" s="53" t="s">
        <v>25</v>
      </c>
      <c r="H89" s="53" t="s">
        <v>25</v>
      </c>
      <c r="I89" s="72">
        <v>44531</v>
      </c>
      <c r="J89" s="73">
        <f>EFEITO!$J$89*EFEITO!$Y$46</f>
        <v>0</v>
      </c>
      <c r="K89" s="73">
        <f ca="1">EFEITO!$L$89*EFEITO!$Z$106</f>
        <v>63351.097093078606</v>
      </c>
      <c r="L89" s="73">
        <f>EFEITO!$N$89*EFEITO!$AA$106</f>
        <v>27001.962204728319</v>
      </c>
      <c r="M89" s="73">
        <f>$J$89-EFEITO!$K$89*EFEITO!$Y$89</f>
        <v>0</v>
      </c>
      <c r="N89" s="73">
        <f ca="1">$K$89-EFEITO!$M$89*EFEITO!$Z$89</f>
        <v>25340.438837231442</v>
      </c>
      <c r="O89" s="73">
        <f>$L$89-EFEITO!$O$89*EFEITO!$AA$89</f>
        <v>10800.784881891328</v>
      </c>
      <c r="P89" s="57"/>
      <c r="Q89" s="57"/>
      <c r="R89" s="57"/>
      <c r="S89" s="57"/>
      <c r="T89" s="57"/>
      <c r="U89" s="57"/>
      <c r="V89" s="57"/>
      <c r="W89" s="57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spans="1:36" ht="11.25" customHeight="1" x14ac:dyDescent="0.2">
      <c r="A90" s="53" t="s">
        <v>21</v>
      </c>
      <c r="B90" s="53" t="s">
        <v>22</v>
      </c>
      <c r="C90" s="53" t="s">
        <v>23</v>
      </c>
      <c r="D90" s="53" t="s">
        <v>24</v>
      </c>
      <c r="E90" s="53" t="s">
        <v>29</v>
      </c>
      <c r="F90" s="53" t="s">
        <v>25</v>
      </c>
      <c r="G90" s="53" t="s">
        <v>25</v>
      </c>
      <c r="H90" s="53" t="s">
        <v>25</v>
      </c>
      <c r="I90" s="72">
        <v>44562</v>
      </c>
      <c r="J90" s="73">
        <f>EFEITO!$J$90*EFEITO!$Y$46</f>
        <v>0</v>
      </c>
      <c r="K90" s="73">
        <f ca="1">EFEITO!$L$90*EFEITO!$Z$106</f>
        <v>61716.610844023402</v>
      </c>
      <c r="L90" s="73">
        <f>EFEITO!$N$90*EFEITO!$AA$106</f>
        <v>26305.299669329877</v>
      </c>
      <c r="M90" s="73">
        <f>$J$90-EFEITO!$K$90*EFEITO!$Y$90</f>
        <v>0</v>
      </c>
      <c r="N90" s="73">
        <f ca="1">$K$90-EFEITO!$M$90*EFEITO!$Z$90</f>
        <v>24686.644337609367</v>
      </c>
      <c r="O90" s="73">
        <f>$L$90-EFEITO!$O$90*EFEITO!$AA$90</f>
        <v>10522.11986773195</v>
      </c>
      <c r="P90" s="57"/>
      <c r="Q90" s="57"/>
      <c r="R90" s="57"/>
      <c r="S90" s="57"/>
      <c r="T90" s="57"/>
      <c r="U90" s="57"/>
      <c r="V90" s="57"/>
      <c r="W90" s="57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spans="1:36" ht="11.25" customHeight="1" x14ac:dyDescent="0.2">
      <c r="A91" s="53" t="s">
        <v>21</v>
      </c>
      <c r="B91" s="53" t="s">
        <v>22</v>
      </c>
      <c r="C91" s="53" t="s">
        <v>23</v>
      </c>
      <c r="D91" s="53" t="s">
        <v>24</v>
      </c>
      <c r="E91" s="53" t="s">
        <v>29</v>
      </c>
      <c r="F91" s="53" t="s">
        <v>25</v>
      </c>
      <c r="G91" s="53" t="s">
        <v>25</v>
      </c>
      <c r="H91" s="53" t="s">
        <v>25</v>
      </c>
      <c r="I91" s="72">
        <v>44593</v>
      </c>
      <c r="J91" s="73">
        <f>EFEITO!$J$91*EFEITO!$Y$46</f>
        <v>0</v>
      </c>
      <c r="K91" s="73">
        <f ca="1">EFEITO!$L$91*EFEITO!$Z$106</f>
        <v>65989.521653546864</v>
      </c>
      <c r="L91" s="73">
        <f>EFEITO!$N$91*EFEITO!$AA$106</f>
        <v>28126.530578928967</v>
      </c>
      <c r="M91" s="73">
        <f>$J$91-EFEITO!$K$91*EFEITO!$Y$91</f>
        <v>0</v>
      </c>
      <c r="N91" s="73">
        <f ca="1">$K$91-EFEITO!$M$91*EFEITO!$Z$91</f>
        <v>26395.808661418749</v>
      </c>
      <c r="O91" s="73">
        <f>$L$91-EFEITO!$O$91*EFEITO!$AA$91</f>
        <v>11250.612231571584</v>
      </c>
      <c r="P91" s="57"/>
      <c r="Q91" s="57"/>
      <c r="R91" s="57"/>
      <c r="S91" s="57"/>
      <c r="T91" s="57"/>
      <c r="U91" s="57"/>
      <c r="V91" s="57"/>
      <c r="W91" s="57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spans="1:36" ht="11.25" customHeight="1" x14ac:dyDescent="0.2">
      <c r="A92" s="53" t="s">
        <v>21</v>
      </c>
      <c r="B92" s="53" t="s">
        <v>22</v>
      </c>
      <c r="C92" s="53" t="s">
        <v>23</v>
      </c>
      <c r="D92" s="53" t="s">
        <v>24</v>
      </c>
      <c r="E92" s="53" t="s">
        <v>29</v>
      </c>
      <c r="F92" s="53" t="s">
        <v>25</v>
      </c>
      <c r="G92" s="53" t="s">
        <v>25</v>
      </c>
      <c r="H92" s="53" t="s">
        <v>25</v>
      </c>
      <c r="I92" s="72">
        <v>44621</v>
      </c>
      <c r="J92" s="73">
        <f>EFEITO!$J$92*EFEITO!$Y$46</f>
        <v>0</v>
      </c>
      <c r="K92" s="73">
        <f ca="1">EFEITO!$L$92*EFEITO!$Z$106</f>
        <v>73657.875894232187</v>
      </c>
      <c r="L92" s="73">
        <f>EFEITO!$N$92*EFEITO!$AA$106</f>
        <v>31394.991913943093</v>
      </c>
      <c r="M92" s="73">
        <f>$J$92-EFEITO!$K$92*EFEITO!$Y$92</f>
        <v>0</v>
      </c>
      <c r="N92" s="73">
        <f ca="1">$K$92-EFEITO!$M$92*EFEITO!$Z$92</f>
        <v>29463.150357692881</v>
      </c>
      <c r="O92" s="73">
        <f>$L$92-EFEITO!$O$92*EFEITO!$AA$92</f>
        <v>12557.996765577238</v>
      </c>
      <c r="P92" s="57"/>
      <c r="Q92" s="57"/>
      <c r="R92" s="57"/>
      <c r="S92" s="57"/>
      <c r="T92" s="57"/>
      <c r="U92" s="57"/>
      <c r="V92" s="57"/>
      <c r="W92" s="57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spans="1:36" ht="11.25" customHeight="1" x14ac:dyDescent="0.2">
      <c r="A93" s="53" t="s">
        <v>21</v>
      </c>
      <c r="B93" s="53" t="s">
        <v>22</v>
      </c>
      <c r="C93" s="53" t="s">
        <v>23</v>
      </c>
      <c r="D93" s="53" t="s">
        <v>24</v>
      </c>
      <c r="E93" s="53" t="s">
        <v>29</v>
      </c>
      <c r="F93" s="53" t="s">
        <v>25</v>
      </c>
      <c r="G93" s="53" t="s">
        <v>25</v>
      </c>
      <c r="H93" s="53" t="s">
        <v>25</v>
      </c>
      <c r="I93" s="72">
        <v>44652</v>
      </c>
      <c r="J93" s="73">
        <f>EFEITO!$J$93*EFEITO!$Y$46</f>
        <v>0</v>
      </c>
      <c r="K93" s="73">
        <f ca="1">EFEITO!$L$93*EFEITO!$Z$106</f>
        <v>74372.135544703633</v>
      </c>
      <c r="L93" s="73">
        <f>EFEITO!$N$93*EFEITO!$AA$106</f>
        <v>31699.428821453246</v>
      </c>
      <c r="M93" s="73">
        <f>$J$93-EFEITO!$K$93*EFEITO!$Y$93</f>
        <v>0</v>
      </c>
      <c r="N93" s="73">
        <f ca="1">$K$93-EFEITO!$M$93*EFEITO!$Z$93</f>
        <v>29748.85421788146</v>
      </c>
      <c r="O93" s="73">
        <f>$L$93-EFEITO!$O$93*EFEITO!$AA$93</f>
        <v>12679.771528581299</v>
      </c>
      <c r="P93" s="57"/>
      <c r="Q93" s="57"/>
      <c r="R93" s="57"/>
      <c r="S93" s="57"/>
      <c r="T93" s="57"/>
      <c r="U93" s="57"/>
      <c r="V93" s="57"/>
      <c r="W93" s="57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spans="1:36" ht="11.25" customHeight="1" x14ac:dyDescent="0.2">
      <c r="A94" s="53" t="s">
        <v>21</v>
      </c>
      <c r="B94" s="53" t="s">
        <v>22</v>
      </c>
      <c r="C94" s="53" t="s">
        <v>23</v>
      </c>
      <c r="D94" s="53" t="s">
        <v>24</v>
      </c>
      <c r="E94" s="53" t="s">
        <v>30</v>
      </c>
      <c r="F94" s="53" t="s">
        <v>25</v>
      </c>
      <c r="G94" s="53" t="s">
        <v>25</v>
      </c>
      <c r="H94" s="53" t="s">
        <v>25</v>
      </c>
      <c r="I94" s="72">
        <v>44317</v>
      </c>
      <c r="J94" s="73">
        <f>EFEITO!$J$94*EFEITO!$Y$46</f>
        <v>0</v>
      </c>
      <c r="K94" s="73">
        <f ca="1">EFEITO!$L$94*EFEITO!$Z$106</f>
        <v>18799.603076826585</v>
      </c>
      <c r="L94" s="73">
        <f>EFEITO!$N$94*EFEITO!$AA$106</f>
        <v>8012.9026179062976</v>
      </c>
      <c r="M94" s="73">
        <f>$J$94-EFEITO!$K$94*EFEITO!$Y$94</f>
        <v>0</v>
      </c>
      <c r="N94" s="73">
        <f ca="1">$K$94-EFEITO!$M$94*EFEITO!$Z$94</f>
        <v>1879.9603076826606</v>
      </c>
      <c r="O94" s="73">
        <f>$L$94-EFEITO!$O$94*EFEITO!$AA$94</f>
        <v>801.29026179063021</v>
      </c>
      <c r="P94" s="57"/>
      <c r="Q94" s="57"/>
      <c r="R94" s="57"/>
      <c r="S94" s="57"/>
      <c r="T94" s="57"/>
      <c r="U94" s="57"/>
      <c r="V94" s="57"/>
      <c r="W94" s="57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spans="1:36" ht="11.25" customHeight="1" x14ac:dyDescent="0.2">
      <c r="A95" s="53" t="s">
        <v>21</v>
      </c>
      <c r="B95" s="53" t="s">
        <v>22</v>
      </c>
      <c r="C95" s="53" t="s">
        <v>23</v>
      </c>
      <c r="D95" s="53" t="s">
        <v>24</v>
      </c>
      <c r="E95" s="53" t="s">
        <v>30</v>
      </c>
      <c r="F95" s="53" t="s">
        <v>25</v>
      </c>
      <c r="G95" s="53" t="s">
        <v>25</v>
      </c>
      <c r="H95" s="53" t="s">
        <v>25</v>
      </c>
      <c r="I95" s="72">
        <v>44348</v>
      </c>
      <c r="J95" s="73">
        <f>EFEITO!$J$95*EFEITO!$Y$46</f>
        <v>0</v>
      </c>
      <c r="K95" s="73">
        <f ca="1">EFEITO!$L$95*EFEITO!$Z$106</f>
        <v>15653.488056537562</v>
      </c>
      <c r="L95" s="73">
        <f>EFEITO!$N$95*EFEITO!$AA$106</f>
        <v>6671.9427487384828</v>
      </c>
      <c r="M95" s="73">
        <f>$J$95-EFEITO!$K$95*EFEITO!$Y$95</f>
        <v>0</v>
      </c>
      <c r="N95" s="73">
        <f ca="1">$K$95-EFEITO!$M$95*EFEITO!$Z$95</f>
        <v>1565.3488056537572</v>
      </c>
      <c r="O95" s="73">
        <f>$L$95-EFEITO!$O$95*EFEITO!$AA$95</f>
        <v>667.19427487384837</v>
      </c>
      <c r="P95" s="57"/>
      <c r="Q95" s="57"/>
      <c r="R95" s="57"/>
      <c r="S95" s="57"/>
      <c r="T95" s="57"/>
      <c r="U95" s="57"/>
      <c r="V95" s="57"/>
      <c r="W95" s="57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spans="1:36" ht="11.25" customHeight="1" x14ac:dyDescent="0.2">
      <c r="A96" s="53" t="s">
        <v>21</v>
      </c>
      <c r="B96" s="53" t="s">
        <v>22</v>
      </c>
      <c r="C96" s="53" t="s">
        <v>23</v>
      </c>
      <c r="D96" s="53" t="s">
        <v>24</v>
      </c>
      <c r="E96" s="53" t="s">
        <v>30</v>
      </c>
      <c r="F96" s="53" t="s">
        <v>25</v>
      </c>
      <c r="G96" s="53" t="s">
        <v>25</v>
      </c>
      <c r="H96" s="53" t="s">
        <v>25</v>
      </c>
      <c r="I96" s="72">
        <v>44378</v>
      </c>
      <c r="J96" s="73">
        <f>EFEITO!$J$96*EFEITO!$Y$46</f>
        <v>0</v>
      </c>
      <c r="K96" s="73">
        <f ca="1">EFEITO!$L$96*EFEITO!$Z$106</f>
        <v>14348.428475954424</v>
      </c>
      <c r="L96" s="73">
        <f>EFEITO!$N$96*EFEITO!$AA$106</f>
        <v>6115.6908275120941</v>
      </c>
      <c r="M96" s="73">
        <f>$J$96-EFEITO!$K$96*EFEITO!$Y$96</f>
        <v>0</v>
      </c>
      <c r="N96" s="73">
        <f ca="1">$K$96-EFEITO!$M$96*EFEITO!$Z$96</f>
        <v>1434.8428475954424</v>
      </c>
      <c r="O96" s="73">
        <f>$L$96-EFEITO!$O$96*EFEITO!$AA$96</f>
        <v>611.56908275120986</v>
      </c>
      <c r="P96" s="57"/>
      <c r="Q96" s="57"/>
      <c r="R96" s="57"/>
      <c r="S96" s="57"/>
      <c r="T96" s="57"/>
      <c r="U96" s="57"/>
      <c r="V96" s="57"/>
      <c r="W96" s="57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spans="1:36" ht="11.25" customHeight="1" x14ac:dyDescent="0.2">
      <c r="A97" s="53" t="s">
        <v>21</v>
      </c>
      <c r="B97" s="53" t="s">
        <v>22</v>
      </c>
      <c r="C97" s="53" t="s">
        <v>23</v>
      </c>
      <c r="D97" s="53" t="s">
        <v>24</v>
      </c>
      <c r="E97" s="53" t="s">
        <v>30</v>
      </c>
      <c r="F97" s="53" t="s">
        <v>25</v>
      </c>
      <c r="G97" s="53" t="s">
        <v>25</v>
      </c>
      <c r="H97" s="53" t="s">
        <v>25</v>
      </c>
      <c r="I97" s="72">
        <v>44409</v>
      </c>
      <c r="J97" s="73">
        <f>EFEITO!$J$97*EFEITO!$Y$46</f>
        <v>0</v>
      </c>
      <c r="K97" s="73">
        <f ca="1">EFEITO!$L$97*EFEITO!$Z$106</f>
        <v>14380.347330486455</v>
      </c>
      <c r="L97" s="73">
        <f>EFEITO!$N$97*EFEITO!$AA$106</f>
        <v>6129.2955122490575</v>
      </c>
      <c r="M97" s="73">
        <f>$J$97-EFEITO!$K$97*EFEITO!$Y$97</f>
        <v>0</v>
      </c>
      <c r="N97" s="73">
        <f ca="1">$K$97-EFEITO!$M$97*EFEITO!$Z$97</f>
        <v>1438.0347330486475</v>
      </c>
      <c r="O97" s="73">
        <f>$L$97-EFEITO!$O$97*EFEITO!$AA$97</f>
        <v>612.92955122490639</v>
      </c>
      <c r="P97" s="57"/>
      <c r="Q97" s="57"/>
      <c r="R97" s="57"/>
      <c r="S97" s="57"/>
      <c r="T97" s="57"/>
      <c r="U97" s="57"/>
      <c r="V97" s="57"/>
      <c r="W97" s="57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 spans="1:36" ht="11.25" customHeight="1" x14ac:dyDescent="0.2">
      <c r="A98" s="53" t="s">
        <v>21</v>
      </c>
      <c r="B98" s="53" t="s">
        <v>22</v>
      </c>
      <c r="C98" s="53" t="s">
        <v>23</v>
      </c>
      <c r="D98" s="53" t="s">
        <v>24</v>
      </c>
      <c r="E98" s="53" t="s">
        <v>30</v>
      </c>
      <c r="F98" s="53" t="s">
        <v>25</v>
      </c>
      <c r="G98" s="53" t="s">
        <v>25</v>
      </c>
      <c r="H98" s="53" t="s">
        <v>25</v>
      </c>
      <c r="I98" s="72">
        <v>44440</v>
      </c>
      <c r="J98" s="73">
        <f>EFEITO!$J$98*EFEITO!$Y$46</f>
        <v>0</v>
      </c>
      <c r="K98" s="73">
        <f ca="1">EFEITO!$L$98*EFEITO!$Z$106</f>
        <v>15557.731492941475</v>
      </c>
      <c r="L98" s="73">
        <f>EFEITO!$N$98*EFEITO!$AA$106</f>
        <v>6631.1286945275933</v>
      </c>
      <c r="M98" s="73">
        <f>$J$98-EFEITO!$K$98*EFEITO!$Y$98</f>
        <v>0</v>
      </c>
      <c r="N98" s="73">
        <f ca="1">$K$98-EFEITO!$M$98*EFEITO!$Z$98</f>
        <v>1555.7731492941493</v>
      </c>
      <c r="O98" s="73">
        <f>$L$98-EFEITO!$O$98*EFEITO!$AA$98</f>
        <v>663.11286945275879</v>
      </c>
      <c r="P98" s="57"/>
      <c r="Q98" s="57"/>
      <c r="R98" s="57"/>
      <c r="S98" s="57"/>
      <c r="T98" s="57"/>
      <c r="U98" s="57"/>
      <c r="V98" s="57"/>
      <c r="W98" s="57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spans="1:36" ht="11.25" customHeight="1" x14ac:dyDescent="0.2">
      <c r="A99" s="53" t="s">
        <v>21</v>
      </c>
      <c r="B99" s="53" t="s">
        <v>22</v>
      </c>
      <c r="C99" s="53" t="s">
        <v>23</v>
      </c>
      <c r="D99" s="53" t="s">
        <v>24</v>
      </c>
      <c r="E99" s="53" t="s">
        <v>30</v>
      </c>
      <c r="F99" s="53" t="s">
        <v>25</v>
      </c>
      <c r="G99" s="53" t="s">
        <v>25</v>
      </c>
      <c r="H99" s="53" t="s">
        <v>25</v>
      </c>
      <c r="I99" s="72">
        <v>44470</v>
      </c>
      <c r="J99" s="73">
        <f>EFEITO!$J$99*EFEITO!$Y$46</f>
        <v>0</v>
      </c>
      <c r="K99" s="73">
        <f ca="1">EFEITO!$L$99*EFEITO!$Z$106</f>
        <v>15962.438478706066</v>
      </c>
      <c r="L99" s="73">
        <f>EFEITO!$N$99*EFEITO!$AA$106</f>
        <v>6803.6258293056899</v>
      </c>
      <c r="M99" s="73">
        <f>$J$99-EFEITO!$K$99*EFEITO!$Y$99</f>
        <v>0</v>
      </c>
      <c r="N99" s="73">
        <f ca="1">$K$99-EFEITO!$M$99*EFEITO!$Z$99</f>
        <v>1596.2438478706081</v>
      </c>
      <c r="O99" s="73">
        <f>$L$99-EFEITO!$O$99*EFEITO!$AA$99</f>
        <v>680.36258293056926</v>
      </c>
      <c r="P99" s="57"/>
      <c r="Q99" s="57"/>
      <c r="R99" s="57"/>
      <c r="S99" s="57"/>
      <c r="T99" s="57"/>
      <c r="U99" s="57"/>
      <c r="V99" s="57"/>
      <c r="W99" s="57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spans="1:36" ht="11.25" customHeight="1" x14ac:dyDescent="0.2">
      <c r="A100" s="53" t="s">
        <v>21</v>
      </c>
      <c r="B100" s="53" t="s">
        <v>22</v>
      </c>
      <c r="C100" s="53" t="s">
        <v>23</v>
      </c>
      <c r="D100" s="53" t="s">
        <v>24</v>
      </c>
      <c r="E100" s="53" t="s">
        <v>30</v>
      </c>
      <c r="F100" s="53" t="s">
        <v>25</v>
      </c>
      <c r="G100" s="53" t="s">
        <v>25</v>
      </c>
      <c r="H100" s="53" t="s">
        <v>25</v>
      </c>
      <c r="I100" s="72">
        <v>44501</v>
      </c>
      <c r="J100" s="73">
        <f>EFEITO!$J$100*EFEITO!$Y$46</f>
        <v>0</v>
      </c>
      <c r="K100" s="73">
        <f ca="1">EFEITO!$L$100*EFEITO!$Z$106</f>
        <v>27277.371289041082</v>
      </c>
      <c r="L100" s="73">
        <f>EFEITO!$N$100*EFEITO!$AA$106</f>
        <v>11626.358222476612</v>
      </c>
      <c r="M100" s="73">
        <f>$J$100-EFEITO!$K$100*EFEITO!$Y$100</f>
        <v>0</v>
      </c>
      <c r="N100" s="73">
        <f ca="1">$K$100-EFEITO!$M$100*EFEITO!$Z$100</f>
        <v>2727.7371289041112</v>
      </c>
      <c r="O100" s="73">
        <f>$L$100-EFEITO!$O$100*EFEITO!$AA$100</f>
        <v>1162.6358222476611</v>
      </c>
      <c r="P100" s="57"/>
      <c r="Q100" s="57"/>
      <c r="R100" s="57"/>
      <c r="S100" s="57"/>
      <c r="T100" s="57"/>
      <c r="U100" s="57"/>
      <c r="V100" s="57"/>
      <c r="W100" s="57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spans="1:36" ht="11.25" customHeight="1" x14ac:dyDescent="0.2">
      <c r="A101" s="53" t="s">
        <v>21</v>
      </c>
      <c r="B101" s="53" t="s">
        <v>22</v>
      </c>
      <c r="C101" s="53" t="s">
        <v>23</v>
      </c>
      <c r="D101" s="53" t="s">
        <v>24</v>
      </c>
      <c r="E101" s="53" t="s">
        <v>30</v>
      </c>
      <c r="F101" s="53" t="s">
        <v>25</v>
      </c>
      <c r="G101" s="53" t="s">
        <v>25</v>
      </c>
      <c r="H101" s="53" t="s">
        <v>25</v>
      </c>
      <c r="I101" s="72">
        <v>44531</v>
      </c>
      <c r="J101" s="73">
        <f>EFEITO!$J$101*EFEITO!$Y$46</f>
        <v>0</v>
      </c>
      <c r="K101" s="73">
        <f ca="1">EFEITO!$L$101*EFEITO!$Z$106</f>
        <v>22897.261307693065</v>
      </c>
      <c r="L101" s="73">
        <f>EFEITO!$N$101*EFEITO!$AA$106</f>
        <v>9759.436107534515</v>
      </c>
      <c r="M101" s="73">
        <f>$J$101-EFEITO!$K$101*EFEITO!$Y$101</f>
        <v>0</v>
      </c>
      <c r="N101" s="73">
        <f ca="1">$K$101-EFEITO!$M$101*EFEITO!$Z$101</f>
        <v>2289.7261307693079</v>
      </c>
      <c r="O101" s="73">
        <f>$L$101-EFEITO!$O$101*EFEITO!$AA$101</f>
        <v>975.94361075345114</v>
      </c>
      <c r="P101" s="57"/>
      <c r="Q101" s="57"/>
      <c r="R101" s="57"/>
      <c r="S101" s="57"/>
      <c r="T101" s="57"/>
      <c r="U101" s="57"/>
      <c r="V101" s="57"/>
      <c r="W101" s="57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 spans="1:36" ht="11.25" customHeight="1" x14ac:dyDescent="0.2">
      <c r="A102" s="53" t="s">
        <v>21</v>
      </c>
      <c r="B102" s="53" t="s">
        <v>22</v>
      </c>
      <c r="C102" s="53" t="s">
        <v>23</v>
      </c>
      <c r="D102" s="53" t="s">
        <v>24</v>
      </c>
      <c r="E102" s="53" t="s">
        <v>30</v>
      </c>
      <c r="F102" s="53" t="s">
        <v>25</v>
      </c>
      <c r="G102" s="53" t="s">
        <v>25</v>
      </c>
      <c r="H102" s="53" t="s">
        <v>25</v>
      </c>
      <c r="I102" s="72">
        <v>44562</v>
      </c>
      <c r="J102" s="73">
        <f>EFEITO!$J$102*EFEITO!$Y$46</f>
        <v>0</v>
      </c>
      <c r="K102" s="73">
        <f ca="1">EFEITO!$L$102*EFEITO!$Z$106</f>
        <v>21222.424808569063</v>
      </c>
      <c r="L102" s="73">
        <f>EFEITO!$N$102*EFEITO!$AA$106</f>
        <v>9045.5751970912352</v>
      </c>
      <c r="M102" s="73">
        <f>$J$102-EFEITO!$K$102*EFEITO!$Y$102</f>
        <v>0</v>
      </c>
      <c r="N102" s="73">
        <f ca="1">$K$102-EFEITO!$M$102*EFEITO!$Z$102</f>
        <v>2122.2424808569085</v>
      </c>
      <c r="O102" s="73">
        <f>$L$102-EFEITO!$O$102*EFEITO!$AA$102</f>
        <v>904.55751970912388</v>
      </c>
      <c r="P102" s="57"/>
      <c r="Q102" s="57"/>
      <c r="R102" s="57"/>
      <c r="S102" s="57"/>
      <c r="T102" s="57"/>
      <c r="U102" s="57"/>
      <c r="V102" s="57"/>
      <c r="W102" s="57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 spans="1:36" ht="11.25" customHeight="1" x14ac:dyDescent="0.2">
      <c r="A103" s="53" t="s">
        <v>21</v>
      </c>
      <c r="B103" s="53" t="s">
        <v>22</v>
      </c>
      <c r="C103" s="53" t="s">
        <v>23</v>
      </c>
      <c r="D103" s="53" t="s">
        <v>24</v>
      </c>
      <c r="E103" s="53" t="s">
        <v>30</v>
      </c>
      <c r="F103" s="53" t="s">
        <v>25</v>
      </c>
      <c r="G103" s="53" t="s">
        <v>25</v>
      </c>
      <c r="H103" s="53" t="s">
        <v>25</v>
      </c>
      <c r="I103" s="72">
        <v>44593</v>
      </c>
      <c r="J103" s="73">
        <f>EFEITO!$J$103*EFEITO!$Y$46</f>
        <v>0</v>
      </c>
      <c r="K103" s="73">
        <f ca="1">EFEITO!$L$103*EFEITO!$Z$106</f>
        <v>21672.902227247509</v>
      </c>
      <c r="L103" s="73">
        <f>EFEITO!$N$103*EFEITO!$AA$106</f>
        <v>9237.580936397806</v>
      </c>
      <c r="M103" s="73">
        <f>$J$103-EFEITO!$K$103*EFEITO!$Y$103</f>
        <v>0</v>
      </c>
      <c r="N103" s="73">
        <f ca="1">$K$103-EFEITO!$M$103*EFEITO!$Z$103</f>
        <v>2167.2902227247505</v>
      </c>
      <c r="O103" s="73">
        <f>$L$103-EFEITO!$O$103*EFEITO!$AA$103</f>
        <v>923.75809363978078</v>
      </c>
      <c r="P103" s="57"/>
      <c r="Q103" s="57"/>
      <c r="R103" s="57"/>
      <c r="S103" s="57"/>
      <c r="T103" s="57"/>
      <c r="U103" s="57"/>
      <c r="V103" s="57"/>
      <c r="W103" s="57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 spans="1:36" ht="11.25" customHeight="1" x14ac:dyDescent="0.2">
      <c r="A104" s="53" t="s">
        <v>21</v>
      </c>
      <c r="B104" s="53" t="s">
        <v>22</v>
      </c>
      <c r="C104" s="53" t="s">
        <v>23</v>
      </c>
      <c r="D104" s="53" t="s">
        <v>24</v>
      </c>
      <c r="E104" s="53" t="s">
        <v>30</v>
      </c>
      <c r="F104" s="53" t="s">
        <v>25</v>
      </c>
      <c r="G104" s="53" t="s">
        <v>25</v>
      </c>
      <c r="H104" s="53" t="s">
        <v>25</v>
      </c>
      <c r="I104" s="72">
        <v>44621</v>
      </c>
      <c r="J104" s="73">
        <f>EFEITO!$J$104*EFEITO!$Y$46</f>
        <v>0</v>
      </c>
      <c r="K104" s="73">
        <f ca="1">EFEITO!$L$104*EFEITO!$Z$106</f>
        <v>28231.925712310243</v>
      </c>
      <c r="L104" s="73">
        <f>EFEITO!$N$104*EFEITO!$AA$106</f>
        <v>12033.215303761257</v>
      </c>
      <c r="M104" s="73">
        <f>$J$104-EFEITO!$K$104*EFEITO!$Y$104</f>
        <v>0</v>
      </c>
      <c r="N104" s="73">
        <f ca="1">$K$104-EFEITO!$M$104*EFEITO!$Z$104</f>
        <v>2823.1925712310258</v>
      </c>
      <c r="O104" s="73">
        <f>$L$104-EFEITO!$O$104*EFEITO!$AA$104</f>
        <v>1203.3215303761262</v>
      </c>
      <c r="P104" s="57"/>
      <c r="Q104" s="57"/>
      <c r="R104" s="57"/>
      <c r="S104" s="57"/>
      <c r="T104" s="57"/>
      <c r="U104" s="57"/>
      <c r="V104" s="57"/>
      <c r="W104" s="57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 spans="1:36" ht="11.25" customHeight="1" x14ac:dyDescent="0.2">
      <c r="A105" s="53" t="s">
        <v>21</v>
      </c>
      <c r="B105" s="53" t="s">
        <v>22</v>
      </c>
      <c r="C105" s="53" t="s">
        <v>23</v>
      </c>
      <c r="D105" s="53" t="s">
        <v>24</v>
      </c>
      <c r="E105" s="53" t="s">
        <v>30</v>
      </c>
      <c r="F105" s="53" t="s">
        <v>25</v>
      </c>
      <c r="G105" s="53" t="s">
        <v>25</v>
      </c>
      <c r="H105" s="53" t="s">
        <v>25</v>
      </c>
      <c r="I105" s="72">
        <v>44652</v>
      </c>
      <c r="J105" s="73">
        <f>EFEITO!$J$105*EFEITO!$Y$46</f>
        <v>0</v>
      </c>
      <c r="K105" s="73">
        <f ca="1">EFEITO!$L$105*EFEITO!$Z$106</f>
        <v>27235.816553895609</v>
      </c>
      <c r="L105" s="73">
        <f>EFEITO!$N$105*EFEITO!$AA$106</f>
        <v>11608.646463102075</v>
      </c>
      <c r="M105" s="73">
        <f>$J$105-EFEITO!$K$105*EFEITO!$Y$105</f>
        <v>0</v>
      </c>
      <c r="N105" s="73">
        <f ca="1">$K$105-EFEITO!$M$105*EFEITO!$Z$105</f>
        <v>2723.5816553895638</v>
      </c>
      <c r="O105" s="73">
        <f>$L$105-EFEITO!$O$105*EFEITO!$AA$105</f>
        <v>1160.8646463102086</v>
      </c>
      <c r="P105" s="57"/>
      <c r="Q105" s="57"/>
      <c r="R105" s="57"/>
      <c r="S105" s="57"/>
      <c r="T105" s="57"/>
      <c r="U105" s="57"/>
      <c r="V105" s="57"/>
      <c r="W105" s="57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 spans="1:36" ht="11.25" customHeight="1" x14ac:dyDescent="0.2">
      <c r="A106" s="53" t="s">
        <v>21</v>
      </c>
      <c r="B106" s="53" t="s">
        <v>22</v>
      </c>
      <c r="C106" s="53" t="s">
        <v>23</v>
      </c>
      <c r="D106" s="53" t="s">
        <v>24</v>
      </c>
      <c r="E106" s="53" t="s">
        <v>31</v>
      </c>
      <c r="F106" s="53" t="s">
        <v>25</v>
      </c>
      <c r="G106" s="53" t="s">
        <v>25</v>
      </c>
      <c r="H106" s="53" t="s">
        <v>25</v>
      </c>
      <c r="I106" s="72">
        <v>44317</v>
      </c>
      <c r="J106" s="73">
        <f>EFEITO!$J$106*EFEITO!$Y$46</f>
        <v>0</v>
      </c>
      <c r="K106" s="73">
        <f ca="1">EFEITO!$L$106*EFEITO!$Z$106</f>
        <v>3897.111465599206</v>
      </c>
      <c r="L106" s="73">
        <f>EFEITO!$N$106*EFEITO!$AA$106</f>
        <v>1661.0549987337151</v>
      </c>
      <c r="M106" s="73">
        <f>$J$106-EFEITO!$K$106*EFEITO!$Y$106</f>
        <v>0</v>
      </c>
      <c r="N106" s="73">
        <f ca="1">$K$106-EFEITO!$M$106*EFEITO!$Z$106</f>
        <v>0</v>
      </c>
      <c r="O106" s="73">
        <f>$L$106-EFEITO!$O$106*EFEITO!$AA$106</f>
        <v>0</v>
      </c>
      <c r="P106" s="57"/>
      <c r="Q106" s="57"/>
      <c r="R106" s="57"/>
      <c r="S106" s="57"/>
      <c r="T106" s="57"/>
      <c r="U106" s="57"/>
      <c r="V106" s="57"/>
      <c r="W106" s="57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 spans="1:36" ht="11.25" customHeight="1" x14ac:dyDescent="0.2">
      <c r="A107" s="53" t="s">
        <v>21</v>
      </c>
      <c r="B107" s="53" t="s">
        <v>22</v>
      </c>
      <c r="C107" s="53" t="s">
        <v>23</v>
      </c>
      <c r="D107" s="53" t="s">
        <v>24</v>
      </c>
      <c r="E107" s="53" t="s">
        <v>31</v>
      </c>
      <c r="F107" s="53" t="s">
        <v>25</v>
      </c>
      <c r="G107" s="53" t="s">
        <v>25</v>
      </c>
      <c r="H107" s="53" t="s">
        <v>25</v>
      </c>
      <c r="I107" s="72">
        <v>44348</v>
      </c>
      <c r="J107" s="73">
        <f>EFEITO!$J$107*EFEITO!$Y$46</f>
        <v>0</v>
      </c>
      <c r="K107" s="73">
        <f ca="1">EFEITO!$L$107*EFEITO!$Z$106</f>
        <v>3606.2283195809068</v>
      </c>
      <c r="L107" s="73">
        <f>EFEITO!$N$107*EFEITO!$AA$106</f>
        <v>1537.0726831119589</v>
      </c>
      <c r="M107" s="73">
        <f>$J$107-EFEITO!$K$107*EFEITO!$Y$107</f>
        <v>0</v>
      </c>
      <c r="N107" s="73">
        <f ca="1">$K$107-EFEITO!$M$107*EFEITO!$Z$107</f>
        <v>0</v>
      </c>
      <c r="O107" s="73">
        <f>$L$107-EFEITO!$O$107*EFEITO!$AA$107</f>
        <v>0</v>
      </c>
      <c r="P107" s="57"/>
      <c r="Q107" s="57"/>
      <c r="R107" s="57"/>
      <c r="S107" s="57"/>
      <c r="T107" s="57"/>
      <c r="U107" s="57"/>
      <c r="V107" s="57"/>
      <c r="W107" s="57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 spans="1:36" ht="11.25" customHeight="1" x14ac:dyDescent="0.2">
      <c r="A108" s="53" t="s">
        <v>21</v>
      </c>
      <c r="B108" s="53" t="s">
        <v>22</v>
      </c>
      <c r="C108" s="53" t="s">
        <v>23</v>
      </c>
      <c r="D108" s="53" t="s">
        <v>24</v>
      </c>
      <c r="E108" s="53" t="s">
        <v>31</v>
      </c>
      <c r="F108" s="53" t="s">
        <v>25</v>
      </c>
      <c r="G108" s="53" t="s">
        <v>25</v>
      </c>
      <c r="H108" s="53" t="s">
        <v>25</v>
      </c>
      <c r="I108" s="72">
        <v>44378</v>
      </c>
      <c r="J108" s="73">
        <f>EFEITO!$J$108*EFEITO!$Y$46</f>
        <v>0</v>
      </c>
      <c r="K108" s="73">
        <f ca="1">EFEITO!$L$108*EFEITO!$Z$106</f>
        <v>3346.6617855562959</v>
      </c>
      <c r="L108" s="73">
        <f>EFEITO!$N$108*EFEITO!$AA$106</f>
        <v>1426.4383600623173</v>
      </c>
      <c r="M108" s="73">
        <f>$J$108-EFEITO!$K$108*EFEITO!$Y$108</f>
        <v>0</v>
      </c>
      <c r="N108" s="73">
        <f ca="1">$K$108-EFEITO!$M$108*EFEITO!$Z$108</f>
        <v>0</v>
      </c>
      <c r="O108" s="73">
        <f>$L$108-EFEITO!$O$108*EFEITO!$AA$108</f>
        <v>0</v>
      </c>
      <c r="P108" s="57"/>
      <c r="Q108" s="57"/>
      <c r="R108" s="57"/>
      <c r="S108" s="57"/>
      <c r="T108" s="57"/>
      <c r="U108" s="57"/>
      <c r="V108" s="57"/>
      <c r="W108" s="57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 spans="1:36" ht="11.25" customHeight="1" x14ac:dyDescent="0.2">
      <c r="A109" s="53" t="s">
        <v>21</v>
      </c>
      <c r="B109" s="53" t="s">
        <v>22</v>
      </c>
      <c r="C109" s="53" t="s">
        <v>23</v>
      </c>
      <c r="D109" s="53" t="s">
        <v>24</v>
      </c>
      <c r="E109" s="53" t="s">
        <v>31</v>
      </c>
      <c r="F109" s="53" t="s">
        <v>25</v>
      </c>
      <c r="G109" s="53" t="s">
        <v>25</v>
      </c>
      <c r="H109" s="53" t="s">
        <v>25</v>
      </c>
      <c r="I109" s="72">
        <v>44409</v>
      </c>
      <c r="J109" s="73">
        <f>EFEITO!$J$109*EFEITO!$Y$46</f>
        <v>0</v>
      </c>
      <c r="K109" s="73">
        <f ca="1">EFEITO!$L$109*EFEITO!$Z$106</f>
        <v>3224.4065502732419</v>
      </c>
      <c r="L109" s="73">
        <f>EFEITO!$N$109*EFEITO!$AA$106</f>
        <v>1374.3298505981008</v>
      </c>
      <c r="M109" s="73">
        <f>$J$109-EFEITO!$K$109*EFEITO!$Y$109</f>
        <v>0</v>
      </c>
      <c r="N109" s="73">
        <f ca="1">$K$109-EFEITO!$M$109*EFEITO!$Z$109</f>
        <v>0</v>
      </c>
      <c r="O109" s="73">
        <f>$L$109-EFEITO!$O$109*EFEITO!$AA$109</f>
        <v>0</v>
      </c>
      <c r="P109" s="57"/>
      <c r="Q109" s="57"/>
      <c r="R109" s="57"/>
      <c r="S109" s="57"/>
      <c r="T109" s="57"/>
      <c r="U109" s="57"/>
      <c r="V109" s="57"/>
      <c r="W109" s="57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 spans="1:36" ht="11.25" customHeight="1" x14ac:dyDescent="0.2">
      <c r="A110" s="53" t="s">
        <v>21</v>
      </c>
      <c r="B110" s="53" t="s">
        <v>22</v>
      </c>
      <c r="C110" s="53" t="s">
        <v>23</v>
      </c>
      <c r="D110" s="53" t="s">
        <v>24</v>
      </c>
      <c r="E110" s="53" t="s">
        <v>31</v>
      </c>
      <c r="F110" s="53" t="s">
        <v>25</v>
      </c>
      <c r="G110" s="53" t="s">
        <v>25</v>
      </c>
      <c r="H110" s="53" t="s">
        <v>25</v>
      </c>
      <c r="I110" s="72">
        <v>44440</v>
      </c>
      <c r="J110" s="73">
        <f>EFEITO!$J$110*EFEITO!$Y$46</f>
        <v>0</v>
      </c>
      <c r="K110" s="73">
        <f ca="1">EFEITO!$L$110*EFEITO!$Z$106</f>
        <v>3441.8161066140415</v>
      </c>
      <c r="L110" s="73">
        <f>EFEITO!$N$110*EFEITO!$AA$106</f>
        <v>1466.9957221083575</v>
      </c>
      <c r="M110" s="73">
        <f>$J$110-EFEITO!$K$110*EFEITO!$Y$110</f>
        <v>0</v>
      </c>
      <c r="N110" s="73">
        <f ca="1">$K$110-EFEITO!$M$110*EFEITO!$Z$110</f>
        <v>0</v>
      </c>
      <c r="O110" s="73">
        <f>$L$110-EFEITO!$O$110*EFEITO!$AA$110</f>
        <v>0</v>
      </c>
      <c r="P110" s="57"/>
      <c r="Q110" s="57"/>
      <c r="R110" s="57"/>
      <c r="S110" s="57"/>
      <c r="T110" s="57"/>
      <c r="U110" s="57"/>
      <c r="V110" s="57"/>
      <c r="W110" s="57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 spans="1:36" ht="11.25" customHeight="1" x14ac:dyDescent="0.2">
      <c r="A111" s="53" t="s">
        <v>21</v>
      </c>
      <c r="B111" s="53" t="s">
        <v>22</v>
      </c>
      <c r="C111" s="53" t="s">
        <v>23</v>
      </c>
      <c r="D111" s="53" t="s">
        <v>24</v>
      </c>
      <c r="E111" s="53" t="s">
        <v>31</v>
      </c>
      <c r="F111" s="53" t="s">
        <v>25</v>
      </c>
      <c r="G111" s="53" t="s">
        <v>25</v>
      </c>
      <c r="H111" s="53" t="s">
        <v>25</v>
      </c>
      <c r="I111" s="72">
        <v>44470</v>
      </c>
      <c r="J111" s="73">
        <f>EFEITO!$J$111*EFEITO!$Y$46</f>
        <v>0</v>
      </c>
      <c r="K111" s="73">
        <f ca="1">EFEITO!$L$111*EFEITO!$Z$106</f>
        <v>3947.6998388197799</v>
      </c>
      <c r="L111" s="73">
        <f>EFEITO!$N$111*EFEITO!$AA$106</f>
        <v>1682.6171405809769</v>
      </c>
      <c r="M111" s="73">
        <f>$J$111-EFEITO!$K$111*EFEITO!$Y$111</f>
        <v>0</v>
      </c>
      <c r="N111" s="73">
        <f ca="1">$K$111-EFEITO!$M$111*EFEITO!$Z$111</f>
        <v>0</v>
      </c>
      <c r="O111" s="73">
        <f>$L$111-EFEITO!$O$111*EFEITO!$AA$111</f>
        <v>0</v>
      </c>
      <c r="P111" s="57"/>
      <c r="Q111" s="57"/>
      <c r="R111" s="57"/>
      <c r="S111" s="57"/>
      <c r="T111" s="57"/>
      <c r="U111" s="57"/>
      <c r="V111" s="57"/>
      <c r="W111" s="57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 spans="1:36" ht="11.25" customHeight="1" x14ac:dyDescent="0.2">
      <c r="A112" s="53" t="s">
        <v>21</v>
      </c>
      <c r="B112" s="53" t="s">
        <v>22</v>
      </c>
      <c r="C112" s="53" t="s">
        <v>23</v>
      </c>
      <c r="D112" s="53" t="s">
        <v>24</v>
      </c>
      <c r="E112" s="53" t="s">
        <v>31</v>
      </c>
      <c r="F112" s="53" t="s">
        <v>25</v>
      </c>
      <c r="G112" s="53" t="s">
        <v>25</v>
      </c>
      <c r="H112" s="53" t="s">
        <v>25</v>
      </c>
      <c r="I112" s="72">
        <v>44501</v>
      </c>
      <c r="J112" s="73">
        <f>EFEITO!$J$112*EFEITO!$Y$46</f>
        <v>0</v>
      </c>
      <c r="K112" s="73">
        <f ca="1">EFEITO!$L$112*EFEITO!$Z$106</f>
        <v>6413.2807907844135</v>
      </c>
      <c r="L112" s="73">
        <f>EFEITO!$N$112*EFEITO!$AA$106</f>
        <v>2733.5148634701486</v>
      </c>
      <c r="M112" s="73">
        <f>$J$112-EFEITO!$K$112*EFEITO!$Y$112</f>
        <v>0</v>
      </c>
      <c r="N112" s="73">
        <f ca="1">$K$112-EFEITO!$M$112*EFEITO!$Z$112</f>
        <v>0</v>
      </c>
      <c r="O112" s="73">
        <f>$L$112-EFEITO!$O$112*EFEITO!$AA$112</f>
        <v>0</v>
      </c>
      <c r="P112" s="57"/>
      <c r="Q112" s="57"/>
      <c r="R112" s="57"/>
      <c r="S112" s="57"/>
      <c r="T112" s="57"/>
      <c r="U112" s="57"/>
      <c r="V112" s="57"/>
      <c r="W112" s="57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 spans="1:36" ht="11.25" customHeight="1" x14ac:dyDescent="0.2">
      <c r="A113" s="53" t="s">
        <v>21</v>
      </c>
      <c r="B113" s="53" t="s">
        <v>22</v>
      </c>
      <c r="C113" s="53" t="s">
        <v>23</v>
      </c>
      <c r="D113" s="53" t="s">
        <v>24</v>
      </c>
      <c r="E113" s="53" t="s">
        <v>31</v>
      </c>
      <c r="F113" s="53" t="s">
        <v>25</v>
      </c>
      <c r="G113" s="53" t="s">
        <v>25</v>
      </c>
      <c r="H113" s="53" t="s">
        <v>25</v>
      </c>
      <c r="I113" s="72">
        <v>44531</v>
      </c>
      <c r="J113" s="73">
        <f>EFEITO!$J$113*EFEITO!$Y$46</f>
        <v>0</v>
      </c>
      <c r="K113" s="73">
        <f ca="1">EFEITO!$L$113*EFEITO!$Z$106</f>
        <v>4860.6995269434692</v>
      </c>
      <c r="L113" s="73">
        <f>EFEITO!$N$113*EFEITO!$AA$106</f>
        <v>2071.7624624910854</v>
      </c>
      <c r="M113" s="73">
        <f>$J$113-EFEITO!$K$113*EFEITO!$Y$113</f>
        <v>0</v>
      </c>
      <c r="N113" s="73">
        <f ca="1">$K$113-EFEITO!$M$113*EFEITO!$Z$113</f>
        <v>0</v>
      </c>
      <c r="O113" s="73">
        <f>$L$113-EFEITO!$O$113*EFEITO!$AA$113</f>
        <v>0</v>
      </c>
      <c r="P113" s="57"/>
      <c r="Q113" s="57"/>
      <c r="R113" s="57"/>
      <c r="S113" s="57"/>
      <c r="T113" s="57"/>
      <c r="U113" s="57"/>
      <c r="V113" s="57"/>
      <c r="W113" s="57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 spans="1:36" ht="11.25" customHeight="1" x14ac:dyDescent="0.2">
      <c r="A114" s="53" t="s">
        <v>21</v>
      </c>
      <c r="B114" s="53" t="s">
        <v>22</v>
      </c>
      <c r="C114" s="53" t="s">
        <v>23</v>
      </c>
      <c r="D114" s="53" t="s">
        <v>24</v>
      </c>
      <c r="E114" s="53" t="s">
        <v>31</v>
      </c>
      <c r="F114" s="53" t="s">
        <v>25</v>
      </c>
      <c r="G114" s="53" t="s">
        <v>25</v>
      </c>
      <c r="H114" s="53" t="s">
        <v>25</v>
      </c>
      <c r="I114" s="72">
        <v>44562</v>
      </c>
      <c r="J114" s="73">
        <f>EFEITO!$J$114*EFEITO!$Y$46</f>
        <v>0</v>
      </c>
      <c r="K114" s="73">
        <f ca="1">EFEITO!$L$114*EFEITO!$Z$106</f>
        <v>5000.4197958383884</v>
      </c>
      <c r="L114" s="73">
        <f>EFEITO!$N$114*EFEITO!$AA$106</f>
        <v>2131.3150447359044</v>
      </c>
      <c r="M114" s="73">
        <f>$J$114-EFEITO!$K$114*EFEITO!$Y$114</f>
        <v>0</v>
      </c>
      <c r="N114" s="73">
        <f ca="1">$K$114-EFEITO!$M$114*EFEITO!$Z$114</f>
        <v>0</v>
      </c>
      <c r="O114" s="73">
        <f>$L$114-EFEITO!$O$114*EFEITO!$AA$114</f>
        <v>0</v>
      </c>
      <c r="P114" s="57"/>
      <c r="Q114" s="57"/>
      <c r="R114" s="57"/>
      <c r="S114" s="57"/>
      <c r="T114" s="57"/>
      <c r="U114" s="57"/>
      <c r="V114" s="57"/>
      <c r="W114" s="57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 spans="1:36" ht="11.25" customHeight="1" x14ac:dyDescent="0.2">
      <c r="A115" s="53" t="s">
        <v>21</v>
      </c>
      <c r="B115" s="53" t="s">
        <v>22</v>
      </c>
      <c r="C115" s="53" t="s">
        <v>23</v>
      </c>
      <c r="D115" s="53" t="s">
        <v>24</v>
      </c>
      <c r="E115" s="53" t="s">
        <v>31</v>
      </c>
      <c r="F115" s="53" t="s">
        <v>25</v>
      </c>
      <c r="G115" s="53" t="s">
        <v>25</v>
      </c>
      <c r="H115" s="53" t="s">
        <v>25</v>
      </c>
      <c r="I115" s="72">
        <v>44593</v>
      </c>
      <c r="J115" s="73">
        <f>EFEITO!$J$115*EFEITO!$Y$46</f>
        <v>0</v>
      </c>
      <c r="K115" s="73">
        <f ca="1">EFEITO!$L$115*EFEITO!$Z$106</f>
        <v>6512.6508096105417</v>
      </c>
      <c r="L115" s="73">
        <f>EFEITO!$N$115*EFEITO!$AA$106</f>
        <v>2775.8690706701277</v>
      </c>
      <c r="M115" s="73">
        <f>$J$115-EFEITO!$K$115*EFEITO!$Y$115</f>
        <v>0</v>
      </c>
      <c r="N115" s="73">
        <f ca="1">$K$115-EFEITO!$M$115*EFEITO!$Z$115</f>
        <v>0</v>
      </c>
      <c r="O115" s="73">
        <f>$L$115-EFEITO!$O$115*EFEITO!$AA$115</f>
        <v>0</v>
      </c>
      <c r="P115" s="57"/>
      <c r="Q115" s="57"/>
      <c r="R115" s="57"/>
      <c r="S115" s="57"/>
      <c r="T115" s="57"/>
      <c r="U115" s="57"/>
      <c r="V115" s="57"/>
      <c r="W115" s="57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 spans="1:36" ht="11.25" customHeight="1" x14ac:dyDescent="0.2">
      <c r="A116" s="53" t="s">
        <v>21</v>
      </c>
      <c r="B116" s="53" t="s">
        <v>22</v>
      </c>
      <c r="C116" s="53" t="s">
        <v>23</v>
      </c>
      <c r="D116" s="53" t="s">
        <v>24</v>
      </c>
      <c r="E116" s="53" t="s">
        <v>31</v>
      </c>
      <c r="F116" s="53" t="s">
        <v>25</v>
      </c>
      <c r="G116" s="53" t="s">
        <v>25</v>
      </c>
      <c r="H116" s="53" t="s">
        <v>25</v>
      </c>
      <c r="I116" s="72">
        <v>44621</v>
      </c>
      <c r="J116" s="73">
        <f>EFEITO!$J$116*EFEITO!$Y$46</f>
        <v>0</v>
      </c>
      <c r="K116" s="73">
        <f ca="1">EFEITO!$L$116*EFEITO!$Z$106</f>
        <v>9829.20046824983</v>
      </c>
      <c r="L116" s="73">
        <f>EFEITO!$N$116*EFEITO!$AA$106</f>
        <v>4189.4728224900273</v>
      </c>
      <c r="M116" s="73">
        <f>$J$116-EFEITO!$K$116*EFEITO!$Y$116</f>
        <v>0</v>
      </c>
      <c r="N116" s="73">
        <f ca="1">$K$116-EFEITO!$M$116*EFEITO!$Z$116</f>
        <v>0</v>
      </c>
      <c r="O116" s="73">
        <f>$L$116-EFEITO!$O$116*EFEITO!$AA$116</f>
        <v>0</v>
      </c>
      <c r="P116" s="57"/>
      <c r="Q116" s="57"/>
      <c r="R116" s="57"/>
      <c r="S116" s="57"/>
      <c r="T116" s="57"/>
      <c r="U116" s="57"/>
      <c r="V116" s="57"/>
      <c r="W116" s="57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 spans="1:36" ht="11.25" customHeight="1" x14ac:dyDescent="0.2">
      <c r="A117" s="53" t="s">
        <v>21</v>
      </c>
      <c r="B117" s="53" t="s">
        <v>22</v>
      </c>
      <c r="C117" s="53" t="s">
        <v>23</v>
      </c>
      <c r="D117" s="53" t="s">
        <v>24</v>
      </c>
      <c r="E117" s="53" t="s">
        <v>31</v>
      </c>
      <c r="F117" s="53" t="s">
        <v>25</v>
      </c>
      <c r="G117" s="53" t="s">
        <v>25</v>
      </c>
      <c r="H117" s="53" t="s">
        <v>25</v>
      </c>
      <c r="I117" s="72">
        <v>44652</v>
      </c>
      <c r="J117" s="73">
        <f>EFEITO!$J$117*EFEITO!$Y$46</f>
        <v>0</v>
      </c>
      <c r="K117" s="73">
        <f ca="1">EFEITO!$L$117*EFEITO!$Z$106</f>
        <v>8482.5861525212204</v>
      </c>
      <c r="L117" s="73">
        <f>EFEITO!$N$117*EFEITO!$AA$106</f>
        <v>3615.509141889102</v>
      </c>
      <c r="M117" s="73">
        <f>$J$117-EFEITO!$K$117*EFEITO!$Y$117</f>
        <v>0</v>
      </c>
      <c r="N117" s="73">
        <f ca="1">$K$117-EFEITO!$M$117*EFEITO!$Z$117</f>
        <v>0</v>
      </c>
      <c r="O117" s="73">
        <f>$L$117-EFEITO!$O$117*EFEITO!$AA$117</f>
        <v>0</v>
      </c>
      <c r="P117" s="57"/>
      <c r="Q117" s="57"/>
      <c r="R117" s="57"/>
      <c r="S117" s="57"/>
      <c r="T117" s="57"/>
      <c r="U117" s="57"/>
      <c r="V117" s="57"/>
      <c r="W117" s="57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 spans="1:36" ht="11.25" customHeight="1" x14ac:dyDescent="0.2">
      <c r="A118" s="53" t="s">
        <v>21</v>
      </c>
      <c r="B118" s="53" t="s">
        <v>41</v>
      </c>
      <c r="C118" s="53" t="s">
        <v>39</v>
      </c>
      <c r="D118" s="53" t="s">
        <v>42</v>
      </c>
      <c r="E118" s="53" t="s">
        <v>25</v>
      </c>
      <c r="F118" s="53" t="s">
        <v>25</v>
      </c>
      <c r="G118" s="53" t="s">
        <v>25</v>
      </c>
      <c r="H118" s="53" t="s">
        <v>37</v>
      </c>
      <c r="I118" s="72">
        <v>44317</v>
      </c>
      <c r="J118" s="73">
        <f>EFEITO!$J$118*EFEITO!$Y$118/(1-CUSTOS!$M$38)</f>
        <v>0</v>
      </c>
      <c r="K118" s="73">
        <f ca="1">EFEITO!$L$118*EFEITO!$Z$118/(1-CUSTOS!$M$38)</f>
        <v>141.52181187580294</v>
      </c>
      <c r="L118" s="73">
        <f>EFEITO!$N$118*EFEITO!$AA$118/(1-CUSTOS!$M$38)</f>
        <v>91.895795015711627</v>
      </c>
      <c r="M118" s="73">
        <f>$J$118-EFEITO!$K$118*EFEITO!$Y$118</f>
        <v>0</v>
      </c>
      <c r="N118" s="73">
        <f ca="1">$K$118-EFEITO!$M$118*EFEITO!$Z$118</f>
        <v>8.4913087125481752</v>
      </c>
      <c r="O118" s="73">
        <f>$L$118-EFEITO!$O$118*EFEITO!$AA$118</f>
        <v>5.5137477009427016</v>
      </c>
      <c r="P118" s="57"/>
      <c r="Q118" s="57"/>
      <c r="R118" s="57"/>
      <c r="S118" s="57"/>
      <c r="T118" s="57"/>
      <c r="U118" s="57"/>
      <c r="V118" s="57"/>
      <c r="W118" s="57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 spans="1:36" ht="11.25" customHeight="1" x14ac:dyDescent="0.2">
      <c r="A119" s="53" t="s">
        <v>21</v>
      </c>
      <c r="B119" s="53" t="s">
        <v>41</v>
      </c>
      <c r="C119" s="53" t="s">
        <v>39</v>
      </c>
      <c r="D119" s="53" t="s">
        <v>42</v>
      </c>
      <c r="E119" s="53" t="s">
        <v>25</v>
      </c>
      <c r="F119" s="53" t="s">
        <v>25</v>
      </c>
      <c r="G119" s="53" t="s">
        <v>25</v>
      </c>
      <c r="H119" s="53" t="s">
        <v>37</v>
      </c>
      <c r="I119" s="72">
        <v>44348</v>
      </c>
      <c r="J119" s="73">
        <f>EFEITO!$J$119*EFEITO!$Y$119/(1-CUSTOS!$M$38)</f>
        <v>0</v>
      </c>
      <c r="K119" s="73">
        <f ca="1">EFEITO!$L$119*EFEITO!$Z$119/(1-CUSTOS!$M$38)</f>
        <v>122.94213266305788</v>
      </c>
      <c r="L119" s="73">
        <f>EFEITO!$N$119*EFEITO!$AA$119/(1-CUSTOS!$M$38)</f>
        <v>79.831263267838878</v>
      </c>
      <c r="M119" s="73">
        <f>$J$119-EFEITO!$K$119*EFEITO!$Y$119</f>
        <v>0</v>
      </c>
      <c r="N119" s="73">
        <f ca="1">$K$119-EFEITO!$M$119*EFEITO!$Z$119</f>
        <v>7.3765279597834734</v>
      </c>
      <c r="O119" s="73">
        <f>$L$119-EFEITO!$O$119*EFEITO!$AA$119</f>
        <v>4.7898757960703335</v>
      </c>
      <c r="P119" s="57"/>
      <c r="Q119" s="57"/>
      <c r="R119" s="57"/>
      <c r="S119" s="57"/>
      <c r="T119" s="57"/>
      <c r="U119" s="57"/>
      <c r="V119" s="57"/>
      <c r="W119" s="57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 spans="1:36" ht="11.25" customHeight="1" x14ac:dyDescent="0.2">
      <c r="A120" s="53" t="s">
        <v>21</v>
      </c>
      <c r="B120" s="53" t="s">
        <v>41</v>
      </c>
      <c r="C120" s="53" t="s">
        <v>39</v>
      </c>
      <c r="D120" s="53" t="s">
        <v>42</v>
      </c>
      <c r="E120" s="53" t="s">
        <v>25</v>
      </c>
      <c r="F120" s="53" t="s">
        <v>25</v>
      </c>
      <c r="G120" s="53" t="s">
        <v>25</v>
      </c>
      <c r="H120" s="53" t="s">
        <v>37</v>
      </c>
      <c r="I120" s="72">
        <v>44378</v>
      </c>
      <c r="J120" s="73">
        <f>EFEITO!$J$120*EFEITO!$Y$120/(1-CUSTOS!$M$38)</f>
        <v>0</v>
      </c>
      <c r="K120" s="73">
        <f ca="1">EFEITO!$L$120*EFEITO!$Z$120/(1-CUSTOS!$M$38)</f>
        <v>165.63586362000399</v>
      </c>
      <c r="L120" s="73">
        <f>EFEITO!$N$120*EFEITO!$AA$120/(1-CUSTOS!$M$38)</f>
        <v>107.55401707146139</v>
      </c>
      <c r="M120" s="73">
        <f>$J$120-EFEITO!$K$120*EFEITO!$Y$120</f>
        <v>0</v>
      </c>
      <c r="N120" s="73">
        <f ca="1">$K$120-EFEITO!$M$120*EFEITO!$Z$120</f>
        <v>9.9381518172002359</v>
      </c>
      <c r="O120" s="73">
        <f>$L$120-EFEITO!$O$120*EFEITO!$AA$120</f>
        <v>6.4532410242876921</v>
      </c>
      <c r="P120" s="57"/>
      <c r="Q120" s="57"/>
      <c r="R120" s="57"/>
      <c r="S120" s="57"/>
      <c r="T120" s="57"/>
      <c r="U120" s="57"/>
      <c r="V120" s="57"/>
      <c r="W120" s="57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spans="1:36" ht="11.25" customHeight="1" x14ac:dyDescent="0.2">
      <c r="A121" s="53" t="s">
        <v>21</v>
      </c>
      <c r="B121" s="53" t="s">
        <v>41</v>
      </c>
      <c r="C121" s="53" t="s">
        <v>39</v>
      </c>
      <c r="D121" s="53" t="s">
        <v>42</v>
      </c>
      <c r="E121" s="53" t="s">
        <v>25</v>
      </c>
      <c r="F121" s="53" t="s">
        <v>25</v>
      </c>
      <c r="G121" s="53" t="s">
        <v>25</v>
      </c>
      <c r="H121" s="53" t="s">
        <v>37</v>
      </c>
      <c r="I121" s="72">
        <v>44409</v>
      </c>
      <c r="J121" s="73">
        <f>EFEITO!$J$121*EFEITO!$Y$121/(1-CUSTOS!$M$38)</f>
        <v>0</v>
      </c>
      <c r="K121" s="73">
        <f ca="1">EFEITO!$L$121*EFEITO!$Z$121/(1-CUSTOS!$M$38)</f>
        <v>145.87024743623263</v>
      </c>
      <c r="L121" s="73">
        <f>EFEITO!$N$121*EFEITO!$AA$121/(1-CUSTOS!$M$38)</f>
        <v>94.719408829043559</v>
      </c>
      <c r="M121" s="73">
        <f>$J$121-EFEITO!$K$121*EFEITO!$Y$121</f>
        <v>0</v>
      </c>
      <c r="N121" s="73">
        <f ca="1">$K$121-EFEITO!$M$121*EFEITO!$Z$121</f>
        <v>8.7522148461739562</v>
      </c>
      <c r="O121" s="73">
        <f>$L$121-EFEITO!$O$121*EFEITO!$AA$121</f>
        <v>5.6831645297426121</v>
      </c>
      <c r="P121" s="57"/>
      <c r="Q121" s="57"/>
      <c r="R121" s="57"/>
      <c r="S121" s="57"/>
      <c r="T121" s="57"/>
      <c r="U121" s="57"/>
      <c r="V121" s="57"/>
      <c r="W121" s="57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 spans="1:36" ht="11.25" customHeight="1" x14ac:dyDescent="0.2">
      <c r="A122" s="53" t="s">
        <v>21</v>
      </c>
      <c r="B122" s="53" t="s">
        <v>41</v>
      </c>
      <c r="C122" s="53" t="s">
        <v>39</v>
      </c>
      <c r="D122" s="53" t="s">
        <v>42</v>
      </c>
      <c r="E122" s="53" t="s">
        <v>25</v>
      </c>
      <c r="F122" s="53" t="s">
        <v>25</v>
      </c>
      <c r="G122" s="53" t="s">
        <v>25</v>
      </c>
      <c r="H122" s="53" t="s">
        <v>37</v>
      </c>
      <c r="I122" s="72">
        <v>44440</v>
      </c>
      <c r="J122" s="73">
        <f>EFEITO!$J$122*EFEITO!$Y$122/(1-CUSTOS!$M$38)</f>
        <v>0</v>
      </c>
      <c r="K122" s="73">
        <f ca="1">EFEITO!$L$122*EFEITO!$Z$122/(1-CUSTOS!$M$38)</f>
        <v>276.71862657279905</v>
      </c>
      <c r="L122" s="73">
        <f>EFEITO!$N$122*EFEITO!$AA$122/(1-CUSTOS!$M$38)</f>
        <v>179.68451539384955</v>
      </c>
      <c r="M122" s="73">
        <f>$J$122-EFEITO!$K$122*EFEITO!$Y$122</f>
        <v>0</v>
      </c>
      <c r="N122" s="73">
        <f ca="1">$K$122-EFEITO!$M$122*EFEITO!$Z$122</f>
        <v>16.603117594367973</v>
      </c>
      <c r="O122" s="73">
        <f>$L$122-EFEITO!$O$122*EFEITO!$AA$122</f>
        <v>10.781070923630978</v>
      </c>
      <c r="P122" s="57"/>
      <c r="Q122" s="57"/>
      <c r="R122" s="57"/>
      <c r="S122" s="57"/>
      <c r="T122" s="57"/>
      <c r="U122" s="57"/>
      <c r="V122" s="57"/>
      <c r="W122" s="57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 spans="1:36" ht="11.25" customHeight="1" x14ac:dyDescent="0.2">
      <c r="A123" s="53" t="s">
        <v>21</v>
      </c>
      <c r="B123" s="53" t="s">
        <v>41</v>
      </c>
      <c r="C123" s="53" t="s">
        <v>39</v>
      </c>
      <c r="D123" s="53" t="s">
        <v>42</v>
      </c>
      <c r="E123" s="53" t="s">
        <v>25</v>
      </c>
      <c r="F123" s="53" t="s">
        <v>25</v>
      </c>
      <c r="G123" s="53" t="s">
        <v>25</v>
      </c>
      <c r="H123" s="53" t="s">
        <v>37</v>
      </c>
      <c r="I123" s="72">
        <v>44470</v>
      </c>
      <c r="J123" s="73">
        <f>EFEITO!$J$123*EFEITO!$Y$123/(1-CUSTOS!$M$38)</f>
        <v>0</v>
      </c>
      <c r="K123" s="73">
        <f ca="1">EFEITO!$L$123*EFEITO!$Z$123/(1-CUSTOS!$M$38)</f>
        <v>965.74800673906884</v>
      </c>
      <c r="L123" s="73">
        <f>EFEITO!$N$123*EFEITO!$AA$123/(1-CUSTOS!$M$38)</f>
        <v>627.09895872453501</v>
      </c>
      <c r="M123" s="73">
        <f>$J$123-EFEITO!$K$123*EFEITO!$Y$123</f>
        <v>0</v>
      </c>
      <c r="N123" s="73">
        <f ca="1">$K$123-EFEITO!$M$123*EFEITO!$Z$123</f>
        <v>57.94488040434419</v>
      </c>
      <c r="O123" s="73">
        <f>$L$123-EFEITO!$O$123*EFEITO!$AA$123</f>
        <v>37.625937523472089</v>
      </c>
      <c r="P123" s="57"/>
      <c r="Q123" s="57"/>
      <c r="R123" s="57"/>
      <c r="S123" s="57"/>
      <c r="T123" s="57"/>
      <c r="U123" s="57"/>
      <c r="V123" s="57"/>
      <c r="W123" s="57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 spans="1:36" ht="11.25" customHeight="1" x14ac:dyDescent="0.2">
      <c r="A124" s="53" t="s">
        <v>21</v>
      </c>
      <c r="B124" s="53" t="s">
        <v>41</v>
      </c>
      <c r="C124" s="53" t="s">
        <v>39</v>
      </c>
      <c r="D124" s="53" t="s">
        <v>42</v>
      </c>
      <c r="E124" s="53" t="s">
        <v>25</v>
      </c>
      <c r="F124" s="53" t="s">
        <v>25</v>
      </c>
      <c r="G124" s="53" t="s">
        <v>25</v>
      </c>
      <c r="H124" s="53" t="s">
        <v>37</v>
      </c>
      <c r="I124" s="72">
        <v>44501</v>
      </c>
      <c r="J124" s="73">
        <f>EFEITO!$J$124*EFEITO!$Y$124/(1-CUSTOS!$M$38)</f>
        <v>0</v>
      </c>
      <c r="K124" s="73">
        <f ca="1">EFEITO!$L$124*EFEITO!$Z$124/(1-CUSTOS!$M$38)</f>
        <v>802.08870473744184</v>
      </c>
      <c r="L124" s="73">
        <f>EFEITO!$N$124*EFEITO!$AA$124/(1-CUSTOS!$M$38)</f>
        <v>520.82840247731531</v>
      </c>
      <c r="M124" s="73">
        <f>$J$124-EFEITO!$K$124*EFEITO!$Y$124</f>
        <v>0</v>
      </c>
      <c r="N124" s="73">
        <f ca="1">$K$124-EFEITO!$M$124*EFEITO!$Z$124</f>
        <v>48.125322284246522</v>
      </c>
      <c r="O124" s="73">
        <f>$L$124-EFEITO!$O$124*EFEITO!$AA$124</f>
        <v>31.249704148638898</v>
      </c>
      <c r="P124" s="57"/>
      <c r="Q124" s="57"/>
      <c r="R124" s="57"/>
      <c r="S124" s="57"/>
      <c r="T124" s="57"/>
      <c r="U124" s="57"/>
      <c r="V124" s="57"/>
      <c r="W124" s="57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 spans="1:36" ht="11.25" customHeight="1" x14ac:dyDescent="0.2">
      <c r="A125" s="53" t="s">
        <v>21</v>
      </c>
      <c r="B125" s="53" t="s">
        <v>41</v>
      </c>
      <c r="C125" s="53" t="s">
        <v>39</v>
      </c>
      <c r="D125" s="53" t="s">
        <v>42</v>
      </c>
      <c r="E125" s="53" t="s">
        <v>25</v>
      </c>
      <c r="F125" s="53" t="s">
        <v>25</v>
      </c>
      <c r="G125" s="53" t="s">
        <v>25</v>
      </c>
      <c r="H125" s="53" t="s">
        <v>37</v>
      </c>
      <c r="I125" s="72">
        <v>44531</v>
      </c>
      <c r="J125" s="73">
        <f>EFEITO!$J$125*EFEITO!$Y$125/(1-CUSTOS!$M$38)</f>
        <v>0</v>
      </c>
      <c r="K125" s="73">
        <f ca="1">EFEITO!$L$125*EFEITO!$Z$125/(1-CUSTOS!$M$38)</f>
        <v>927.79802366622778</v>
      </c>
      <c r="L125" s="73">
        <f>EFEITO!$N$125*EFEITO!$AA$125/(1-CUSTOS!$M$38)</f>
        <v>602.45651089909279</v>
      </c>
      <c r="M125" s="73">
        <f>$J$125-EFEITO!$K$125*EFEITO!$Y$125</f>
        <v>0</v>
      </c>
      <c r="N125" s="73">
        <f ca="1">$K$125-EFEITO!$M$125*EFEITO!$Z$125</f>
        <v>55.667881419973696</v>
      </c>
      <c r="O125" s="73">
        <f>$L$125-EFEITO!$O$125*EFEITO!$AA$125</f>
        <v>36.147390653945649</v>
      </c>
      <c r="P125" s="57"/>
      <c r="Q125" s="57"/>
      <c r="R125" s="57"/>
      <c r="S125" s="57"/>
      <c r="T125" s="57"/>
      <c r="U125" s="57"/>
      <c r="V125" s="57"/>
      <c r="W125" s="57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spans="1:36" ht="11.25" customHeight="1" x14ac:dyDescent="0.2">
      <c r="A126" s="53" t="s">
        <v>21</v>
      </c>
      <c r="B126" s="53" t="s">
        <v>41</v>
      </c>
      <c r="C126" s="53" t="s">
        <v>39</v>
      </c>
      <c r="D126" s="53" t="s">
        <v>42</v>
      </c>
      <c r="E126" s="53" t="s">
        <v>25</v>
      </c>
      <c r="F126" s="53" t="s">
        <v>25</v>
      </c>
      <c r="G126" s="53" t="s">
        <v>25</v>
      </c>
      <c r="H126" s="53" t="s">
        <v>37</v>
      </c>
      <c r="I126" s="72">
        <v>44562</v>
      </c>
      <c r="J126" s="73">
        <f>EFEITO!$J$126*EFEITO!$Y$126/(1-CUSTOS!$M$38)</f>
        <v>0</v>
      </c>
      <c r="K126" s="73">
        <f ca="1">EFEITO!$L$126*EFEITO!$Z$126/(1-CUSTOS!$M$38)</f>
        <v>390.56857579132213</v>
      </c>
      <c r="L126" s="73">
        <f>EFEITO!$N$126*EFEITO!$AA$126/(1-CUSTOS!$M$38)</f>
        <v>253.61185887017623</v>
      </c>
      <c r="M126" s="73">
        <f>$J$126-EFEITO!$K$126*EFEITO!$Y$126</f>
        <v>0</v>
      </c>
      <c r="N126" s="73">
        <f ca="1">$K$126-EFEITO!$M$126*EFEITO!$Z$126</f>
        <v>23.434114547479339</v>
      </c>
      <c r="O126" s="73">
        <f>$L$126-EFEITO!$O$126*EFEITO!$AA$126</f>
        <v>15.216711532210581</v>
      </c>
      <c r="P126" s="57"/>
      <c r="Q126" s="57"/>
      <c r="R126" s="57"/>
      <c r="S126" s="57"/>
      <c r="T126" s="57"/>
      <c r="U126" s="57"/>
      <c r="V126" s="57"/>
      <c r="W126" s="57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spans="1:36" ht="11.25" customHeight="1" x14ac:dyDescent="0.2">
      <c r="A127" s="53" t="s">
        <v>21</v>
      </c>
      <c r="B127" s="53" t="s">
        <v>41</v>
      </c>
      <c r="C127" s="53" t="s">
        <v>39</v>
      </c>
      <c r="D127" s="53" t="s">
        <v>42</v>
      </c>
      <c r="E127" s="53" t="s">
        <v>25</v>
      </c>
      <c r="F127" s="53" t="s">
        <v>25</v>
      </c>
      <c r="G127" s="53" t="s">
        <v>25</v>
      </c>
      <c r="H127" s="53" t="s">
        <v>37</v>
      </c>
      <c r="I127" s="72">
        <v>44593</v>
      </c>
      <c r="J127" s="73">
        <f>EFEITO!$J$127*EFEITO!$Y$127/(1-CUSTOS!$M$38)</f>
        <v>0</v>
      </c>
      <c r="K127" s="73">
        <f ca="1">EFEITO!$L$127*EFEITO!$Z$127/(1-CUSTOS!$M$38)</f>
        <v>1130.5932457117219</v>
      </c>
      <c r="L127" s="73">
        <f>EFEITO!$N$127*EFEITO!$AA$127/(1-CUSTOS!$M$38)</f>
        <v>734.13959146629963</v>
      </c>
      <c r="M127" s="73">
        <f>$J$127-EFEITO!$K$127*EFEITO!$Y$127</f>
        <v>0</v>
      </c>
      <c r="N127" s="73">
        <f ca="1">$K$127-EFEITO!$M$127*EFEITO!$Z$127</f>
        <v>67.835594742703279</v>
      </c>
      <c r="O127" s="73">
        <f>$L$127-EFEITO!$O$127*EFEITO!$AA$127</f>
        <v>44.048375487977978</v>
      </c>
      <c r="P127" s="57"/>
      <c r="Q127" s="57"/>
      <c r="R127" s="57"/>
      <c r="S127" s="57"/>
      <c r="T127" s="57"/>
      <c r="U127" s="57"/>
      <c r="V127" s="57"/>
      <c r="W127" s="57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spans="1:36" ht="11.25" customHeight="1" x14ac:dyDescent="0.2">
      <c r="A128" s="53" t="s">
        <v>21</v>
      </c>
      <c r="B128" s="53" t="s">
        <v>41</v>
      </c>
      <c r="C128" s="53" t="s">
        <v>39</v>
      </c>
      <c r="D128" s="53" t="s">
        <v>42</v>
      </c>
      <c r="E128" s="53" t="s">
        <v>25</v>
      </c>
      <c r="F128" s="53" t="s">
        <v>25</v>
      </c>
      <c r="G128" s="53" t="s">
        <v>25</v>
      </c>
      <c r="H128" s="53" t="s">
        <v>37</v>
      </c>
      <c r="I128" s="72">
        <v>44621</v>
      </c>
      <c r="J128" s="73">
        <f>EFEITO!$J$128*EFEITO!$Y$128/(1-CUSTOS!$M$38)</f>
        <v>0</v>
      </c>
      <c r="K128" s="73">
        <f ca="1">EFEITO!$L$128*EFEITO!$Z$128/(1-CUSTOS!$M$38)</f>
        <v>1130.5932457117219</v>
      </c>
      <c r="L128" s="73">
        <f>EFEITO!$N$128*EFEITO!$AA$128/(1-CUSTOS!$M$38)</f>
        <v>734.13959146629963</v>
      </c>
      <c r="M128" s="73">
        <f>$J$128-EFEITO!$K$128*EFEITO!$Y$128</f>
        <v>0</v>
      </c>
      <c r="N128" s="73">
        <f ca="1">$K$128-EFEITO!$M$128*EFEITO!$Z$128</f>
        <v>67.835594742703279</v>
      </c>
      <c r="O128" s="73">
        <f>$L$128-EFEITO!$O$128*EFEITO!$AA$128</f>
        <v>44.048375487977978</v>
      </c>
      <c r="P128" s="57"/>
      <c r="Q128" s="57"/>
      <c r="R128" s="57"/>
      <c r="S128" s="57"/>
      <c r="T128" s="57"/>
      <c r="U128" s="57"/>
      <c r="V128" s="57"/>
      <c r="W128" s="57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spans="1:36" ht="11.25" customHeight="1" x14ac:dyDescent="0.2">
      <c r="A129" s="53" t="s">
        <v>21</v>
      </c>
      <c r="B129" s="53" t="s">
        <v>41</v>
      </c>
      <c r="C129" s="53" t="s">
        <v>39</v>
      </c>
      <c r="D129" s="53" t="s">
        <v>42</v>
      </c>
      <c r="E129" s="53" t="s">
        <v>25</v>
      </c>
      <c r="F129" s="53" t="s">
        <v>25</v>
      </c>
      <c r="G129" s="53" t="s">
        <v>25</v>
      </c>
      <c r="H129" s="53" t="s">
        <v>37</v>
      </c>
      <c r="I129" s="72">
        <v>44652</v>
      </c>
      <c r="J129" s="73">
        <f>EFEITO!$J$129*EFEITO!$Y$129/(1-CUSTOS!$M$38)</f>
        <v>0</v>
      </c>
      <c r="K129" s="73">
        <f ca="1">EFEITO!$L$129*EFEITO!$Z$129/(1-CUSTOS!$M$38)</f>
        <v>348.66546948172686</v>
      </c>
      <c r="L129" s="73">
        <f>EFEITO!$N$129*EFEITO!$AA$129/(1-CUSTOS!$M$38)</f>
        <v>226.40248939625044</v>
      </c>
      <c r="M129" s="73">
        <f>$J$129-EFEITO!$K$129*EFEITO!$Y$129</f>
        <v>0</v>
      </c>
      <c r="N129" s="73">
        <f ca="1">$K$129-EFEITO!$M$129*EFEITO!$Z$129</f>
        <v>20.919928168903652</v>
      </c>
      <c r="O129" s="73">
        <f>$L$129-EFEITO!$O$129*EFEITO!$AA$129</f>
        <v>13.584149363775026</v>
      </c>
      <c r="P129" s="57"/>
      <c r="Q129" s="57"/>
      <c r="R129" s="57"/>
      <c r="S129" s="57"/>
      <c r="T129" s="57"/>
      <c r="U129" s="57"/>
      <c r="V129" s="57"/>
      <c r="W129" s="57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 spans="1:36" ht="11.25" customHeight="1" x14ac:dyDescent="0.2">
      <c r="A130" s="53" t="s">
        <v>21</v>
      </c>
      <c r="B130" s="53" t="s">
        <v>41</v>
      </c>
      <c r="C130" s="53" t="s">
        <v>39</v>
      </c>
      <c r="D130" s="53" t="s">
        <v>42</v>
      </c>
      <c r="E130" s="53" t="s">
        <v>25</v>
      </c>
      <c r="F130" s="53" t="s">
        <v>25</v>
      </c>
      <c r="G130" s="53" t="s">
        <v>25</v>
      </c>
      <c r="H130" s="53" t="s">
        <v>40</v>
      </c>
      <c r="I130" s="72">
        <v>44317</v>
      </c>
      <c r="J130" s="73">
        <f>EFEITO!$J$130*EFEITO!$Y$130/(1-CUSTOS!$M$38)</f>
        <v>0</v>
      </c>
      <c r="K130" s="73">
        <f ca="1">EFEITO!$L$130*EFEITO!$Z$130/(1-CUSTOS!$M$38)</f>
        <v>19.911064125466638</v>
      </c>
      <c r="L130" s="73">
        <f>EFEITO!$N$130*EFEITO!$AA$130/(1-CUSTOS!$M$38)</f>
        <v>5.1338432969671315</v>
      </c>
      <c r="M130" s="73">
        <f>$J$130-EFEITO!$K$130*EFEITO!$Y$130</f>
        <v>0</v>
      </c>
      <c r="N130" s="73">
        <f ca="1">$K$130-EFEITO!$M$130*EFEITO!$Z$130</f>
        <v>1.1946638475279983</v>
      </c>
      <c r="O130" s="73">
        <f>$L$130-EFEITO!$O$130*EFEITO!$AA$130</f>
        <v>0.30803059781802844</v>
      </c>
      <c r="P130" s="57"/>
      <c r="Q130" s="57"/>
      <c r="R130" s="57"/>
      <c r="S130" s="57"/>
      <c r="T130" s="57"/>
      <c r="U130" s="57"/>
      <c r="V130" s="57"/>
      <c r="W130" s="57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 spans="1:36" ht="11.25" customHeight="1" x14ac:dyDescent="0.2">
      <c r="A131" s="53" t="s">
        <v>21</v>
      </c>
      <c r="B131" s="53" t="s">
        <v>41</v>
      </c>
      <c r="C131" s="53" t="s">
        <v>39</v>
      </c>
      <c r="D131" s="53" t="s">
        <v>42</v>
      </c>
      <c r="E131" s="53" t="s">
        <v>25</v>
      </c>
      <c r="F131" s="53" t="s">
        <v>25</v>
      </c>
      <c r="G131" s="53" t="s">
        <v>25</v>
      </c>
      <c r="H131" s="53" t="s">
        <v>40</v>
      </c>
      <c r="I131" s="72">
        <v>44348</v>
      </c>
      <c r="J131" s="73">
        <f>EFEITO!$J$131*EFEITO!$Y$131/(1-CUSTOS!$M$38)</f>
        <v>0</v>
      </c>
      <c r="K131" s="73">
        <f ca="1">EFEITO!$L$131*EFEITO!$Z$131/(1-CUSTOS!$M$38)</f>
        <v>19.911064125466638</v>
      </c>
      <c r="L131" s="73">
        <f>EFEITO!$N$131*EFEITO!$AA$131/(1-CUSTOS!$M$38)</f>
        <v>5.1338432969671315</v>
      </c>
      <c r="M131" s="73">
        <f>$J$131-EFEITO!$K$131*EFEITO!$Y$131</f>
        <v>0</v>
      </c>
      <c r="N131" s="73">
        <f ca="1">$K$131-EFEITO!$M$131*EFEITO!$Z$131</f>
        <v>1.1946638475279983</v>
      </c>
      <c r="O131" s="73">
        <f>$L$131-EFEITO!$O$131*EFEITO!$AA$131</f>
        <v>0.30803059781802844</v>
      </c>
      <c r="P131" s="57"/>
      <c r="Q131" s="57"/>
      <c r="R131" s="57"/>
      <c r="S131" s="57"/>
      <c r="T131" s="57"/>
      <c r="U131" s="57"/>
      <c r="V131" s="57"/>
      <c r="W131" s="57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spans="1:36" ht="11.25" customHeight="1" x14ac:dyDescent="0.2">
      <c r="A132" s="53" t="s">
        <v>21</v>
      </c>
      <c r="B132" s="53" t="s">
        <v>41</v>
      </c>
      <c r="C132" s="53" t="s">
        <v>39</v>
      </c>
      <c r="D132" s="53" t="s">
        <v>42</v>
      </c>
      <c r="E132" s="53" t="s">
        <v>25</v>
      </c>
      <c r="F132" s="53" t="s">
        <v>25</v>
      </c>
      <c r="G132" s="53" t="s">
        <v>25</v>
      </c>
      <c r="H132" s="53" t="s">
        <v>40</v>
      </c>
      <c r="I132" s="72">
        <v>44378</v>
      </c>
      <c r="J132" s="73">
        <f>EFEITO!$J$132*EFEITO!$Y$132/(1-CUSTOS!$M$38)</f>
        <v>0</v>
      </c>
      <c r="K132" s="73">
        <f ca="1">EFEITO!$L$132*EFEITO!$Z$132/(1-CUSTOS!$M$38)</f>
        <v>18.915510919193306</v>
      </c>
      <c r="L132" s="73">
        <f>EFEITO!$N$132*EFEITO!$AA$132/(1-CUSTOS!$M$38)</f>
        <v>4.8771511321187742</v>
      </c>
      <c r="M132" s="73">
        <f>$J$132-EFEITO!$K$132*EFEITO!$Y$132</f>
        <v>0</v>
      </c>
      <c r="N132" s="73">
        <f ca="1">$K$132-EFEITO!$M$132*EFEITO!$Z$132</f>
        <v>1.1349306551515994</v>
      </c>
      <c r="O132" s="73">
        <f>$L$132-EFEITO!$O$132*EFEITO!$AA$132</f>
        <v>0.29262906792712684</v>
      </c>
      <c r="P132" s="57"/>
      <c r="Q132" s="57"/>
      <c r="R132" s="57"/>
      <c r="S132" s="57"/>
      <c r="T132" s="57"/>
      <c r="U132" s="57"/>
      <c r="V132" s="57"/>
      <c r="W132" s="57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 spans="1:36" ht="11.25" customHeight="1" x14ac:dyDescent="0.2">
      <c r="A133" s="53" t="s">
        <v>21</v>
      </c>
      <c r="B133" s="53" t="s">
        <v>41</v>
      </c>
      <c r="C133" s="53" t="s">
        <v>39</v>
      </c>
      <c r="D133" s="53" t="s">
        <v>42</v>
      </c>
      <c r="E133" s="53" t="s">
        <v>25</v>
      </c>
      <c r="F133" s="53" t="s">
        <v>25</v>
      </c>
      <c r="G133" s="53" t="s">
        <v>25</v>
      </c>
      <c r="H133" s="53" t="s">
        <v>40</v>
      </c>
      <c r="I133" s="72">
        <v>44409</v>
      </c>
      <c r="J133" s="73">
        <f>EFEITO!$J$133*EFEITO!$Y$133/(1-CUSTOS!$M$38)</f>
        <v>0</v>
      </c>
      <c r="K133" s="73">
        <f ca="1">EFEITO!$L$133*EFEITO!$Z$133/(1-CUSTOS!$M$38)</f>
        <v>20.90661733173997</v>
      </c>
      <c r="L133" s="73">
        <f>EFEITO!$N$133*EFEITO!$AA$133/(1-CUSTOS!$M$38)</f>
        <v>5.390535461815487</v>
      </c>
      <c r="M133" s="73">
        <f>$J$133-EFEITO!$K$133*EFEITO!$Y$133</f>
        <v>0</v>
      </c>
      <c r="N133" s="73">
        <f ca="1">$K$133-EFEITO!$M$133*EFEITO!$Z$133</f>
        <v>1.2543970399044007</v>
      </c>
      <c r="O133" s="73">
        <f>$L$133-EFEITO!$O$133*EFEITO!$AA$133</f>
        <v>0.32343212770892915</v>
      </c>
      <c r="P133" s="57"/>
      <c r="Q133" s="57"/>
      <c r="R133" s="57"/>
      <c r="S133" s="57"/>
      <c r="T133" s="57"/>
      <c r="U133" s="57"/>
      <c r="V133" s="57"/>
      <c r="W133" s="57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 spans="1:36" ht="11.25" customHeight="1" x14ac:dyDescent="0.2">
      <c r="A134" s="53" t="s">
        <v>21</v>
      </c>
      <c r="B134" s="53" t="s">
        <v>41</v>
      </c>
      <c r="C134" s="53" t="s">
        <v>39</v>
      </c>
      <c r="D134" s="53" t="s">
        <v>42</v>
      </c>
      <c r="E134" s="53" t="s">
        <v>25</v>
      </c>
      <c r="F134" s="53" t="s">
        <v>25</v>
      </c>
      <c r="G134" s="53" t="s">
        <v>25</v>
      </c>
      <c r="H134" s="53" t="s">
        <v>40</v>
      </c>
      <c r="I134" s="72">
        <v>44440</v>
      </c>
      <c r="J134" s="73">
        <f>EFEITO!$J$134*EFEITO!$Y$134/(1-CUSTOS!$M$38)</f>
        <v>0</v>
      </c>
      <c r="K134" s="73">
        <f ca="1">EFEITO!$L$134*EFEITO!$Z$134/(1-CUSTOS!$M$38)</f>
        <v>24.888830156833297</v>
      </c>
      <c r="L134" s="73">
        <f>EFEITO!$N$134*EFEITO!$AA$134/(1-CUSTOS!$M$38)</f>
        <v>6.4173041212089137</v>
      </c>
      <c r="M134" s="73">
        <f>$J$134-EFEITO!$K$134*EFEITO!$Y$134</f>
        <v>0</v>
      </c>
      <c r="N134" s="73">
        <f ca="1">$K$134-EFEITO!$M$134*EFEITO!$Z$134</f>
        <v>1.4933298094099996</v>
      </c>
      <c r="O134" s="73">
        <f>$L$134-EFEITO!$O$134*EFEITO!$AA$134</f>
        <v>0.38503824727253555</v>
      </c>
      <c r="P134" s="57"/>
      <c r="Q134" s="57"/>
      <c r="R134" s="57"/>
      <c r="S134" s="57"/>
      <c r="T134" s="57"/>
      <c r="U134" s="57"/>
      <c r="V134" s="57"/>
      <c r="W134" s="57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 spans="1:36" ht="11.25" customHeight="1" x14ac:dyDescent="0.2">
      <c r="A135" s="53" t="s">
        <v>21</v>
      </c>
      <c r="B135" s="53" t="s">
        <v>41</v>
      </c>
      <c r="C135" s="53" t="s">
        <v>39</v>
      </c>
      <c r="D135" s="53" t="s">
        <v>42</v>
      </c>
      <c r="E135" s="53" t="s">
        <v>25</v>
      </c>
      <c r="F135" s="53" t="s">
        <v>25</v>
      </c>
      <c r="G135" s="53" t="s">
        <v>25</v>
      </c>
      <c r="H135" s="53" t="s">
        <v>40</v>
      </c>
      <c r="I135" s="72">
        <v>44470</v>
      </c>
      <c r="J135" s="73">
        <f>EFEITO!$J$135*EFEITO!$Y$135/(1-CUSTOS!$M$38)</f>
        <v>0</v>
      </c>
      <c r="K135" s="73">
        <f ca="1">EFEITO!$L$135*EFEITO!$Z$135/(1-CUSTOS!$M$38)</f>
        <v>38.82657504465994</v>
      </c>
      <c r="L135" s="73">
        <f>EFEITO!$N$135*EFEITO!$AA$135/(1-CUSTOS!$M$38)</f>
        <v>10.010994429085905</v>
      </c>
      <c r="M135" s="73">
        <f>$J$135-EFEITO!$K$135*EFEITO!$Y$135</f>
        <v>0</v>
      </c>
      <c r="N135" s="73">
        <f ca="1">$K$135-EFEITO!$M$135*EFEITO!$Z$135</f>
        <v>2.3295945026795977</v>
      </c>
      <c r="O135" s="73">
        <f>$L$135-EFEITO!$O$135*EFEITO!$AA$135</f>
        <v>0.60065966574515528</v>
      </c>
      <c r="P135" s="57"/>
      <c r="Q135" s="57"/>
      <c r="R135" s="57"/>
      <c r="S135" s="57"/>
      <c r="T135" s="57"/>
      <c r="U135" s="57"/>
      <c r="V135" s="57"/>
      <c r="W135" s="57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 spans="1:36" ht="11.25" customHeight="1" x14ac:dyDescent="0.2">
      <c r="A136" s="53" t="s">
        <v>21</v>
      </c>
      <c r="B136" s="53" t="s">
        <v>41</v>
      </c>
      <c r="C136" s="53" t="s">
        <v>39</v>
      </c>
      <c r="D136" s="53" t="s">
        <v>42</v>
      </c>
      <c r="E136" s="53" t="s">
        <v>25</v>
      </c>
      <c r="F136" s="53" t="s">
        <v>25</v>
      </c>
      <c r="G136" s="53" t="s">
        <v>25</v>
      </c>
      <c r="H136" s="53" t="s">
        <v>40</v>
      </c>
      <c r="I136" s="72">
        <v>44501</v>
      </c>
      <c r="J136" s="73">
        <f>EFEITO!$J$136*EFEITO!$Y$136/(1-CUSTOS!$M$38)</f>
        <v>0</v>
      </c>
      <c r="K136" s="73">
        <f ca="1">EFEITO!$L$136*EFEITO!$Z$136/(1-CUSTOS!$M$38)</f>
        <v>51.768766726213251</v>
      </c>
      <c r="L136" s="73">
        <f>EFEITO!$N$136*EFEITO!$AA$136/(1-CUSTOS!$M$38)</f>
        <v>13.347992572114538</v>
      </c>
      <c r="M136" s="73">
        <f>$J$136-EFEITO!$K$136*EFEITO!$Y$136</f>
        <v>0</v>
      </c>
      <c r="N136" s="73">
        <f ca="1">$K$136-EFEITO!$M$136*EFEITO!$Z$136</f>
        <v>3.1061260035727969</v>
      </c>
      <c r="O136" s="73">
        <f>$L$136-EFEITO!$O$136*EFEITO!$AA$136</f>
        <v>0.80087955432687252</v>
      </c>
      <c r="P136" s="57"/>
      <c r="Q136" s="57"/>
      <c r="R136" s="57"/>
      <c r="S136" s="57"/>
      <c r="T136" s="57"/>
      <c r="U136" s="57"/>
      <c r="V136" s="57"/>
      <c r="W136" s="57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r="137" spans="1:36" ht="11.25" customHeight="1" x14ac:dyDescent="0.2">
      <c r="A137" s="53" t="s">
        <v>21</v>
      </c>
      <c r="B137" s="53" t="s">
        <v>41</v>
      </c>
      <c r="C137" s="53" t="s">
        <v>39</v>
      </c>
      <c r="D137" s="53" t="s">
        <v>42</v>
      </c>
      <c r="E137" s="53" t="s">
        <v>25</v>
      </c>
      <c r="F137" s="53" t="s">
        <v>25</v>
      </c>
      <c r="G137" s="53" t="s">
        <v>25</v>
      </c>
      <c r="H137" s="53" t="s">
        <v>40</v>
      </c>
      <c r="I137" s="72">
        <v>44531</v>
      </c>
      <c r="J137" s="73">
        <f>EFEITO!$J$137*EFEITO!$Y$137/(1-CUSTOS!$M$38)</f>
        <v>0</v>
      </c>
      <c r="K137" s="73">
        <f ca="1">EFEITO!$L$137*EFEITO!$Z$137/(1-CUSTOS!$M$38)</f>
        <v>99.555320627333188</v>
      </c>
      <c r="L137" s="73">
        <f>EFEITO!$N$137*EFEITO!$AA$137/(1-CUSTOS!$M$38)</f>
        <v>25.669216484835655</v>
      </c>
      <c r="M137" s="73">
        <f>$J$137-EFEITO!$K$137*EFEITO!$Y$137</f>
        <v>0</v>
      </c>
      <c r="N137" s="73">
        <f ca="1">$K$137-EFEITO!$M$137*EFEITO!$Z$137</f>
        <v>5.9733192376399984</v>
      </c>
      <c r="O137" s="73">
        <f>$L$137-EFEITO!$O$137*EFEITO!$AA$137</f>
        <v>1.5401529890901422</v>
      </c>
      <c r="P137" s="57"/>
      <c r="Q137" s="57"/>
      <c r="R137" s="57"/>
      <c r="S137" s="57"/>
      <c r="T137" s="57"/>
      <c r="U137" s="57"/>
      <c r="V137" s="57"/>
      <c r="W137" s="57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r="138" spans="1:36" ht="11.25" customHeight="1" x14ac:dyDescent="0.2">
      <c r="A138" s="53" t="s">
        <v>21</v>
      </c>
      <c r="B138" s="53" t="s">
        <v>41</v>
      </c>
      <c r="C138" s="53" t="s">
        <v>39</v>
      </c>
      <c r="D138" s="53" t="s">
        <v>42</v>
      </c>
      <c r="E138" s="53" t="s">
        <v>25</v>
      </c>
      <c r="F138" s="53" t="s">
        <v>25</v>
      </c>
      <c r="G138" s="53" t="s">
        <v>25</v>
      </c>
      <c r="H138" s="53" t="s">
        <v>40</v>
      </c>
      <c r="I138" s="72">
        <v>44562</v>
      </c>
      <c r="J138" s="73">
        <f>EFEITO!$J$138*EFEITO!$Y$138/(1-CUSTOS!$M$38)</f>
        <v>0</v>
      </c>
      <c r="K138" s="73">
        <f ca="1">EFEITO!$L$138*EFEITO!$Z$138/(1-CUSTOS!$M$38)</f>
        <v>41.813234663479939</v>
      </c>
      <c r="L138" s="73">
        <f>EFEITO!$N$138*EFEITO!$AA$138/(1-CUSTOS!$M$38)</f>
        <v>10.781070923630974</v>
      </c>
      <c r="M138" s="73">
        <f>$J$138-EFEITO!$K$138*EFEITO!$Y$138</f>
        <v>0</v>
      </c>
      <c r="N138" s="73">
        <f ca="1">$K$138-EFEITO!$M$138*EFEITO!$Z$138</f>
        <v>2.5087940798088013</v>
      </c>
      <c r="O138" s="73">
        <f>$L$138-EFEITO!$O$138*EFEITO!$AA$138</f>
        <v>0.6468642554178583</v>
      </c>
      <c r="P138" s="57"/>
      <c r="Q138" s="57"/>
      <c r="R138" s="57"/>
      <c r="S138" s="57"/>
      <c r="T138" s="57"/>
      <c r="U138" s="57"/>
      <c r="V138" s="57"/>
      <c r="W138" s="57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 spans="1:36" ht="11.25" customHeight="1" x14ac:dyDescent="0.2">
      <c r="A139" s="53" t="s">
        <v>21</v>
      </c>
      <c r="B139" s="53" t="s">
        <v>41</v>
      </c>
      <c r="C139" s="53" t="s">
        <v>39</v>
      </c>
      <c r="D139" s="53" t="s">
        <v>42</v>
      </c>
      <c r="E139" s="53" t="s">
        <v>25</v>
      </c>
      <c r="F139" s="53" t="s">
        <v>25</v>
      </c>
      <c r="G139" s="53" t="s">
        <v>25</v>
      </c>
      <c r="H139" s="53" t="s">
        <v>40</v>
      </c>
      <c r="I139" s="72">
        <v>44593</v>
      </c>
      <c r="J139" s="73">
        <f>EFEITO!$J$139*EFEITO!$Y$139/(1-CUSTOS!$M$38)</f>
        <v>0</v>
      </c>
      <c r="K139" s="73">
        <f ca="1">EFEITO!$L$139*EFEITO!$Z$139/(1-CUSTOS!$M$38)</f>
        <v>104.53308665869983</v>
      </c>
      <c r="L139" s="73">
        <f>EFEITO!$N$139*EFEITO!$AA$139/(1-CUSTOS!$M$38)</f>
        <v>26.952677309077433</v>
      </c>
      <c r="M139" s="73">
        <f>$J$139-EFEITO!$K$139*EFEITO!$Y$139</f>
        <v>0</v>
      </c>
      <c r="N139" s="73">
        <f ca="1">$K$139-EFEITO!$M$139*EFEITO!$Z$139</f>
        <v>6.2719851995219926</v>
      </c>
      <c r="O139" s="73">
        <f>$L$139-EFEITO!$O$139*EFEITO!$AA$139</f>
        <v>1.6171606385446466</v>
      </c>
      <c r="P139" s="57"/>
      <c r="Q139" s="57"/>
      <c r="R139" s="57"/>
      <c r="S139" s="57"/>
      <c r="T139" s="57"/>
      <c r="U139" s="57"/>
      <c r="V139" s="57"/>
      <c r="W139" s="57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 spans="1:36" ht="11.25" customHeight="1" x14ac:dyDescent="0.2">
      <c r="A140" s="53" t="s">
        <v>21</v>
      </c>
      <c r="B140" s="53" t="s">
        <v>41</v>
      </c>
      <c r="C140" s="53" t="s">
        <v>39</v>
      </c>
      <c r="D140" s="53" t="s">
        <v>42</v>
      </c>
      <c r="E140" s="53" t="s">
        <v>25</v>
      </c>
      <c r="F140" s="53" t="s">
        <v>25</v>
      </c>
      <c r="G140" s="53" t="s">
        <v>25</v>
      </c>
      <c r="H140" s="53" t="s">
        <v>40</v>
      </c>
      <c r="I140" s="72">
        <v>44621</v>
      </c>
      <c r="J140" s="73">
        <f>EFEITO!$J$140*EFEITO!$Y$140/(1-CUSTOS!$M$38)</f>
        <v>0</v>
      </c>
      <c r="K140" s="73">
        <f ca="1">EFEITO!$L$140*EFEITO!$Z$140/(1-CUSTOS!$M$38)</f>
        <v>84.622022533233221</v>
      </c>
      <c r="L140" s="73">
        <f>EFEITO!$N$140*EFEITO!$AA$140/(1-CUSTOS!$M$38)</f>
        <v>21.818834012110305</v>
      </c>
      <c r="M140" s="73">
        <f>$J$140-EFEITO!$K$140*EFEITO!$Y$140</f>
        <v>0</v>
      </c>
      <c r="N140" s="73">
        <f ca="1">$K$140-EFEITO!$M$140*EFEITO!$Z$140</f>
        <v>5.0773213519940015</v>
      </c>
      <c r="O140" s="73">
        <f>$L$140-EFEITO!$O$140*EFEITO!$AA$140</f>
        <v>1.3091300407266182</v>
      </c>
      <c r="P140" s="57"/>
      <c r="Q140" s="57"/>
      <c r="R140" s="57"/>
      <c r="S140" s="57"/>
      <c r="T140" s="57"/>
      <c r="U140" s="57"/>
      <c r="V140" s="57"/>
      <c r="W140" s="57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 spans="1:36" ht="11.25" customHeight="1" x14ac:dyDescent="0.2">
      <c r="A141" s="53" t="s">
        <v>21</v>
      </c>
      <c r="B141" s="53" t="s">
        <v>41</v>
      </c>
      <c r="C141" s="53" t="s">
        <v>39</v>
      </c>
      <c r="D141" s="53" t="s">
        <v>42</v>
      </c>
      <c r="E141" s="53" t="s">
        <v>25</v>
      </c>
      <c r="F141" s="53" t="s">
        <v>25</v>
      </c>
      <c r="G141" s="53" t="s">
        <v>25</v>
      </c>
      <c r="H141" s="53" t="s">
        <v>40</v>
      </c>
      <c r="I141" s="72">
        <v>44652</v>
      </c>
      <c r="J141" s="73">
        <f>EFEITO!$J$141*EFEITO!$Y$141/(1-CUSTOS!$M$38)</f>
        <v>0</v>
      </c>
      <c r="K141" s="73">
        <f ca="1">EFEITO!$L$141*EFEITO!$Z$141/(1-CUSTOS!$M$38)</f>
        <v>26.879936569379957</v>
      </c>
      <c r="L141" s="73">
        <f>EFEITO!$N$141*EFEITO!$AA$141/(1-CUSTOS!$M$38)</f>
        <v>6.9306884509056266</v>
      </c>
      <c r="M141" s="73">
        <f>$J$141-EFEITO!$K$141*EFEITO!$Y$141</f>
        <v>0</v>
      </c>
      <c r="N141" s="73">
        <f ca="1">$K$141-EFEITO!$M$141*EFEITO!$Z$141</f>
        <v>1.6127961941627973</v>
      </c>
      <c r="O141" s="73">
        <f>$L$141-EFEITO!$O$141*EFEITO!$AA$141</f>
        <v>0.41584130705433786</v>
      </c>
      <c r="P141" s="57"/>
      <c r="Q141" s="57"/>
      <c r="R141" s="57"/>
      <c r="S141" s="57"/>
      <c r="T141" s="57"/>
      <c r="U141" s="57"/>
      <c r="V141" s="57"/>
      <c r="W141" s="57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 spans="1:36" ht="11.25" customHeight="1" x14ac:dyDescent="0.2">
      <c r="A142" s="53" t="s">
        <v>21</v>
      </c>
      <c r="B142" s="53" t="s">
        <v>41</v>
      </c>
      <c r="C142" s="53" t="s">
        <v>39</v>
      </c>
      <c r="D142" s="53" t="s">
        <v>42</v>
      </c>
      <c r="E142" s="53" t="s">
        <v>25</v>
      </c>
      <c r="F142" s="53" t="s">
        <v>25</v>
      </c>
      <c r="G142" s="53" t="s">
        <v>25</v>
      </c>
      <c r="H142" s="53" t="s">
        <v>25</v>
      </c>
      <c r="I142" s="72">
        <v>44317</v>
      </c>
      <c r="J142" s="73">
        <f>EFEITO!$J$142*EFEITO!$Y$142/(1-CUSTOS!$M$38)</f>
        <v>0</v>
      </c>
      <c r="K142" s="73">
        <f ca="1">EFEITO!$L$142*EFEITO!$Z$142/(1-CUSTOS!$M$38)</f>
        <v>221.72894755409925</v>
      </c>
      <c r="L142" s="73">
        <f>EFEITO!$N$142*EFEITO!$AA$142/(1-CUSTOS!$M$38)</f>
        <v>86.505259553896153</v>
      </c>
      <c r="M142" s="73">
        <f>$J$142-EFEITO!$K$142*EFEITO!$Y$142</f>
        <v>0</v>
      </c>
      <c r="N142" s="73">
        <f ca="1">$K$142-EFEITO!$M$142*EFEITO!$Z$142</f>
        <v>13.303736853245965</v>
      </c>
      <c r="O142" s="73">
        <f>$L$142-EFEITO!$O$142*EFEITO!$AA$142</f>
        <v>5.1903155732337751</v>
      </c>
      <c r="P142" s="57"/>
      <c r="Q142" s="57"/>
      <c r="R142" s="57"/>
      <c r="S142" s="57"/>
      <c r="T142" s="57"/>
      <c r="U142" s="57"/>
      <c r="V142" s="57"/>
      <c r="W142" s="57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 spans="1:36" ht="11.25" customHeight="1" x14ac:dyDescent="0.2">
      <c r="A143" s="53" t="s">
        <v>21</v>
      </c>
      <c r="B143" s="53" t="s">
        <v>41</v>
      </c>
      <c r="C143" s="53" t="s">
        <v>39</v>
      </c>
      <c r="D143" s="53" t="s">
        <v>42</v>
      </c>
      <c r="E143" s="53" t="s">
        <v>25</v>
      </c>
      <c r="F143" s="53" t="s">
        <v>25</v>
      </c>
      <c r="G143" s="53" t="s">
        <v>25</v>
      </c>
      <c r="H143" s="53" t="s">
        <v>25</v>
      </c>
      <c r="I143" s="72">
        <v>44348</v>
      </c>
      <c r="J143" s="73">
        <f>EFEITO!$J$143*EFEITO!$Y$143/(1-CUSTOS!$M$38)</f>
        <v>0</v>
      </c>
      <c r="K143" s="73">
        <f ca="1">EFEITO!$L$143*EFEITO!$Z$143/(1-CUSTOS!$M$38)</f>
        <v>241.46742953220897</v>
      </c>
      <c r="L143" s="73">
        <f>EFEITO!$N$143*EFEITO!$AA$143/(1-CUSTOS!$M$38)</f>
        <v>94.206024499346839</v>
      </c>
      <c r="M143" s="73">
        <f>$J$143-EFEITO!$K$143*EFEITO!$Y$143</f>
        <v>0</v>
      </c>
      <c r="N143" s="73">
        <f ca="1">$K$143-EFEITO!$M$143*EFEITO!$Z$143</f>
        <v>14.488045771932548</v>
      </c>
      <c r="O143" s="73">
        <f>$L$143-EFEITO!$O$143*EFEITO!$AA$143</f>
        <v>5.6523614699608089</v>
      </c>
      <c r="P143" s="57"/>
      <c r="Q143" s="57"/>
      <c r="R143" s="57"/>
      <c r="S143" s="57"/>
      <c r="T143" s="57"/>
      <c r="U143" s="57"/>
      <c r="V143" s="57"/>
      <c r="W143" s="57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 spans="1:36" ht="11.25" customHeight="1" x14ac:dyDescent="0.2">
      <c r="A144" s="53" t="s">
        <v>21</v>
      </c>
      <c r="B144" s="53" t="s">
        <v>41</v>
      </c>
      <c r="C144" s="53" t="s">
        <v>39</v>
      </c>
      <c r="D144" s="53" t="s">
        <v>42</v>
      </c>
      <c r="E144" s="53" t="s">
        <v>25</v>
      </c>
      <c r="F144" s="53" t="s">
        <v>25</v>
      </c>
      <c r="G144" s="53" t="s">
        <v>25</v>
      </c>
      <c r="H144" s="53" t="s">
        <v>25</v>
      </c>
      <c r="I144" s="72">
        <v>44378</v>
      </c>
      <c r="J144" s="73">
        <f>EFEITO!$J$144*EFEITO!$Y$144/(1-CUSTOS!$M$38)</f>
        <v>0</v>
      </c>
      <c r="K144" s="73">
        <f ca="1">EFEITO!$L$144*EFEITO!$Z$144/(1-CUSTOS!$M$38)</f>
        <v>182.25198359787981</v>
      </c>
      <c r="L144" s="73">
        <f>EFEITO!$N$144*EFEITO!$AA$144/(1-CUSTOS!$M$38)</f>
        <v>71.103729662994766</v>
      </c>
      <c r="M144" s="73">
        <f>$J$144-EFEITO!$K$144*EFEITO!$Y$144</f>
        <v>0</v>
      </c>
      <c r="N144" s="73">
        <f ca="1">$K$144-EFEITO!$M$144*EFEITO!$Z$144</f>
        <v>10.9351190158728</v>
      </c>
      <c r="O144" s="73">
        <f>$L$144-EFEITO!$O$144*EFEITO!$AA$144</f>
        <v>4.2662237797796934</v>
      </c>
      <c r="P144" s="57"/>
      <c r="Q144" s="57"/>
      <c r="R144" s="57"/>
      <c r="S144" s="57"/>
      <c r="T144" s="57"/>
      <c r="U144" s="57"/>
      <c r="V144" s="57"/>
      <c r="W144" s="57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 spans="1:36" ht="11.25" customHeight="1" x14ac:dyDescent="0.2">
      <c r="A145" s="53" t="s">
        <v>21</v>
      </c>
      <c r="B145" s="53" t="s">
        <v>41</v>
      </c>
      <c r="C145" s="53" t="s">
        <v>39</v>
      </c>
      <c r="D145" s="53" t="s">
        <v>42</v>
      </c>
      <c r="E145" s="53" t="s">
        <v>25</v>
      </c>
      <c r="F145" s="53" t="s">
        <v>25</v>
      </c>
      <c r="G145" s="53" t="s">
        <v>25</v>
      </c>
      <c r="H145" s="53" t="s">
        <v>25</v>
      </c>
      <c r="I145" s="72">
        <v>44409</v>
      </c>
      <c r="J145" s="73">
        <f>EFEITO!$J$145*EFEITO!$Y$145/(1-CUSTOS!$M$38)</f>
        <v>0</v>
      </c>
      <c r="K145" s="73">
        <f ca="1">EFEITO!$L$145*EFEITO!$Z$145/(1-CUSTOS!$M$38)</f>
        <v>177.64633780298755</v>
      </c>
      <c r="L145" s="73">
        <f>EFEITO!$N$145*EFEITO!$AA$145/(1-CUSTOS!$M$38)</f>
        <v>69.30688450905626</v>
      </c>
      <c r="M145" s="73">
        <f>$J$145-EFEITO!$K$145*EFEITO!$Y$145</f>
        <v>0</v>
      </c>
      <c r="N145" s="73">
        <f ca="1">$K$145-EFEITO!$M$145*EFEITO!$Z$145</f>
        <v>10.658780268179271</v>
      </c>
      <c r="O145" s="73">
        <f>$L$145-EFEITO!$O$145*EFEITO!$AA$145</f>
        <v>4.1584130705433751</v>
      </c>
      <c r="P145" s="57"/>
      <c r="Q145" s="57"/>
      <c r="R145" s="57"/>
      <c r="S145" s="57"/>
      <c r="T145" s="57"/>
      <c r="U145" s="57"/>
      <c r="V145" s="57"/>
      <c r="W145" s="57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 spans="1:36" ht="11.25" customHeight="1" x14ac:dyDescent="0.2">
      <c r="A146" s="53" t="s">
        <v>21</v>
      </c>
      <c r="B146" s="53" t="s">
        <v>41</v>
      </c>
      <c r="C146" s="53" t="s">
        <v>39</v>
      </c>
      <c r="D146" s="53" t="s">
        <v>42</v>
      </c>
      <c r="E146" s="53" t="s">
        <v>25</v>
      </c>
      <c r="F146" s="53" t="s">
        <v>25</v>
      </c>
      <c r="G146" s="53" t="s">
        <v>25</v>
      </c>
      <c r="H146" s="53" t="s">
        <v>25</v>
      </c>
      <c r="I146" s="72">
        <v>44440</v>
      </c>
      <c r="J146" s="73">
        <f>EFEITO!$J$146*EFEITO!$Y$146/(1-CUSTOS!$M$38)</f>
        <v>0</v>
      </c>
      <c r="K146" s="73">
        <f ca="1">EFEITO!$L$146*EFEITO!$Z$146/(1-CUSTOS!$M$38)</f>
        <v>101.32420748762992</v>
      </c>
      <c r="L146" s="73">
        <f>EFEITO!$N$146*EFEITO!$AA$146/(1-CUSTOS!$M$38)</f>
        <v>39.530593386646906</v>
      </c>
      <c r="M146" s="73">
        <f>$J$146-EFEITO!$K$146*EFEITO!$Y$146</f>
        <v>0</v>
      </c>
      <c r="N146" s="73">
        <f ca="1">$K$146-EFEITO!$M$146*EFEITO!$Z$146</f>
        <v>6.0794524492578006</v>
      </c>
      <c r="O146" s="73">
        <f>$L$146-EFEITO!$O$146*EFEITO!$AA$146</f>
        <v>2.3718356031988179</v>
      </c>
      <c r="P146" s="57"/>
      <c r="Q146" s="57"/>
      <c r="R146" s="57"/>
      <c r="S146" s="57"/>
      <c r="T146" s="57"/>
      <c r="U146" s="57"/>
      <c r="V146" s="57"/>
      <c r="W146" s="57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 spans="1:36" ht="11.25" customHeight="1" x14ac:dyDescent="0.2">
      <c r="A147" s="53" t="s">
        <v>21</v>
      </c>
      <c r="B147" s="53" t="s">
        <v>41</v>
      </c>
      <c r="C147" s="53" t="s">
        <v>39</v>
      </c>
      <c r="D147" s="53" t="s">
        <v>42</v>
      </c>
      <c r="E147" s="53" t="s">
        <v>25</v>
      </c>
      <c r="F147" s="53" t="s">
        <v>25</v>
      </c>
      <c r="G147" s="53" t="s">
        <v>25</v>
      </c>
      <c r="H147" s="53" t="s">
        <v>25</v>
      </c>
      <c r="I147" s="72">
        <v>44470</v>
      </c>
      <c r="J147" s="73">
        <f>EFEITO!$J$147*EFEITO!$Y$147/(1-CUSTOS!$M$38)</f>
        <v>0</v>
      </c>
      <c r="K147" s="73">
        <f ca="1">EFEITO!$L$147*EFEITO!$Z$147/(1-CUSTOS!$M$38)</f>
        <v>58.557496535058853</v>
      </c>
      <c r="L147" s="73">
        <f>EFEITO!$N$147*EFEITO!$AA$147/(1-CUSTOS!$M$38)</f>
        <v>22.84560267150373</v>
      </c>
      <c r="M147" s="73">
        <f>$J$147-EFEITO!$K$147*EFEITO!$Y$147</f>
        <v>0</v>
      </c>
      <c r="N147" s="73">
        <f ca="1">$K$147-EFEITO!$M$147*EFEITO!$Z$147</f>
        <v>3.5134497921035361</v>
      </c>
      <c r="O147" s="73">
        <f>$L$147-EFEITO!$O$147*EFEITO!$AA$147</f>
        <v>1.3707361602902246</v>
      </c>
      <c r="P147" s="57"/>
      <c r="Q147" s="57"/>
      <c r="R147" s="57"/>
      <c r="S147" s="57"/>
      <c r="T147" s="57"/>
      <c r="U147" s="57"/>
      <c r="V147" s="57"/>
      <c r="W147" s="57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 spans="1:36" ht="11.25" customHeight="1" x14ac:dyDescent="0.2">
      <c r="A148" s="53" t="s">
        <v>21</v>
      </c>
      <c r="B148" s="53" t="s">
        <v>41</v>
      </c>
      <c r="C148" s="53" t="s">
        <v>39</v>
      </c>
      <c r="D148" s="53" t="s">
        <v>42</v>
      </c>
      <c r="E148" s="53" t="s">
        <v>25</v>
      </c>
      <c r="F148" s="53" t="s">
        <v>25</v>
      </c>
      <c r="G148" s="53" t="s">
        <v>25</v>
      </c>
      <c r="H148" s="53" t="s">
        <v>25</v>
      </c>
      <c r="I148" s="72">
        <v>44501</v>
      </c>
      <c r="J148" s="73">
        <f>EFEITO!$J$148*EFEITO!$Y$148/(1-CUSTOS!$M$38)</f>
        <v>0</v>
      </c>
      <c r="K148" s="73">
        <f ca="1">EFEITO!$L$148*EFEITO!$Z$148/(1-CUSTOS!$M$38)</f>
        <v>84.21752310660149</v>
      </c>
      <c r="L148" s="73">
        <f>EFEITO!$N$148*EFEITO!$AA$148/(1-CUSTOS!$M$38)</f>
        <v>32.856597100589632</v>
      </c>
      <c r="M148" s="73">
        <f>$J$148-EFEITO!$K$148*EFEITO!$Y$148</f>
        <v>0</v>
      </c>
      <c r="N148" s="73">
        <f ca="1">$K$148-EFEITO!$M$148*EFEITO!$Z$148</f>
        <v>5.053051386396092</v>
      </c>
      <c r="O148" s="73">
        <f>$L$148-EFEITO!$O$148*EFEITO!$AA$148</f>
        <v>1.9713958260353763</v>
      </c>
      <c r="P148" s="57"/>
      <c r="Q148" s="57"/>
      <c r="R148" s="57"/>
      <c r="S148" s="57"/>
      <c r="T148" s="57"/>
      <c r="U148" s="57"/>
      <c r="V148" s="57"/>
      <c r="W148" s="57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 spans="1:36" ht="11.25" customHeight="1" x14ac:dyDescent="0.2">
      <c r="A149" s="53" t="s">
        <v>21</v>
      </c>
      <c r="B149" s="53" t="s">
        <v>41</v>
      </c>
      <c r="C149" s="53" t="s">
        <v>39</v>
      </c>
      <c r="D149" s="53" t="s">
        <v>42</v>
      </c>
      <c r="E149" s="53" t="s">
        <v>25</v>
      </c>
      <c r="F149" s="53" t="s">
        <v>25</v>
      </c>
      <c r="G149" s="53" t="s">
        <v>25</v>
      </c>
      <c r="H149" s="53" t="s">
        <v>25</v>
      </c>
      <c r="I149" s="72">
        <v>44531</v>
      </c>
      <c r="J149" s="73">
        <f>EFEITO!$J$149*EFEITO!$Y$149/(1-CUSTOS!$M$38)</f>
        <v>0</v>
      </c>
      <c r="K149" s="73">
        <f ca="1">EFEITO!$L$149*EFEITO!$Z$149/(1-CUSTOS!$M$38)</f>
        <v>37.503115758408477</v>
      </c>
      <c r="L149" s="73">
        <f>EFEITO!$N$149*EFEITO!$AA$149/(1-CUSTOS!$M$38)</f>
        <v>14.631453396356322</v>
      </c>
      <c r="M149" s="73">
        <f>$J$149-EFEITO!$K$149*EFEITO!$Y$149</f>
        <v>0</v>
      </c>
      <c r="N149" s="73">
        <f ca="1">$K$149-EFEITO!$M$149*EFEITO!$Z$149</f>
        <v>2.2501869455045096</v>
      </c>
      <c r="O149" s="73">
        <f>$L$149-EFEITO!$O$149*EFEITO!$AA$149</f>
        <v>0.87788720378138052</v>
      </c>
      <c r="P149" s="57"/>
      <c r="Q149" s="57"/>
      <c r="R149" s="57"/>
      <c r="S149" s="57"/>
      <c r="T149" s="57"/>
      <c r="U149" s="57"/>
      <c r="V149" s="57"/>
      <c r="W149" s="57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 spans="1:36" ht="11.25" customHeight="1" x14ac:dyDescent="0.2">
      <c r="A150" s="53" t="s">
        <v>21</v>
      </c>
      <c r="B150" s="53" t="s">
        <v>41</v>
      </c>
      <c r="C150" s="53" t="s">
        <v>39</v>
      </c>
      <c r="D150" s="53" t="s">
        <v>42</v>
      </c>
      <c r="E150" s="53" t="s">
        <v>25</v>
      </c>
      <c r="F150" s="53" t="s">
        <v>25</v>
      </c>
      <c r="G150" s="53" t="s">
        <v>25</v>
      </c>
      <c r="H150" s="53" t="s">
        <v>25</v>
      </c>
      <c r="I150" s="72">
        <v>44562</v>
      </c>
      <c r="J150" s="73">
        <f>EFEITO!$J$150*EFEITO!$Y$150/(1-CUSTOS!$M$38)</f>
        <v>0</v>
      </c>
      <c r="K150" s="73">
        <f ca="1">EFEITO!$L$150*EFEITO!$Z$150/(1-CUSTOS!$M$38)</f>
        <v>97.376511092007988</v>
      </c>
      <c r="L150" s="73">
        <f>EFEITO!$N$150*EFEITO!$AA$150/(1-CUSTOS!$M$38)</f>
        <v>37.990440397556767</v>
      </c>
      <c r="M150" s="73">
        <f>$J$150-EFEITO!$K$150*EFEITO!$Y$150</f>
        <v>0</v>
      </c>
      <c r="N150" s="73">
        <f ca="1">$K$150-EFEITO!$M$150*EFEITO!$Z$150</f>
        <v>5.8425906655204898</v>
      </c>
      <c r="O150" s="73">
        <f>$L$150-EFEITO!$O$150*EFEITO!$AA$150</f>
        <v>2.2794264238534083</v>
      </c>
      <c r="P150" s="57"/>
      <c r="Q150" s="57"/>
      <c r="R150" s="57"/>
      <c r="S150" s="57"/>
      <c r="T150" s="57"/>
      <c r="U150" s="57"/>
      <c r="V150" s="57"/>
      <c r="W150" s="57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 spans="1:36" ht="11.25" customHeight="1" x14ac:dyDescent="0.2">
      <c r="A151" s="53" t="s">
        <v>21</v>
      </c>
      <c r="B151" s="53" t="s">
        <v>41</v>
      </c>
      <c r="C151" s="53" t="s">
        <v>39</v>
      </c>
      <c r="D151" s="53" t="s">
        <v>42</v>
      </c>
      <c r="E151" s="53" t="s">
        <v>25</v>
      </c>
      <c r="F151" s="53" t="s">
        <v>25</v>
      </c>
      <c r="G151" s="53" t="s">
        <v>25</v>
      </c>
      <c r="H151" s="53" t="s">
        <v>25</v>
      </c>
      <c r="I151" s="72">
        <v>44593</v>
      </c>
      <c r="J151" s="73">
        <f>EFEITO!$J$151*EFEITO!$Y$151/(1-CUSTOS!$M$38)</f>
        <v>0</v>
      </c>
      <c r="K151" s="73">
        <f ca="1">EFEITO!$L$151*EFEITO!$Z$151/(1-CUSTOS!$M$38)</f>
        <v>65.136990527762094</v>
      </c>
      <c r="L151" s="73">
        <f>EFEITO!$N$151*EFEITO!$AA$151/(1-CUSTOS!$M$38)</f>
        <v>25.412524319987298</v>
      </c>
      <c r="M151" s="73">
        <f>$J$151-EFEITO!$K$151*EFEITO!$Y$151</f>
        <v>0</v>
      </c>
      <c r="N151" s="73">
        <f ca="1">$K$151-EFEITO!$M$151*EFEITO!$Z$151</f>
        <v>3.9082194316657279</v>
      </c>
      <c r="O151" s="73">
        <f>$L$151-EFEITO!$O$151*EFEITO!$AA$151</f>
        <v>1.5247514591992406</v>
      </c>
      <c r="P151" s="57"/>
      <c r="Q151" s="57"/>
      <c r="R151" s="57"/>
      <c r="S151" s="57"/>
      <c r="T151" s="57"/>
      <c r="U151" s="57"/>
      <c r="V151" s="57"/>
      <c r="W151" s="57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 spans="1:36" ht="11.25" customHeight="1" x14ac:dyDescent="0.2">
      <c r="A152" s="53" t="s">
        <v>21</v>
      </c>
      <c r="B152" s="53" t="s">
        <v>41</v>
      </c>
      <c r="C152" s="53" t="s">
        <v>39</v>
      </c>
      <c r="D152" s="53" t="s">
        <v>42</v>
      </c>
      <c r="E152" s="53" t="s">
        <v>25</v>
      </c>
      <c r="F152" s="53" t="s">
        <v>25</v>
      </c>
      <c r="G152" s="53" t="s">
        <v>25</v>
      </c>
      <c r="H152" s="53" t="s">
        <v>25</v>
      </c>
      <c r="I152" s="72">
        <v>44621</v>
      </c>
      <c r="J152" s="73">
        <f>EFEITO!$J$152*EFEITO!$Y$152/(1-CUSTOS!$M$38)</f>
        <v>0</v>
      </c>
      <c r="K152" s="73">
        <f ca="1">EFEITO!$L$152*EFEITO!$Z$152/(1-CUSTOS!$M$38)</f>
        <v>69.742636322654363</v>
      </c>
      <c r="L152" s="73">
        <f>EFEITO!$N$152*EFEITO!$AA$152/(1-CUSTOS!$M$38)</f>
        <v>27.20936947392579</v>
      </c>
      <c r="M152" s="73">
        <f>$J$152-EFEITO!$K$152*EFEITO!$Y$152</f>
        <v>0</v>
      </c>
      <c r="N152" s="73">
        <f ca="1">$K$152-EFEITO!$M$152*EFEITO!$Z$152</f>
        <v>4.1845581793592714</v>
      </c>
      <c r="O152" s="73">
        <f>$L$152-EFEITO!$O$152*EFEITO!$AA$152</f>
        <v>1.6325621684355482</v>
      </c>
      <c r="P152" s="57"/>
      <c r="Q152" s="57"/>
      <c r="R152" s="57"/>
      <c r="S152" s="57"/>
      <c r="T152" s="57"/>
      <c r="U152" s="57"/>
      <c r="V152" s="57"/>
      <c r="W152" s="57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 spans="1:36" ht="11.25" customHeight="1" x14ac:dyDescent="0.2">
      <c r="A153" s="53" t="s">
        <v>21</v>
      </c>
      <c r="B153" s="53" t="s">
        <v>41</v>
      </c>
      <c r="C153" s="53" t="s">
        <v>39</v>
      </c>
      <c r="D153" s="53" t="s">
        <v>42</v>
      </c>
      <c r="E153" s="53" t="s">
        <v>25</v>
      </c>
      <c r="F153" s="53" t="s">
        <v>25</v>
      </c>
      <c r="G153" s="53" t="s">
        <v>25</v>
      </c>
      <c r="H153" s="53" t="s">
        <v>25</v>
      </c>
      <c r="I153" s="72">
        <v>44652</v>
      </c>
      <c r="J153" s="73">
        <f>EFEITO!$J$153*EFEITO!$Y$153/(1-CUSTOS!$M$38)</f>
        <v>0</v>
      </c>
      <c r="K153" s="73">
        <f ca="1">EFEITO!$L$153*EFEITO!$Z$153/(1-CUSTOS!$M$38)</f>
        <v>121.06268946573965</v>
      </c>
      <c r="L153" s="73">
        <f>EFEITO!$N$153*EFEITO!$AA$153/(1-CUSTOS!$M$38)</f>
        <v>47.231358332097599</v>
      </c>
      <c r="M153" s="73">
        <f>$J$153-EFEITO!$K$153*EFEITO!$Y$153</f>
        <v>0</v>
      </c>
      <c r="N153" s="73">
        <f ca="1">$K$153-EFEITO!$M$153*EFEITO!$Z$153</f>
        <v>7.2637613679443831</v>
      </c>
      <c r="O153" s="73">
        <f>$L$153-EFEITO!$O$153*EFEITO!$AA$153</f>
        <v>2.8338814999258588</v>
      </c>
      <c r="P153" s="57"/>
      <c r="Q153" s="57"/>
      <c r="R153" s="57"/>
      <c r="S153" s="57"/>
      <c r="T153" s="57"/>
      <c r="U153" s="57"/>
      <c r="V153" s="57"/>
      <c r="W153" s="57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 spans="1:36" ht="11.25" customHeight="1" x14ac:dyDescent="0.2">
      <c r="A154" s="53" t="s">
        <v>21</v>
      </c>
      <c r="B154" s="53" t="s">
        <v>41</v>
      </c>
      <c r="C154" s="53" t="s">
        <v>39</v>
      </c>
      <c r="D154" s="53" t="s">
        <v>42</v>
      </c>
      <c r="E154" s="53" t="s">
        <v>25</v>
      </c>
      <c r="F154" s="53" t="s">
        <v>25</v>
      </c>
      <c r="G154" s="53" t="s">
        <v>25</v>
      </c>
      <c r="H154" s="53" t="s">
        <v>36</v>
      </c>
      <c r="I154" s="72">
        <v>44317</v>
      </c>
      <c r="J154" s="73">
        <f>EFEITO!$J$154*EFEITO!$Y$154/(1-CUSTOS!$M$38)</f>
        <v>0</v>
      </c>
      <c r="K154" s="73">
        <f ca="1">EFEITO!$L$154*EFEITO!$Z$154/(1-CUSTOS!$M$38)</f>
        <v>47.873844764492006</v>
      </c>
      <c r="L154" s="73">
        <f>EFEITO!$N$154*EFEITO!$AA$154/(1-CUSTOS!$M$38)</f>
        <v>7.700764945450695</v>
      </c>
      <c r="M154" s="73">
        <f>$J$154-EFEITO!$K$154*EFEITO!$Y$154</f>
        <v>0</v>
      </c>
      <c r="N154" s="73">
        <f ca="1">$K$154-EFEITO!$M$154*EFEITO!$Z$154</f>
        <v>2.8724306858695243</v>
      </c>
      <c r="O154" s="73">
        <f>$L$154-EFEITO!$O$154*EFEITO!$AA$154</f>
        <v>0.46204589672704177</v>
      </c>
      <c r="P154" s="57"/>
      <c r="Q154" s="57"/>
      <c r="R154" s="57"/>
      <c r="S154" s="57"/>
      <c r="T154" s="57"/>
      <c r="U154" s="57"/>
      <c r="V154" s="57"/>
      <c r="W154" s="57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r="155" spans="1:36" ht="11.25" customHeight="1" x14ac:dyDescent="0.2">
      <c r="A155" s="53" t="s">
        <v>21</v>
      </c>
      <c r="B155" s="53" t="s">
        <v>41</v>
      </c>
      <c r="C155" s="53" t="s">
        <v>39</v>
      </c>
      <c r="D155" s="53" t="s">
        <v>42</v>
      </c>
      <c r="E155" s="53" t="s">
        <v>25</v>
      </c>
      <c r="F155" s="53" t="s">
        <v>25</v>
      </c>
      <c r="G155" s="53" t="s">
        <v>25</v>
      </c>
      <c r="H155" s="53" t="s">
        <v>36</v>
      </c>
      <c r="I155" s="72">
        <v>44348</v>
      </c>
      <c r="J155" s="73">
        <f>EFEITO!$J$155*EFEITO!$Y$155/(1-CUSTOS!$M$38)</f>
        <v>0</v>
      </c>
      <c r="K155" s="73">
        <f ca="1">EFEITO!$L$155*EFEITO!$Z$155/(1-CUSTOS!$M$38)</f>
        <v>47.873844764492006</v>
      </c>
      <c r="L155" s="73">
        <f>EFEITO!$N$155*EFEITO!$AA$155/(1-CUSTOS!$M$38)</f>
        <v>7.700764945450695</v>
      </c>
      <c r="M155" s="73">
        <f>$J$155-EFEITO!$K$155*EFEITO!$Y$155</f>
        <v>0</v>
      </c>
      <c r="N155" s="73">
        <f ca="1">$K$155-EFEITO!$M$155*EFEITO!$Z$155</f>
        <v>2.8724306858695243</v>
      </c>
      <c r="O155" s="73">
        <f>$L$155-EFEITO!$O$155*EFEITO!$AA$155</f>
        <v>0.46204589672704177</v>
      </c>
      <c r="P155" s="57"/>
      <c r="Q155" s="57"/>
      <c r="R155" s="57"/>
      <c r="S155" s="57"/>
      <c r="T155" s="57"/>
      <c r="U155" s="57"/>
      <c r="V155" s="57"/>
      <c r="W155" s="57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r="156" spans="1:36" ht="11.25" customHeight="1" x14ac:dyDescent="0.2">
      <c r="A156" s="53" t="s">
        <v>21</v>
      </c>
      <c r="B156" s="53" t="s">
        <v>41</v>
      </c>
      <c r="C156" s="53" t="s">
        <v>39</v>
      </c>
      <c r="D156" s="53" t="s">
        <v>42</v>
      </c>
      <c r="E156" s="53" t="s">
        <v>25</v>
      </c>
      <c r="F156" s="53" t="s">
        <v>25</v>
      </c>
      <c r="G156" s="53" t="s">
        <v>25</v>
      </c>
      <c r="H156" s="53" t="s">
        <v>36</v>
      </c>
      <c r="I156" s="72">
        <v>44378</v>
      </c>
      <c r="J156" s="73">
        <f>EFEITO!$J$156*EFEITO!$Y$156/(1-CUSTOS!$M$38)</f>
        <v>0</v>
      </c>
      <c r="K156" s="73">
        <f ca="1">EFEITO!$L$156*EFEITO!$Z$156/(1-CUSTOS!$M$38)</f>
        <v>46.278049939008937</v>
      </c>
      <c r="L156" s="73">
        <f>EFEITO!$N$156*EFEITO!$AA$156/(1-CUSTOS!$M$38)</f>
        <v>7.4440727806023403</v>
      </c>
      <c r="M156" s="73">
        <f>$J$156-EFEITO!$K$156*EFEITO!$Y$156</f>
        <v>0</v>
      </c>
      <c r="N156" s="73">
        <f ca="1">$K$156-EFEITO!$M$156*EFEITO!$Z$156</f>
        <v>2.7766829963405399</v>
      </c>
      <c r="O156" s="73">
        <f>$L$156-EFEITO!$O$156*EFEITO!$AA$156</f>
        <v>0.44664436683614106</v>
      </c>
      <c r="P156" s="57"/>
      <c r="Q156" s="57"/>
      <c r="R156" s="57"/>
      <c r="S156" s="57"/>
      <c r="T156" s="57"/>
      <c r="U156" s="57"/>
      <c r="V156" s="57"/>
      <c r="W156" s="57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r="157" spans="1:36" ht="11.25" customHeight="1" x14ac:dyDescent="0.2">
      <c r="A157" s="53" t="s">
        <v>21</v>
      </c>
      <c r="B157" s="53" t="s">
        <v>41</v>
      </c>
      <c r="C157" s="53" t="s">
        <v>39</v>
      </c>
      <c r="D157" s="53" t="s">
        <v>42</v>
      </c>
      <c r="E157" s="53" t="s">
        <v>25</v>
      </c>
      <c r="F157" s="53" t="s">
        <v>25</v>
      </c>
      <c r="G157" s="53" t="s">
        <v>25</v>
      </c>
      <c r="H157" s="53" t="s">
        <v>36</v>
      </c>
      <c r="I157" s="72">
        <v>44409</v>
      </c>
      <c r="J157" s="73">
        <f>EFEITO!$J$157*EFEITO!$Y$157/(1-CUSTOS!$M$38)</f>
        <v>0</v>
      </c>
      <c r="K157" s="73">
        <f ca="1">EFEITO!$L$157*EFEITO!$Z$157/(1-CUSTOS!$M$38)</f>
        <v>47.873844764492006</v>
      </c>
      <c r="L157" s="73">
        <f>EFEITO!$N$157*EFEITO!$AA$157/(1-CUSTOS!$M$38)</f>
        <v>7.700764945450695</v>
      </c>
      <c r="M157" s="73">
        <f>$J$157-EFEITO!$K$157*EFEITO!$Y$157</f>
        <v>0</v>
      </c>
      <c r="N157" s="73">
        <f ca="1">$K$157-EFEITO!$M$157*EFEITO!$Z$157</f>
        <v>2.8724306858695243</v>
      </c>
      <c r="O157" s="73">
        <f>$L$157-EFEITO!$O$157*EFEITO!$AA$157</f>
        <v>0.46204589672704177</v>
      </c>
      <c r="P157" s="57"/>
      <c r="Q157" s="57"/>
      <c r="R157" s="57"/>
      <c r="S157" s="57"/>
      <c r="T157" s="57"/>
      <c r="U157" s="57"/>
      <c r="V157" s="57"/>
      <c r="W157" s="57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r="158" spans="1:36" ht="11.25" customHeight="1" x14ac:dyDescent="0.2">
      <c r="A158" s="53" t="s">
        <v>21</v>
      </c>
      <c r="B158" s="53" t="s">
        <v>41</v>
      </c>
      <c r="C158" s="53" t="s">
        <v>39</v>
      </c>
      <c r="D158" s="53" t="s">
        <v>42</v>
      </c>
      <c r="E158" s="53" t="s">
        <v>25</v>
      </c>
      <c r="F158" s="53" t="s">
        <v>25</v>
      </c>
      <c r="G158" s="53" t="s">
        <v>25</v>
      </c>
      <c r="H158" s="53" t="s">
        <v>36</v>
      </c>
      <c r="I158" s="72">
        <v>44440</v>
      </c>
      <c r="J158" s="73">
        <f>EFEITO!$J$158*EFEITO!$Y$158/(1-CUSTOS!$M$38)</f>
        <v>0</v>
      </c>
      <c r="K158" s="73">
        <f ca="1">EFEITO!$L$158*EFEITO!$Z$158/(1-CUSTOS!$M$38)</f>
        <v>44.682255113525869</v>
      </c>
      <c r="L158" s="73">
        <f>EFEITO!$N$158*EFEITO!$AA$158/(1-CUSTOS!$M$38)</f>
        <v>7.187380615753983</v>
      </c>
      <c r="M158" s="73">
        <f>$J$158-EFEITO!$K$158*EFEITO!$Y$158</f>
        <v>0</v>
      </c>
      <c r="N158" s="73">
        <f ca="1">$K$158-EFEITO!$M$158*EFEITO!$Z$158</f>
        <v>2.6809353068115556</v>
      </c>
      <c r="O158" s="73">
        <f>$L$158-EFEITO!$O$158*EFEITO!$AA$158</f>
        <v>0.43124283694523946</v>
      </c>
      <c r="P158" s="57"/>
      <c r="Q158" s="57"/>
      <c r="R158" s="57"/>
      <c r="S158" s="57"/>
      <c r="T158" s="57"/>
      <c r="U158" s="57"/>
      <c r="V158" s="57"/>
      <c r="W158" s="57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 spans="1:36" ht="11.25" customHeight="1" x14ac:dyDescent="0.2">
      <c r="A159" s="53" t="s">
        <v>21</v>
      </c>
      <c r="B159" s="53" t="s">
        <v>41</v>
      </c>
      <c r="C159" s="53" t="s">
        <v>39</v>
      </c>
      <c r="D159" s="53" t="s">
        <v>42</v>
      </c>
      <c r="E159" s="53" t="s">
        <v>25</v>
      </c>
      <c r="F159" s="53" t="s">
        <v>25</v>
      </c>
      <c r="G159" s="53" t="s">
        <v>25</v>
      </c>
      <c r="H159" s="53" t="s">
        <v>36</v>
      </c>
      <c r="I159" s="72">
        <v>44470</v>
      </c>
      <c r="J159" s="73">
        <f>EFEITO!$J$159*EFEITO!$Y$159/(1-CUSTOS!$M$38)</f>
        <v>0</v>
      </c>
      <c r="K159" s="73">
        <f ca="1">EFEITO!$L$159*EFEITO!$Z$159/(1-CUSTOS!$M$38)</f>
        <v>22.341127556762935</v>
      </c>
      <c r="L159" s="73">
        <f>EFEITO!$N$159*EFEITO!$AA$159/(1-CUSTOS!$M$38)</f>
        <v>3.5936903078769915</v>
      </c>
      <c r="M159" s="73">
        <f>$J$159-EFEITO!$K$159*EFEITO!$Y$159</f>
        <v>0</v>
      </c>
      <c r="N159" s="73">
        <f ca="1">$K$159-EFEITO!$M$159*EFEITO!$Z$159</f>
        <v>1.3404676534057778</v>
      </c>
      <c r="O159" s="73">
        <f>$L$159-EFEITO!$O$159*EFEITO!$AA$159</f>
        <v>0.21562141847261973</v>
      </c>
      <c r="P159" s="57"/>
      <c r="Q159" s="57"/>
      <c r="R159" s="57"/>
      <c r="S159" s="57"/>
      <c r="T159" s="57"/>
      <c r="U159" s="57"/>
      <c r="V159" s="57"/>
      <c r="W159" s="57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r="160" spans="1:36" ht="11.25" customHeight="1" x14ac:dyDescent="0.2">
      <c r="A160" s="53" t="s">
        <v>21</v>
      </c>
      <c r="B160" s="53" t="s">
        <v>41</v>
      </c>
      <c r="C160" s="53" t="s">
        <v>39</v>
      </c>
      <c r="D160" s="53" t="s">
        <v>42</v>
      </c>
      <c r="E160" s="53" t="s">
        <v>25</v>
      </c>
      <c r="F160" s="53" t="s">
        <v>25</v>
      </c>
      <c r="G160" s="53" t="s">
        <v>25</v>
      </c>
      <c r="H160" s="53" t="s">
        <v>36</v>
      </c>
      <c r="I160" s="72">
        <v>44501</v>
      </c>
      <c r="J160" s="73">
        <f>EFEITO!$J$160*EFEITO!$Y$160/(1-CUSTOS!$M$38)</f>
        <v>0</v>
      </c>
      <c r="K160" s="73">
        <f ca="1">EFEITO!$L$160*EFEITO!$Z$160/(1-CUSTOS!$M$38)</f>
        <v>15.957948254830667</v>
      </c>
      <c r="L160" s="73">
        <f>EFEITO!$N$160*EFEITO!$AA$160/(1-CUSTOS!$M$38)</f>
        <v>2.5669216484835657</v>
      </c>
      <c r="M160" s="73">
        <f>$J$160-EFEITO!$K$160*EFEITO!$Y$160</f>
        <v>0</v>
      </c>
      <c r="N160" s="73">
        <f ca="1">$K$160-EFEITO!$M$160*EFEITO!$Z$160</f>
        <v>0.95747689528984026</v>
      </c>
      <c r="O160" s="73">
        <f>$L$160-EFEITO!$O$160*EFEITO!$AA$160</f>
        <v>0.15401529890901422</v>
      </c>
      <c r="P160" s="57"/>
      <c r="Q160" s="57"/>
      <c r="R160" s="57"/>
      <c r="S160" s="57"/>
      <c r="T160" s="57"/>
      <c r="U160" s="57"/>
      <c r="V160" s="57"/>
      <c r="W160" s="57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r="161" spans="1:36" ht="11.25" customHeight="1" x14ac:dyDescent="0.2">
      <c r="A161" s="53" t="s">
        <v>21</v>
      </c>
      <c r="B161" s="53" t="s">
        <v>41</v>
      </c>
      <c r="C161" s="53" t="s">
        <v>39</v>
      </c>
      <c r="D161" s="53" t="s">
        <v>42</v>
      </c>
      <c r="E161" s="53" t="s">
        <v>25</v>
      </c>
      <c r="F161" s="53" t="s">
        <v>25</v>
      </c>
      <c r="G161" s="53" t="s">
        <v>25</v>
      </c>
      <c r="H161" s="53" t="s">
        <v>36</v>
      </c>
      <c r="I161" s="72">
        <v>44531</v>
      </c>
      <c r="J161" s="73">
        <f>EFEITO!$J$161*EFEITO!$Y$161/(1-CUSTOS!$M$38)</f>
        <v>0</v>
      </c>
      <c r="K161" s="73">
        <f ca="1">EFEITO!$L$161*EFEITO!$Z$161/(1-CUSTOS!$M$38)</f>
        <v>43.086460288042801</v>
      </c>
      <c r="L161" s="73">
        <f>EFEITO!$N$161*EFEITO!$AA$161/(1-CUSTOS!$M$38)</f>
        <v>6.9306884509056266</v>
      </c>
      <c r="M161" s="73">
        <f>$J$161-EFEITO!$K$161*EFEITO!$Y$161</f>
        <v>0</v>
      </c>
      <c r="N161" s="73">
        <f ca="1">$K$161-EFEITO!$M$161*EFEITO!$Z$161</f>
        <v>2.5851876172825712</v>
      </c>
      <c r="O161" s="73">
        <f>$L$161-EFEITO!$O$161*EFEITO!$AA$161</f>
        <v>0.41584130705433786</v>
      </c>
      <c r="P161" s="57"/>
      <c r="Q161" s="57"/>
      <c r="R161" s="57"/>
      <c r="S161" s="57"/>
      <c r="T161" s="57"/>
      <c r="U161" s="57"/>
      <c r="V161" s="57"/>
      <c r="W161" s="57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r="162" spans="1:36" ht="11.25" customHeight="1" x14ac:dyDescent="0.2">
      <c r="A162" s="53" t="s">
        <v>21</v>
      </c>
      <c r="B162" s="53" t="s">
        <v>41</v>
      </c>
      <c r="C162" s="53" t="s">
        <v>39</v>
      </c>
      <c r="D162" s="53" t="s">
        <v>42</v>
      </c>
      <c r="E162" s="53" t="s">
        <v>25</v>
      </c>
      <c r="F162" s="53" t="s">
        <v>25</v>
      </c>
      <c r="G162" s="53" t="s">
        <v>25</v>
      </c>
      <c r="H162" s="53" t="s">
        <v>36</v>
      </c>
      <c r="I162" s="72">
        <v>44562</v>
      </c>
      <c r="J162" s="73">
        <f>EFEITO!$J$162*EFEITO!$Y$162/(1-CUSTOS!$M$38)</f>
        <v>0</v>
      </c>
      <c r="K162" s="73">
        <f ca="1">EFEITO!$L$162*EFEITO!$Z$162/(1-CUSTOS!$M$38)</f>
        <v>67.023382670288811</v>
      </c>
      <c r="L162" s="73">
        <f>EFEITO!$N$162*EFEITO!$AA$162/(1-CUSTOS!$M$38)</f>
        <v>10.781070923630974</v>
      </c>
      <c r="M162" s="73">
        <f>$J$162-EFEITO!$K$162*EFEITO!$Y$162</f>
        <v>0</v>
      </c>
      <c r="N162" s="73">
        <f ca="1">$K$162-EFEITO!$M$162*EFEITO!$Z$162</f>
        <v>4.0214029602173369</v>
      </c>
      <c r="O162" s="73">
        <f>$L$162-EFEITO!$O$162*EFEITO!$AA$162</f>
        <v>0.6468642554178583</v>
      </c>
      <c r="P162" s="57"/>
      <c r="Q162" s="57"/>
      <c r="R162" s="57"/>
      <c r="S162" s="57"/>
      <c r="T162" s="57"/>
      <c r="U162" s="57"/>
      <c r="V162" s="57"/>
      <c r="W162" s="57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r="163" spans="1:36" ht="11.25" customHeight="1" x14ac:dyDescent="0.2">
      <c r="A163" s="53" t="s">
        <v>21</v>
      </c>
      <c r="B163" s="53" t="s">
        <v>41</v>
      </c>
      <c r="C163" s="53" t="s">
        <v>39</v>
      </c>
      <c r="D163" s="53" t="s">
        <v>42</v>
      </c>
      <c r="E163" s="53" t="s">
        <v>25</v>
      </c>
      <c r="F163" s="53" t="s">
        <v>25</v>
      </c>
      <c r="G163" s="53" t="s">
        <v>25</v>
      </c>
      <c r="H163" s="53" t="s">
        <v>36</v>
      </c>
      <c r="I163" s="72">
        <v>44593</v>
      </c>
      <c r="J163" s="73">
        <f>EFEITO!$J$163*EFEITO!$Y$163/(1-CUSTOS!$M$38)</f>
        <v>0</v>
      </c>
      <c r="K163" s="73">
        <f ca="1">EFEITO!$L$163*EFEITO!$Z$163/(1-CUSTOS!$M$38)</f>
        <v>59.044408542873462</v>
      </c>
      <c r="L163" s="73">
        <f>EFEITO!$N$163*EFEITO!$AA$163/(1-CUSTOS!$M$38)</f>
        <v>9.4976100993891919</v>
      </c>
      <c r="M163" s="73">
        <f>$J$163-EFEITO!$K$163*EFEITO!$Y$163</f>
        <v>0</v>
      </c>
      <c r="N163" s="73">
        <f ca="1">$K$163-EFEITO!$M$163*EFEITO!$Z$163</f>
        <v>3.5426645125724079</v>
      </c>
      <c r="O163" s="73">
        <f>$L$163-EFEITO!$O$163*EFEITO!$AA$163</f>
        <v>0.56985660596335208</v>
      </c>
      <c r="P163" s="57"/>
      <c r="Q163" s="57"/>
      <c r="R163" s="57"/>
      <c r="S163" s="57"/>
      <c r="T163" s="57"/>
      <c r="U163" s="57"/>
      <c r="V163" s="57"/>
      <c r="W163" s="57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r="164" spans="1:36" ht="11.25" customHeight="1" x14ac:dyDescent="0.2">
      <c r="A164" s="53" t="s">
        <v>21</v>
      </c>
      <c r="B164" s="53" t="s">
        <v>41</v>
      </c>
      <c r="C164" s="53" t="s">
        <v>39</v>
      </c>
      <c r="D164" s="53" t="s">
        <v>42</v>
      </c>
      <c r="E164" s="53" t="s">
        <v>25</v>
      </c>
      <c r="F164" s="53" t="s">
        <v>25</v>
      </c>
      <c r="G164" s="53" t="s">
        <v>25</v>
      </c>
      <c r="H164" s="53" t="s">
        <v>36</v>
      </c>
      <c r="I164" s="72">
        <v>44621</v>
      </c>
      <c r="J164" s="73">
        <f>EFEITO!$J$164*EFEITO!$Y$164/(1-CUSTOS!$M$38)</f>
        <v>0</v>
      </c>
      <c r="K164" s="73">
        <f ca="1">EFEITO!$L$164*EFEITO!$Z$164/(1-CUSTOS!$M$38)</f>
        <v>59.044408542873462</v>
      </c>
      <c r="L164" s="73">
        <f>EFEITO!$N$164*EFEITO!$AA$164/(1-CUSTOS!$M$38)</f>
        <v>9.4976100993891919</v>
      </c>
      <c r="M164" s="73">
        <f>$J$164-EFEITO!$K$164*EFEITO!$Y$164</f>
        <v>0</v>
      </c>
      <c r="N164" s="73">
        <f ca="1">$K$164-EFEITO!$M$164*EFEITO!$Z$164</f>
        <v>3.5426645125724079</v>
      </c>
      <c r="O164" s="73">
        <f>$L$164-EFEITO!$O$164*EFEITO!$AA$164</f>
        <v>0.56985660596335208</v>
      </c>
      <c r="P164" s="57"/>
      <c r="Q164" s="57"/>
      <c r="R164" s="57"/>
      <c r="S164" s="57"/>
      <c r="T164" s="57"/>
      <c r="U164" s="57"/>
      <c r="V164" s="57"/>
      <c r="W164" s="57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r="165" spans="1:36" ht="11.25" customHeight="1" x14ac:dyDescent="0.2">
      <c r="A165" s="53" t="s">
        <v>21</v>
      </c>
      <c r="B165" s="53" t="s">
        <v>41</v>
      </c>
      <c r="C165" s="53" t="s">
        <v>39</v>
      </c>
      <c r="D165" s="53" t="s">
        <v>42</v>
      </c>
      <c r="E165" s="53" t="s">
        <v>25</v>
      </c>
      <c r="F165" s="53" t="s">
        <v>25</v>
      </c>
      <c r="G165" s="53" t="s">
        <v>25</v>
      </c>
      <c r="H165" s="53" t="s">
        <v>36</v>
      </c>
      <c r="I165" s="72">
        <v>44652</v>
      </c>
      <c r="J165" s="73">
        <f>EFEITO!$J$165*EFEITO!$Y$165/(1-CUSTOS!$M$38)</f>
        <v>0</v>
      </c>
      <c r="K165" s="73">
        <f ca="1">EFEITO!$L$165*EFEITO!$Z$165/(1-CUSTOS!$M$38)</f>
        <v>43.086460288042801</v>
      </c>
      <c r="L165" s="73">
        <f>EFEITO!$N$165*EFEITO!$AA$165/(1-CUSTOS!$M$38)</f>
        <v>6.9306884509056266</v>
      </c>
      <c r="M165" s="73">
        <f>$J$165-EFEITO!$K$165*EFEITO!$Y$165</f>
        <v>0</v>
      </c>
      <c r="N165" s="73">
        <f ca="1">$K$165-EFEITO!$M$165*EFEITO!$Z$165</f>
        <v>2.5851876172825712</v>
      </c>
      <c r="O165" s="73">
        <f>$L$165-EFEITO!$O$165*EFEITO!$AA$165</f>
        <v>0.41584130705433786</v>
      </c>
      <c r="P165" s="57"/>
      <c r="Q165" s="57"/>
      <c r="R165" s="57"/>
      <c r="S165" s="57"/>
      <c r="T165" s="57"/>
      <c r="U165" s="57"/>
      <c r="V165" s="57"/>
      <c r="W165" s="57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 spans="1:36" ht="11.25" customHeight="1" x14ac:dyDescent="0.2">
      <c r="A166" s="53" t="s">
        <v>21</v>
      </c>
      <c r="B166" s="53" t="s">
        <v>41</v>
      </c>
      <c r="C166" s="53" t="s">
        <v>23</v>
      </c>
      <c r="D166" s="53" t="s">
        <v>42</v>
      </c>
      <c r="E166" s="53" t="s">
        <v>50</v>
      </c>
      <c r="F166" s="53" t="s">
        <v>51</v>
      </c>
      <c r="G166" s="53" t="s">
        <v>25</v>
      </c>
      <c r="H166" s="53" t="s">
        <v>25</v>
      </c>
      <c r="I166" s="72">
        <v>44317</v>
      </c>
      <c r="J166" s="73">
        <f>EFEITO!$J$166*EFEITO!$Y$46</f>
        <v>0</v>
      </c>
      <c r="K166" s="73">
        <f ca="1">EFEITO!$L$166*EFEITO!$Z$46</f>
        <v>702.0320090214359</v>
      </c>
      <c r="L166" s="73">
        <f>EFEITO!$N$166*EFEITO!$AA$46</f>
        <v>273.89053989319638</v>
      </c>
      <c r="M166" s="73">
        <f>$J$166-EFEITO!$K$166*EFEITO!$Y$166</f>
        <v>0</v>
      </c>
      <c r="N166" s="73">
        <f ca="1">$K$166-EFEITO!$M$166*EFEITO!$Z$166</f>
        <v>42.121920541286158</v>
      </c>
      <c r="O166" s="73">
        <f>$L$166-EFEITO!$O$166*EFEITO!$AA$166</f>
        <v>16.433432393591772</v>
      </c>
      <c r="P166" s="57"/>
      <c r="Q166" s="57"/>
      <c r="R166" s="57"/>
      <c r="S166" s="57"/>
      <c r="T166" s="57"/>
      <c r="U166" s="57"/>
      <c r="V166" s="57"/>
      <c r="W166" s="57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r="167" spans="1:36" ht="11.25" customHeight="1" x14ac:dyDescent="0.2">
      <c r="A167" s="53" t="s">
        <v>21</v>
      </c>
      <c r="B167" s="53" t="s">
        <v>41</v>
      </c>
      <c r="C167" s="53" t="s">
        <v>23</v>
      </c>
      <c r="D167" s="53" t="s">
        <v>42</v>
      </c>
      <c r="E167" s="53" t="s">
        <v>50</v>
      </c>
      <c r="F167" s="53" t="s">
        <v>51</v>
      </c>
      <c r="G167" s="53" t="s">
        <v>25</v>
      </c>
      <c r="H167" s="53" t="s">
        <v>25</v>
      </c>
      <c r="I167" s="72">
        <v>44348</v>
      </c>
      <c r="J167" s="73">
        <f>EFEITO!$J$167*EFEITO!$Y$46</f>
        <v>0</v>
      </c>
      <c r="K167" s="73">
        <f ca="1">EFEITO!$L$167*EFEITO!$Z$46</f>
        <v>796.11877311709225</v>
      </c>
      <c r="L167" s="73">
        <f>EFEITO!$N$167*EFEITO!$AA$46</f>
        <v>310.59751946651141</v>
      </c>
      <c r="M167" s="73">
        <f>$J$167-EFEITO!$K$167*EFEITO!$Y$167</f>
        <v>0</v>
      </c>
      <c r="N167" s="73">
        <f ca="1">$K$167-EFEITO!$M$167*EFEITO!$Z$167</f>
        <v>47.767126387025542</v>
      </c>
      <c r="O167" s="73">
        <f>$L$167-EFEITO!$O$167*EFEITO!$AA$167</f>
        <v>18.635851167990722</v>
      </c>
      <c r="P167" s="57"/>
      <c r="Q167" s="57"/>
      <c r="R167" s="57"/>
      <c r="S167" s="57"/>
      <c r="T167" s="57"/>
      <c r="U167" s="57"/>
      <c r="V167" s="57"/>
      <c r="W167" s="57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r="168" spans="1:36" ht="11.25" customHeight="1" x14ac:dyDescent="0.2">
      <c r="A168" s="53" t="s">
        <v>21</v>
      </c>
      <c r="B168" s="53" t="s">
        <v>41</v>
      </c>
      <c r="C168" s="53" t="s">
        <v>23</v>
      </c>
      <c r="D168" s="53" t="s">
        <v>42</v>
      </c>
      <c r="E168" s="53" t="s">
        <v>50</v>
      </c>
      <c r="F168" s="53" t="s">
        <v>51</v>
      </c>
      <c r="G168" s="53" t="s">
        <v>25</v>
      </c>
      <c r="H168" s="53" t="s">
        <v>25</v>
      </c>
      <c r="I168" s="72">
        <v>44378</v>
      </c>
      <c r="J168" s="73">
        <f>EFEITO!$J$168*EFEITO!$Y$46</f>
        <v>0</v>
      </c>
      <c r="K168" s="73">
        <f ca="1">EFEITO!$L$168*EFEITO!$Z$46</f>
        <v>1171.8078801004474</v>
      </c>
      <c r="L168" s="73">
        <f>EFEITO!$N$168*EFEITO!$AA$46</f>
        <v>457.16874559492294</v>
      </c>
      <c r="M168" s="73">
        <f>$J$168-EFEITO!$K$168*EFEITO!$Y$168</f>
        <v>0</v>
      </c>
      <c r="N168" s="73">
        <f ca="1">$K$168-EFEITO!$M$168*EFEITO!$Z$168</f>
        <v>70.308472806026884</v>
      </c>
      <c r="O168" s="73">
        <f>$L$168-EFEITO!$O$168*EFEITO!$AA$168</f>
        <v>27.430124735695358</v>
      </c>
      <c r="P168" s="57"/>
      <c r="Q168" s="57"/>
      <c r="R168" s="57"/>
      <c r="S168" s="57"/>
      <c r="T168" s="57"/>
      <c r="U168" s="57"/>
      <c r="V168" s="57"/>
      <c r="W168" s="57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69" spans="1:36" ht="11.25" customHeight="1" x14ac:dyDescent="0.2">
      <c r="A169" s="53" t="s">
        <v>21</v>
      </c>
      <c r="B169" s="53" t="s">
        <v>41</v>
      </c>
      <c r="C169" s="53" t="s">
        <v>23</v>
      </c>
      <c r="D169" s="53" t="s">
        <v>42</v>
      </c>
      <c r="E169" s="53" t="s">
        <v>50</v>
      </c>
      <c r="F169" s="53" t="s">
        <v>51</v>
      </c>
      <c r="G169" s="53" t="s">
        <v>25</v>
      </c>
      <c r="H169" s="53" t="s">
        <v>25</v>
      </c>
      <c r="I169" s="72">
        <v>44409</v>
      </c>
      <c r="J169" s="73">
        <f>EFEITO!$J$169*EFEITO!$Y$46</f>
        <v>0</v>
      </c>
      <c r="K169" s="73">
        <f ca="1">EFEITO!$L$169*EFEITO!$Z$46</f>
        <v>973.76511092007979</v>
      </c>
      <c r="L169" s="73">
        <f>EFEITO!$N$169*EFEITO!$AA$46</f>
        <v>379.90440397556767</v>
      </c>
      <c r="M169" s="73">
        <f>$J$169-EFEITO!$K$169*EFEITO!$Y$169</f>
        <v>0</v>
      </c>
      <c r="N169" s="73">
        <f ca="1">$K$169-EFEITO!$M$169*EFEITO!$Z$169</f>
        <v>58.425906655204813</v>
      </c>
      <c r="O169" s="73">
        <f>$L$169-EFEITO!$O$169*EFEITO!$AA$169</f>
        <v>22.794264238534083</v>
      </c>
      <c r="P169" s="57"/>
      <c r="Q169" s="57"/>
      <c r="R169" s="57"/>
      <c r="S169" s="57"/>
      <c r="T169" s="57"/>
      <c r="U169" s="57"/>
      <c r="V169" s="57"/>
      <c r="W169" s="57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r="170" spans="1:36" ht="11.25" customHeight="1" x14ac:dyDescent="0.2">
      <c r="A170" s="53" t="s">
        <v>21</v>
      </c>
      <c r="B170" s="53" t="s">
        <v>41</v>
      </c>
      <c r="C170" s="53" t="s">
        <v>23</v>
      </c>
      <c r="D170" s="53" t="s">
        <v>42</v>
      </c>
      <c r="E170" s="53" t="s">
        <v>50</v>
      </c>
      <c r="F170" s="53" t="s">
        <v>51</v>
      </c>
      <c r="G170" s="53" t="s">
        <v>25</v>
      </c>
      <c r="H170" s="53" t="s">
        <v>25</v>
      </c>
      <c r="I170" s="72">
        <v>44440</v>
      </c>
      <c r="J170" s="73">
        <f>EFEITO!$J$170*EFEITO!$Y$46</f>
        <v>0</v>
      </c>
      <c r="K170" s="73">
        <f ca="1">EFEITO!$L$170*EFEITO!$Z$46</f>
        <v>2871.2911784156945</v>
      </c>
      <c r="L170" s="73">
        <f>EFEITO!$N$170*EFEITO!$AA$46</f>
        <v>1120.2046073982278</v>
      </c>
      <c r="M170" s="73">
        <f>$J$170-EFEITO!$K$170*EFEITO!$Y$170</f>
        <v>0</v>
      </c>
      <c r="N170" s="73">
        <f ca="1">$K$170-EFEITO!$M$170*EFEITO!$Z$170</f>
        <v>172.27747070494161</v>
      </c>
      <c r="O170" s="73">
        <f>$L$170-EFEITO!$O$170*EFEITO!$AA$170</f>
        <v>67.212276443893643</v>
      </c>
      <c r="P170" s="57"/>
      <c r="Q170" s="57"/>
      <c r="R170" s="57"/>
      <c r="S170" s="57"/>
      <c r="T170" s="57"/>
      <c r="U170" s="57"/>
      <c r="V170" s="57"/>
      <c r="W170" s="57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r="171" spans="1:36" ht="11.25" customHeight="1" x14ac:dyDescent="0.2">
      <c r="A171" s="53" t="s">
        <v>21</v>
      </c>
      <c r="B171" s="53" t="s">
        <v>41</v>
      </c>
      <c r="C171" s="53" t="s">
        <v>23</v>
      </c>
      <c r="D171" s="53" t="s">
        <v>42</v>
      </c>
      <c r="E171" s="53" t="s">
        <v>50</v>
      </c>
      <c r="F171" s="53" t="s">
        <v>51</v>
      </c>
      <c r="G171" s="53" t="s">
        <v>25</v>
      </c>
      <c r="H171" s="53" t="s">
        <v>25</v>
      </c>
      <c r="I171" s="72">
        <v>44470</v>
      </c>
      <c r="J171" s="73">
        <f>EFEITO!$J$171*EFEITO!$Y$46</f>
        <v>0</v>
      </c>
      <c r="K171" s="73">
        <f ca="1">EFEITO!$L$171*EFEITO!$Z$46</f>
        <v>6584.0996384981336</v>
      </c>
      <c r="L171" s="73">
        <f>EFEITO!$N$171*EFEITO!$AA$46</f>
        <v>2568.7184936375038</v>
      </c>
      <c r="M171" s="73">
        <f>$J$171-EFEITO!$K$171*EFEITO!$Y$171</f>
        <v>0</v>
      </c>
      <c r="N171" s="73">
        <f ca="1">$K$171-EFEITO!$M$171*EFEITO!$Z$171</f>
        <v>395.04597830988769</v>
      </c>
      <c r="O171" s="73">
        <f>$L$171-EFEITO!$O$171*EFEITO!$AA$171</f>
        <v>154.12310961825051</v>
      </c>
      <c r="P171" s="57"/>
      <c r="Q171" s="57"/>
      <c r="R171" s="57"/>
      <c r="S171" s="57"/>
      <c r="T171" s="57"/>
      <c r="U171" s="57"/>
      <c r="V171" s="57"/>
      <c r="W171" s="57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r="172" spans="1:36" ht="11.25" customHeight="1" x14ac:dyDescent="0.2">
      <c r="A172" s="53" t="s">
        <v>21</v>
      </c>
      <c r="B172" s="53" t="s">
        <v>41</v>
      </c>
      <c r="C172" s="53" t="s">
        <v>23</v>
      </c>
      <c r="D172" s="53" t="s">
        <v>42</v>
      </c>
      <c r="E172" s="53" t="s">
        <v>50</v>
      </c>
      <c r="F172" s="53" t="s">
        <v>51</v>
      </c>
      <c r="G172" s="53" t="s">
        <v>25</v>
      </c>
      <c r="H172" s="53" t="s">
        <v>25</v>
      </c>
      <c r="I172" s="72">
        <v>44501</v>
      </c>
      <c r="J172" s="73">
        <f>EFEITO!$J$172*EFEITO!$Y$46</f>
        <v>0</v>
      </c>
      <c r="K172" s="73">
        <f ca="1">EFEITO!$L$172*EFEITO!$Z$46</f>
        <v>5760.3469906116889</v>
      </c>
      <c r="L172" s="73">
        <f>EFEITO!$N$172*EFEITO!$AA$46</f>
        <v>2247.3399032473617</v>
      </c>
      <c r="M172" s="73">
        <f>$J$172-EFEITO!$K$172*EFEITO!$Y$172</f>
        <v>0</v>
      </c>
      <c r="N172" s="73">
        <f ca="1">$K$172-EFEITO!$M$172*EFEITO!$Z$172</f>
        <v>345.62081943670182</v>
      </c>
      <c r="O172" s="73">
        <f>$L$172-EFEITO!$O$172*EFEITO!$AA$172</f>
        <v>134.84039419484179</v>
      </c>
      <c r="P172" s="57"/>
      <c r="Q172" s="57"/>
      <c r="R172" s="57"/>
      <c r="S172" s="57"/>
      <c r="T172" s="57"/>
      <c r="U172" s="57"/>
      <c r="V172" s="57"/>
      <c r="W172" s="57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r="173" spans="1:36" ht="11.25" customHeight="1" x14ac:dyDescent="0.2">
      <c r="A173" s="53" t="s">
        <v>21</v>
      </c>
      <c r="B173" s="53" t="s">
        <v>41</v>
      </c>
      <c r="C173" s="53" t="s">
        <v>23</v>
      </c>
      <c r="D173" s="53" t="s">
        <v>42</v>
      </c>
      <c r="E173" s="53" t="s">
        <v>50</v>
      </c>
      <c r="F173" s="53" t="s">
        <v>51</v>
      </c>
      <c r="G173" s="53" t="s">
        <v>25</v>
      </c>
      <c r="H173" s="53" t="s">
        <v>25</v>
      </c>
      <c r="I173" s="72">
        <v>44531</v>
      </c>
      <c r="J173" s="73">
        <f>EFEITO!$J$173*EFEITO!$Y$46</f>
        <v>0</v>
      </c>
      <c r="K173" s="73">
        <f ca="1">EFEITO!$L$173*EFEITO!$Z$46</f>
        <v>4670.124836020761</v>
      </c>
      <c r="L173" s="73">
        <f>EFEITO!$N$173*EFEITO!$AA$46</f>
        <v>1822.0009860936345</v>
      </c>
      <c r="M173" s="73">
        <f>$J$173-EFEITO!$K$173*EFEITO!$Y$173</f>
        <v>0</v>
      </c>
      <c r="N173" s="73">
        <f ca="1">$K$173-EFEITO!$M$173*EFEITO!$Z$173</f>
        <v>280.20749016124591</v>
      </c>
      <c r="O173" s="73">
        <f>$L$173-EFEITO!$O$173*EFEITO!$AA$173</f>
        <v>109.32005916561798</v>
      </c>
      <c r="P173" s="57"/>
      <c r="Q173" s="57"/>
      <c r="R173" s="57"/>
      <c r="S173" s="57"/>
      <c r="T173" s="57"/>
      <c r="U173" s="57"/>
      <c r="V173" s="57"/>
      <c r="W173" s="57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r="174" spans="1:36" ht="11.25" customHeight="1" x14ac:dyDescent="0.2">
      <c r="A174" s="53" t="s">
        <v>21</v>
      </c>
      <c r="B174" s="53" t="s">
        <v>41</v>
      </c>
      <c r="C174" s="53" t="s">
        <v>23</v>
      </c>
      <c r="D174" s="53" t="s">
        <v>42</v>
      </c>
      <c r="E174" s="53" t="s">
        <v>50</v>
      </c>
      <c r="F174" s="53" t="s">
        <v>51</v>
      </c>
      <c r="G174" s="53" t="s">
        <v>25</v>
      </c>
      <c r="H174" s="53" t="s">
        <v>25</v>
      </c>
      <c r="I174" s="72">
        <v>44562</v>
      </c>
      <c r="J174" s="73">
        <f>EFEITO!$J$174*EFEITO!$Y$46</f>
        <v>0</v>
      </c>
      <c r="K174" s="73">
        <f ca="1">EFEITO!$L$174*EFEITO!$Z$46</f>
        <v>4172.0571407731259</v>
      </c>
      <c r="L174" s="73">
        <f>EFEITO!$N$174*EFEITO!$AA$46</f>
        <v>1627.6850173034288</v>
      </c>
      <c r="M174" s="73">
        <f>$J$174-EFEITO!$K$174*EFEITO!$Y$174</f>
        <v>0</v>
      </c>
      <c r="N174" s="73">
        <f ca="1">$K$174-EFEITO!$M$174*EFEITO!$Z$174</f>
        <v>250.32342844638788</v>
      </c>
      <c r="O174" s="73">
        <f>$L$174-EFEITO!$O$174*EFEITO!$AA$174</f>
        <v>97.661101038205743</v>
      </c>
      <c r="P174" s="57"/>
      <c r="Q174" s="57"/>
      <c r="R174" s="57"/>
      <c r="S174" s="57"/>
      <c r="T174" s="57"/>
      <c r="U174" s="57"/>
      <c r="V174" s="57"/>
      <c r="W174" s="57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r="175" spans="1:36" ht="11.25" customHeight="1" x14ac:dyDescent="0.2">
      <c r="A175" s="53" t="s">
        <v>21</v>
      </c>
      <c r="B175" s="53" t="s">
        <v>41</v>
      </c>
      <c r="C175" s="53" t="s">
        <v>23</v>
      </c>
      <c r="D175" s="53" t="s">
        <v>42</v>
      </c>
      <c r="E175" s="53" t="s">
        <v>50</v>
      </c>
      <c r="F175" s="53" t="s">
        <v>51</v>
      </c>
      <c r="G175" s="53" t="s">
        <v>25</v>
      </c>
      <c r="H175" s="53" t="s">
        <v>25</v>
      </c>
      <c r="I175" s="72">
        <v>44593</v>
      </c>
      <c r="J175" s="73">
        <f>EFEITO!$J$175*EFEITO!$Y$46</f>
        <v>0</v>
      </c>
      <c r="K175" s="73">
        <f ca="1">EFEITO!$L$175*EFEITO!$Z$46</f>
        <v>5086.6068057588764</v>
      </c>
      <c r="L175" s="73">
        <f>EFEITO!$N$175*EFEITO!$AA$46</f>
        <v>1984.4871264426442</v>
      </c>
      <c r="M175" s="73">
        <f>$J$175-EFEITO!$K$175*EFEITO!$Y$175</f>
        <v>0</v>
      </c>
      <c r="N175" s="73">
        <f ca="1">$K$175-EFEITO!$M$175*EFEITO!$Z$175</f>
        <v>305.1964083455332</v>
      </c>
      <c r="O175" s="73">
        <f>$L$175-EFEITO!$O$175*EFEITO!$AA$175</f>
        <v>119.06922758655878</v>
      </c>
      <c r="P175" s="57"/>
      <c r="Q175" s="57"/>
      <c r="R175" s="57"/>
      <c r="S175" s="57"/>
      <c r="T175" s="57"/>
      <c r="U175" s="57"/>
      <c r="V175" s="57"/>
      <c r="W175" s="57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r="176" spans="1:36" ht="11.25" customHeight="1" x14ac:dyDescent="0.2">
      <c r="A176" s="53" t="s">
        <v>21</v>
      </c>
      <c r="B176" s="53" t="s">
        <v>41</v>
      </c>
      <c r="C176" s="53" t="s">
        <v>23</v>
      </c>
      <c r="D176" s="53" t="s">
        <v>42</v>
      </c>
      <c r="E176" s="53" t="s">
        <v>50</v>
      </c>
      <c r="F176" s="53" t="s">
        <v>51</v>
      </c>
      <c r="G176" s="53" t="s">
        <v>25</v>
      </c>
      <c r="H176" s="53" t="s">
        <v>25</v>
      </c>
      <c r="I176" s="72">
        <v>44621</v>
      </c>
      <c r="J176" s="73">
        <f>EFEITO!$J$176*EFEITO!$Y$46</f>
        <v>0</v>
      </c>
      <c r="K176" s="73">
        <f ca="1">EFEITO!$L$176*EFEITO!$Z$46</f>
        <v>4004.9379933584632</v>
      </c>
      <c r="L176" s="73">
        <f>EFEITO!$N$176*EFEITO!$AA$46</f>
        <v>1562.485207431946</v>
      </c>
      <c r="M176" s="73">
        <f>$J$176-EFEITO!$K$176*EFEITO!$Y$176</f>
        <v>0</v>
      </c>
      <c r="N176" s="73">
        <f ca="1">$K$176-EFEITO!$M$176*EFEITO!$Z$176</f>
        <v>240.2962796015081</v>
      </c>
      <c r="O176" s="73">
        <f>$L$176-EFEITO!$O$176*EFEITO!$AA$176</f>
        <v>93.749112445916808</v>
      </c>
      <c r="P176" s="57"/>
      <c r="Q176" s="57"/>
      <c r="R176" s="57"/>
      <c r="S176" s="57"/>
      <c r="T176" s="57"/>
      <c r="U176" s="57"/>
      <c r="V176" s="57"/>
      <c r="W176" s="57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r="177" spans="1:36" ht="11.25" customHeight="1" x14ac:dyDescent="0.2">
      <c r="A177" s="53" t="s">
        <v>21</v>
      </c>
      <c r="B177" s="53" t="s">
        <v>41</v>
      </c>
      <c r="C177" s="53" t="s">
        <v>23</v>
      </c>
      <c r="D177" s="53" t="s">
        <v>42</v>
      </c>
      <c r="E177" s="53" t="s">
        <v>50</v>
      </c>
      <c r="F177" s="53" t="s">
        <v>51</v>
      </c>
      <c r="G177" s="53" t="s">
        <v>25</v>
      </c>
      <c r="H177" s="53" t="s">
        <v>25</v>
      </c>
      <c r="I177" s="72">
        <v>44652</v>
      </c>
      <c r="J177" s="73">
        <f>EFEITO!$J$177*EFEITO!$Y$46</f>
        <v>0</v>
      </c>
      <c r="K177" s="73">
        <f ca="1">EFEITO!$L$177*EFEITO!$Z$46</f>
        <v>3877.2958099000202</v>
      </c>
      <c r="L177" s="73">
        <f>EFEITO!$N$177*EFEITO!$AA$46</f>
        <v>1512.6869274513649</v>
      </c>
      <c r="M177" s="73">
        <f>$J$177-EFEITO!$K$177*EFEITO!$Y$177</f>
        <v>0</v>
      </c>
      <c r="N177" s="73">
        <f ca="1">$K$177-EFEITO!$M$177*EFEITO!$Z$177</f>
        <v>232.63774859400155</v>
      </c>
      <c r="O177" s="73">
        <f>$L$177-EFEITO!$O$177*EFEITO!$AA$177</f>
        <v>90.761215647081826</v>
      </c>
      <c r="P177" s="57"/>
      <c r="Q177" s="57"/>
      <c r="R177" s="57"/>
      <c r="S177" s="57"/>
      <c r="T177" s="57"/>
      <c r="U177" s="57"/>
      <c r="V177" s="57"/>
      <c r="W177" s="57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r="178" spans="1:36" ht="11.25" customHeight="1" x14ac:dyDescent="0.2">
      <c r="A178" s="53" t="s">
        <v>21</v>
      </c>
      <c r="B178" s="53" t="s">
        <v>41</v>
      </c>
      <c r="C178" s="53" t="s">
        <v>23</v>
      </c>
      <c r="D178" s="53" t="s">
        <v>42</v>
      </c>
      <c r="E178" s="53" t="s">
        <v>50</v>
      </c>
      <c r="F178" s="53" t="s">
        <v>52</v>
      </c>
      <c r="G178" s="53" t="s">
        <v>25</v>
      </c>
      <c r="H178" s="53" t="s">
        <v>25</v>
      </c>
      <c r="I178" s="72">
        <v>44317</v>
      </c>
      <c r="J178" s="73">
        <f>EFEITO!$J$178*EFEITO!$Y$46</f>
        <v>0</v>
      </c>
      <c r="K178" s="73">
        <f ca="1">EFEITO!$L$178*EFEITO!$Z$46</f>
        <v>226.33459334899152</v>
      </c>
      <c r="L178" s="73">
        <f>EFEITO!$N$178*EFEITO!$AA$46</f>
        <v>88.302104707834644</v>
      </c>
      <c r="M178" s="73">
        <f>$J$178-EFEITO!$K$178*EFEITO!$Y$178</f>
        <v>0</v>
      </c>
      <c r="N178" s="73">
        <f ca="1">$K$178-EFEITO!$M$178*EFEITO!$Z$178</f>
        <v>168.89087355701747</v>
      </c>
      <c r="O178" s="73">
        <f>$L$178-EFEITO!$O$178*EFEITO!$AA$178</f>
        <v>65.891030532986207</v>
      </c>
      <c r="P178" s="57"/>
      <c r="Q178" s="57"/>
      <c r="R178" s="57"/>
      <c r="S178" s="57"/>
      <c r="T178" s="57"/>
      <c r="U178" s="57"/>
      <c r="V178" s="57"/>
      <c r="W178" s="57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r="179" spans="1:36" ht="11.25" customHeight="1" x14ac:dyDescent="0.2">
      <c r="A179" s="53" t="s">
        <v>21</v>
      </c>
      <c r="B179" s="53" t="s">
        <v>41</v>
      </c>
      <c r="C179" s="53" t="s">
        <v>23</v>
      </c>
      <c r="D179" s="53" t="s">
        <v>42</v>
      </c>
      <c r="E179" s="53" t="s">
        <v>50</v>
      </c>
      <c r="F179" s="53" t="s">
        <v>52</v>
      </c>
      <c r="G179" s="53" t="s">
        <v>25</v>
      </c>
      <c r="H179" s="53" t="s">
        <v>25</v>
      </c>
      <c r="I179" s="72">
        <v>44348</v>
      </c>
      <c r="J179" s="73">
        <f>EFEITO!$J$179*EFEITO!$Y$46</f>
        <v>0</v>
      </c>
      <c r="K179" s="73">
        <f ca="1">EFEITO!$L$179*EFEITO!$Z$46</f>
        <v>225.0186945504509</v>
      </c>
      <c r="L179" s="73">
        <f>EFEITO!$N$179*EFEITO!$AA$46</f>
        <v>87.788720378137938</v>
      </c>
      <c r="M179" s="73">
        <f>$J$179-EFEITO!$K$179*EFEITO!$Y$179</f>
        <v>0</v>
      </c>
      <c r="N179" s="73">
        <f ca="1">$K$179-EFEITO!$M$179*EFEITO!$Z$179</f>
        <v>167.90894987354648</v>
      </c>
      <c r="O179" s="73">
        <f>$L$179-EFEITO!$O$179*EFEITO!$AA$179</f>
        <v>65.507943146166525</v>
      </c>
      <c r="P179" s="57"/>
      <c r="Q179" s="57"/>
      <c r="R179" s="57"/>
      <c r="S179" s="57"/>
      <c r="T179" s="57"/>
      <c r="U179" s="57"/>
      <c r="V179" s="57"/>
      <c r="W179" s="57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r="180" spans="1:36" ht="11.25" customHeight="1" x14ac:dyDescent="0.2">
      <c r="A180" s="53" t="s">
        <v>21</v>
      </c>
      <c r="B180" s="53" t="s">
        <v>41</v>
      </c>
      <c r="C180" s="53" t="s">
        <v>23</v>
      </c>
      <c r="D180" s="53" t="s">
        <v>42</v>
      </c>
      <c r="E180" s="53" t="s">
        <v>50</v>
      </c>
      <c r="F180" s="53" t="s">
        <v>52</v>
      </c>
      <c r="G180" s="53" t="s">
        <v>25</v>
      </c>
      <c r="H180" s="53" t="s">
        <v>25</v>
      </c>
      <c r="I180" s="72">
        <v>44378</v>
      </c>
      <c r="J180" s="73">
        <f>EFEITO!$J$180*EFEITO!$Y$46</f>
        <v>0</v>
      </c>
      <c r="K180" s="73">
        <f ca="1">EFEITO!$L$180*EFEITO!$Z$46</f>
        <v>375.03115758408478</v>
      </c>
      <c r="L180" s="73">
        <f>EFEITO!$N$180*EFEITO!$AA$46</f>
        <v>146.31453396356321</v>
      </c>
      <c r="M180" s="73">
        <f>$J$180-EFEITO!$K$180*EFEITO!$Y$180</f>
        <v>0</v>
      </c>
      <c r="N180" s="73">
        <f ca="1">$K$180-EFEITO!$M$180*EFEITO!$Z$180</f>
        <v>279.84824978924405</v>
      </c>
      <c r="O180" s="73">
        <f>$L$180-EFEITO!$O$180*EFEITO!$AA$180</f>
        <v>109.17990524361086</v>
      </c>
      <c r="P180" s="57"/>
      <c r="Q180" s="57"/>
      <c r="R180" s="57"/>
      <c r="S180" s="57"/>
      <c r="T180" s="57"/>
      <c r="U180" s="57"/>
      <c r="V180" s="57"/>
      <c r="W180" s="57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 spans="1:36" ht="11.25" customHeight="1" x14ac:dyDescent="0.2">
      <c r="A181" s="53" t="s">
        <v>21</v>
      </c>
      <c r="B181" s="53" t="s">
        <v>41</v>
      </c>
      <c r="C181" s="53" t="s">
        <v>23</v>
      </c>
      <c r="D181" s="53" t="s">
        <v>42</v>
      </c>
      <c r="E181" s="53" t="s">
        <v>50</v>
      </c>
      <c r="F181" s="53" t="s">
        <v>52</v>
      </c>
      <c r="G181" s="53" t="s">
        <v>25</v>
      </c>
      <c r="H181" s="53" t="s">
        <v>25</v>
      </c>
      <c r="I181" s="72">
        <v>44409</v>
      </c>
      <c r="J181" s="73">
        <f>EFEITO!$J$181*EFEITO!$Y$46</f>
        <v>0</v>
      </c>
      <c r="K181" s="73">
        <f ca="1">EFEITO!$L$181*EFEITO!$Z$46</f>
        <v>438.19429991403592</v>
      </c>
      <c r="L181" s="73">
        <f>EFEITO!$N$181*EFEITO!$AA$46</f>
        <v>170.95698178900545</v>
      </c>
      <c r="M181" s="73">
        <f>$J$181-EFEITO!$K$181*EFEITO!$Y$181</f>
        <v>0</v>
      </c>
      <c r="N181" s="73">
        <f ca="1">$K$181-EFEITO!$M$181*EFEITO!$Z$181</f>
        <v>326.98058659585359</v>
      </c>
      <c r="O181" s="73">
        <f>$L$181-EFEITO!$O$181*EFEITO!$AA$181</f>
        <v>127.56809981095587</v>
      </c>
      <c r="P181" s="57"/>
      <c r="Q181" s="57"/>
      <c r="R181" s="57"/>
      <c r="S181" s="57"/>
      <c r="T181" s="57"/>
      <c r="U181" s="57"/>
      <c r="V181" s="57"/>
      <c r="W181" s="57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r="182" spans="1:36" ht="11.25" customHeight="1" x14ac:dyDescent="0.2">
      <c r="A182" s="53" t="s">
        <v>21</v>
      </c>
      <c r="B182" s="53" t="s">
        <v>41</v>
      </c>
      <c r="C182" s="53" t="s">
        <v>23</v>
      </c>
      <c r="D182" s="53" t="s">
        <v>42</v>
      </c>
      <c r="E182" s="53" t="s">
        <v>50</v>
      </c>
      <c r="F182" s="53" t="s">
        <v>52</v>
      </c>
      <c r="G182" s="53" t="s">
        <v>25</v>
      </c>
      <c r="H182" s="53" t="s">
        <v>25</v>
      </c>
      <c r="I182" s="72">
        <v>44440</v>
      </c>
      <c r="J182" s="73">
        <f>EFEITO!$J$182*EFEITO!$Y$46</f>
        <v>0</v>
      </c>
      <c r="K182" s="73">
        <f ca="1">EFEITO!$L$182*EFEITO!$Z$46</f>
        <v>983.63435190913469</v>
      </c>
      <c r="L182" s="73">
        <f>EFEITO!$N$182*EFEITO!$AA$46</f>
        <v>383.75478644829303</v>
      </c>
      <c r="M182" s="73">
        <f>$J$182-EFEITO!$K$182*EFEITO!$Y$182</f>
        <v>0</v>
      </c>
      <c r="N182" s="73">
        <f ca="1">$K$182-EFEITO!$M$182*EFEITO!$Z$182</f>
        <v>733.98795339459639</v>
      </c>
      <c r="O182" s="73">
        <f>$L$182-EFEITO!$O$182*EFEITO!$AA$182</f>
        <v>286.35782164771626</v>
      </c>
      <c r="P182" s="57"/>
      <c r="Q182" s="57"/>
      <c r="R182" s="57"/>
      <c r="S182" s="57"/>
      <c r="T182" s="57"/>
      <c r="U182" s="57"/>
      <c r="V182" s="57"/>
      <c r="W182" s="57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r="183" spans="1:36" ht="11.25" customHeight="1" x14ac:dyDescent="0.2">
      <c r="A183" s="53" t="s">
        <v>21</v>
      </c>
      <c r="B183" s="53" t="s">
        <v>41</v>
      </c>
      <c r="C183" s="53" t="s">
        <v>23</v>
      </c>
      <c r="D183" s="53" t="s">
        <v>42</v>
      </c>
      <c r="E183" s="53" t="s">
        <v>50</v>
      </c>
      <c r="F183" s="53" t="s">
        <v>52</v>
      </c>
      <c r="G183" s="53" t="s">
        <v>25</v>
      </c>
      <c r="H183" s="53" t="s">
        <v>25</v>
      </c>
      <c r="I183" s="72">
        <v>44470</v>
      </c>
      <c r="J183" s="73">
        <f>EFEITO!$J$183*EFEITO!$Y$46</f>
        <v>0</v>
      </c>
      <c r="K183" s="73">
        <f ca="1">EFEITO!$L$183*EFEITO!$Z$46</f>
        <v>4631.3058214638122</v>
      </c>
      <c r="L183" s="73">
        <f>EFEITO!$N$183*EFEITO!$AA$46</f>
        <v>1806.8561483675815</v>
      </c>
      <c r="M183" s="73">
        <f>$J$183-EFEITO!$K$183*EFEITO!$Y$183</f>
        <v>0</v>
      </c>
      <c r="N183" s="73">
        <f ca="1">$K$183-EFEITO!$M$183*EFEITO!$Z$183</f>
        <v>3455.8804039762967</v>
      </c>
      <c r="O183" s="73">
        <f>$L$183-EFEITO!$O$183*EFEITO!$AA$183</f>
        <v>1348.2760579118892</v>
      </c>
      <c r="P183" s="57"/>
      <c r="Q183" s="57"/>
      <c r="R183" s="57"/>
      <c r="S183" s="57"/>
      <c r="T183" s="57"/>
      <c r="U183" s="57"/>
      <c r="V183" s="57"/>
      <c r="W183" s="57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r="184" spans="1:36" ht="11.25" customHeight="1" x14ac:dyDescent="0.2">
      <c r="A184" s="53" t="s">
        <v>21</v>
      </c>
      <c r="B184" s="53" t="s">
        <v>41</v>
      </c>
      <c r="C184" s="53" t="s">
        <v>23</v>
      </c>
      <c r="D184" s="53" t="s">
        <v>42</v>
      </c>
      <c r="E184" s="53" t="s">
        <v>50</v>
      </c>
      <c r="F184" s="53" t="s">
        <v>52</v>
      </c>
      <c r="G184" s="53" t="s">
        <v>25</v>
      </c>
      <c r="H184" s="53" t="s">
        <v>25</v>
      </c>
      <c r="I184" s="72">
        <v>44501</v>
      </c>
      <c r="J184" s="73">
        <f>EFEITO!$J$184*EFEITO!$Y$46</f>
        <v>0</v>
      </c>
      <c r="K184" s="73">
        <f ca="1">EFEITO!$L$184*EFEITO!$Z$46</f>
        <v>3968.0928269993251</v>
      </c>
      <c r="L184" s="73">
        <f>EFEITO!$N$184*EFEITO!$AA$46</f>
        <v>1548.1104462004382</v>
      </c>
      <c r="M184" s="73">
        <f>$J$184-EFEITO!$K$184*EFEITO!$Y$184</f>
        <v>0</v>
      </c>
      <c r="N184" s="73">
        <f ca="1">$K$184-EFEITO!$M$184*EFEITO!$Z$184</f>
        <v>2960.9908675068964</v>
      </c>
      <c r="O184" s="73">
        <f>$L$184-EFEITO!$O$184*EFEITO!$AA$184</f>
        <v>1155.2000149547671</v>
      </c>
      <c r="P184" s="57"/>
      <c r="Q184" s="57"/>
      <c r="R184" s="57"/>
      <c r="S184" s="57"/>
      <c r="T184" s="57"/>
      <c r="U184" s="57"/>
      <c r="V184" s="57"/>
      <c r="W184" s="57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r="185" spans="1:36" ht="11.25" customHeight="1" x14ac:dyDescent="0.2">
      <c r="A185" s="53" t="s">
        <v>21</v>
      </c>
      <c r="B185" s="53" t="s">
        <v>41</v>
      </c>
      <c r="C185" s="53" t="s">
        <v>23</v>
      </c>
      <c r="D185" s="53" t="s">
        <v>42</v>
      </c>
      <c r="E185" s="53" t="s">
        <v>50</v>
      </c>
      <c r="F185" s="53" t="s">
        <v>52</v>
      </c>
      <c r="G185" s="53" t="s">
        <v>25</v>
      </c>
      <c r="H185" s="53" t="s">
        <v>25</v>
      </c>
      <c r="I185" s="72">
        <v>44531</v>
      </c>
      <c r="J185" s="73">
        <f>EFEITO!$J$185*EFEITO!$Y$46</f>
        <v>0</v>
      </c>
      <c r="K185" s="73">
        <f ca="1">EFEITO!$L$185*EFEITO!$Z$46</f>
        <v>3902.9558364715635</v>
      </c>
      <c r="L185" s="73">
        <f>EFEITO!$N$185*EFEITO!$AA$46</f>
        <v>1522.6979218804511</v>
      </c>
      <c r="M185" s="73">
        <f>$J$185-EFEITO!$K$185*EFEITO!$Y$185</f>
        <v>0</v>
      </c>
      <c r="N185" s="73">
        <f ca="1">$K$185-EFEITO!$M$185*EFEITO!$Z$185</f>
        <v>2912.3856451750808</v>
      </c>
      <c r="O185" s="73">
        <f>$L$185-EFEITO!$O$185*EFEITO!$AA$185</f>
        <v>1136.2371893071927</v>
      </c>
      <c r="P185" s="57"/>
      <c r="Q185" s="57"/>
      <c r="R185" s="57"/>
      <c r="S185" s="57"/>
      <c r="T185" s="57"/>
      <c r="U185" s="57"/>
      <c r="V185" s="57"/>
      <c r="W185" s="57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r="186" spans="1:36" ht="11.25" customHeight="1" x14ac:dyDescent="0.2">
      <c r="A186" s="53" t="s">
        <v>21</v>
      </c>
      <c r="B186" s="53" t="s">
        <v>41</v>
      </c>
      <c r="C186" s="53" t="s">
        <v>23</v>
      </c>
      <c r="D186" s="53" t="s">
        <v>42</v>
      </c>
      <c r="E186" s="53" t="s">
        <v>50</v>
      </c>
      <c r="F186" s="53" t="s">
        <v>52</v>
      </c>
      <c r="G186" s="53" t="s">
        <v>25</v>
      </c>
      <c r="H186" s="53" t="s">
        <v>25</v>
      </c>
      <c r="I186" s="72">
        <v>44562</v>
      </c>
      <c r="J186" s="73">
        <f>EFEITO!$J$186*EFEITO!$Y$46</f>
        <v>0</v>
      </c>
      <c r="K186" s="73">
        <f ca="1">EFEITO!$L$186*EFEITO!$Z$46</f>
        <v>5435.9779367714191</v>
      </c>
      <c r="L186" s="73">
        <f>EFEITO!$N$186*EFEITO!$AA$46</f>
        <v>2120.7906659771215</v>
      </c>
      <c r="M186" s="73">
        <f>$J$186-EFEITO!$K$186*EFEITO!$Y$186</f>
        <v>0</v>
      </c>
      <c r="N186" s="73">
        <f ca="1">$K$186-EFEITO!$M$186*EFEITO!$Z$186</f>
        <v>4056.3267364188332</v>
      </c>
      <c r="O186" s="73">
        <f>$L$186-EFEITO!$O$186*EFEITO!$AA$186</f>
        <v>1582.5339949521281</v>
      </c>
      <c r="P186" s="57"/>
      <c r="Q186" s="57"/>
      <c r="R186" s="57"/>
      <c r="S186" s="57"/>
      <c r="T186" s="57"/>
      <c r="U186" s="57"/>
      <c r="V186" s="57"/>
      <c r="W186" s="57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r="187" spans="1:36" ht="11.25" customHeight="1" x14ac:dyDescent="0.2">
      <c r="A187" s="53" t="s">
        <v>21</v>
      </c>
      <c r="B187" s="53" t="s">
        <v>41</v>
      </c>
      <c r="C187" s="53" t="s">
        <v>23</v>
      </c>
      <c r="D187" s="53" t="s">
        <v>42</v>
      </c>
      <c r="E187" s="53" t="s">
        <v>50</v>
      </c>
      <c r="F187" s="53" t="s">
        <v>52</v>
      </c>
      <c r="G187" s="53" t="s">
        <v>25</v>
      </c>
      <c r="H187" s="53" t="s">
        <v>25</v>
      </c>
      <c r="I187" s="72">
        <v>44593</v>
      </c>
      <c r="J187" s="73">
        <f>EFEITO!$J$187*EFEITO!$Y$46</f>
        <v>0</v>
      </c>
      <c r="K187" s="73">
        <f ca="1">EFEITO!$L$187*EFEITO!$Z$46</f>
        <v>3697.675623899222</v>
      </c>
      <c r="L187" s="73">
        <f>EFEITO!$N$187*EFEITO!$AA$46</f>
        <v>1442.6099664477638</v>
      </c>
      <c r="M187" s="73">
        <f>$J$187-EFEITO!$K$187*EFEITO!$Y$187</f>
        <v>0</v>
      </c>
      <c r="N187" s="73">
        <f ca="1">$K$187-EFEITO!$M$187*EFEITO!$Z$187</f>
        <v>2759.2055505535996</v>
      </c>
      <c r="O187" s="73">
        <f>$L$187-EFEITO!$O$187*EFEITO!$AA$187</f>
        <v>1076.4755569633214</v>
      </c>
      <c r="P187" s="57"/>
      <c r="Q187" s="57"/>
      <c r="R187" s="57"/>
      <c r="S187" s="57"/>
      <c r="T187" s="57"/>
      <c r="U187" s="57"/>
      <c r="V187" s="57"/>
      <c r="W187" s="57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r="188" spans="1:36" ht="11.25" customHeight="1" x14ac:dyDescent="0.2">
      <c r="A188" s="53" t="s">
        <v>21</v>
      </c>
      <c r="B188" s="53" t="s">
        <v>41</v>
      </c>
      <c r="C188" s="53" t="s">
        <v>23</v>
      </c>
      <c r="D188" s="53" t="s">
        <v>42</v>
      </c>
      <c r="E188" s="53" t="s">
        <v>50</v>
      </c>
      <c r="F188" s="53" t="s">
        <v>52</v>
      </c>
      <c r="G188" s="53" t="s">
        <v>25</v>
      </c>
      <c r="H188" s="53" t="s">
        <v>25</v>
      </c>
      <c r="I188" s="72">
        <v>44621</v>
      </c>
      <c r="J188" s="73">
        <f>EFEITO!$J$188*EFEITO!$Y$46</f>
        <v>0</v>
      </c>
      <c r="K188" s="73">
        <f ca="1">EFEITO!$L$188*EFEITO!$Z$46</f>
        <v>4050.994451307386</v>
      </c>
      <c r="L188" s="73">
        <f>EFEITO!$N$188*EFEITO!$AA$46</f>
        <v>1580.4536589713312</v>
      </c>
      <c r="M188" s="73">
        <f>$J$188-EFEITO!$K$188*EFEITO!$Y$188</f>
        <v>0</v>
      </c>
      <c r="N188" s="73">
        <f ca="1">$K$188-EFEITO!$M$188*EFEITO!$Z$188</f>
        <v>3022.8520595655718</v>
      </c>
      <c r="O188" s="73">
        <f>$L$188-EFEITO!$O$188*EFEITO!$AA$188</f>
        <v>1179.3345203244073</v>
      </c>
      <c r="P188" s="57"/>
      <c r="Q188" s="57"/>
      <c r="R188" s="57"/>
      <c r="S188" s="57"/>
      <c r="T188" s="57"/>
      <c r="U188" s="57"/>
      <c r="V188" s="57"/>
      <c r="W188" s="57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r="189" spans="1:36" ht="11.25" customHeight="1" x14ac:dyDescent="0.2">
      <c r="A189" s="53" t="s">
        <v>21</v>
      </c>
      <c r="B189" s="53" t="s">
        <v>41</v>
      </c>
      <c r="C189" s="53" t="s">
        <v>23</v>
      </c>
      <c r="D189" s="53" t="s">
        <v>42</v>
      </c>
      <c r="E189" s="53" t="s">
        <v>50</v>
      </c>
      <c r="F189" s="53" t="s">
        <v>52</v>
      </c>
      <c r="G189" s="53" t="s">
        <v>25</v>
      </c>
      <c r="H189" s="53" t="s">
        <v>25</v>
      </c>
      <c r="I189" s="72">
        <v>44652</v>
      </c>
      <c r="J189" s="73">
        <f>EFEITO!$J$189*EFEITO!$Y$46</f>
        <v>0</v>
      </c>
      <c r="K189" s="73">
        <f ca="1">EFEITO!$L$189*EFEITO!$Z$46</f>
        <v>2323.8772782227852</v>
      </c>
      <c r="L189" s="73">
        <f>EFEITO!$N$189*EFEITO!$AA$46</f>
        <v>906.63672624439528</v>
      </c>
      <c r="M189" s="73">
        <f>$J$189-EFEITO!$K$189*EFEITO!$Y$189</f>
        <v>0</v>
      </c>
      <c r="N189" s="73">
        <f ca="1">$K$189-EFEITO!$M$189*EFEITO!$Z$189</f>
        <v>1734.0772250098423</v>
      </c>
      <c r="O189" s="73">
        <f>$L$189-EFEITO!$O$189*EFEITO!$AA$189</f>
        <v>676.53232512356772</v>
      </c>
      <c r="P189" s="57"/>
      <c r="Q189" s="57"/>
      <c r="R189" s="57"/>
      <c r="S189" s="57"/>
      <c r="T189" s="57"/>
      <c r="U189" s="57"/>
      <c r="V189" s="57"/>
      <c r="W189" s="57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r="190" spans="1:36" ht="11.25" customHeight="1" x14ac:dyDescent="0.2">
      <c r="A190" s="53" t="s">
        <v>21</v>
      </c>
      <c r="B190" s="53" t="s">
        <v>41</v>
      </c>
      <c r="C190" s="53" t="s">
        <v>23</v>
      </c>
      <c r="D190" s="53" t="s">
        <v>42</v>
      </c>
      <c r="E190" s="53" t="s">
        <v>25</v>
      </c>
      <c r="F190" s="53" t="s">
        <v>25</v>
      </c>
      <c r="G190" s="53" t="s">
        <v>25</v>
      </c>
      <c r="H190" s="53" t="s">
        <v>25</v>
      </c>
      <c r="I190" s="72">
        <v>44317</v>
      </c>
      <c r="J190" s="73">
        <f>EFEITO!$J$190*EFEITO!$Y$46</f>
        <v>0</v>
      </c>
      <c r="K190" s="73">
        <f ca="1">EFEITO!$L$190*EFEITO!$Z$46</f>
        <v>136069.19936429721</v>
      </c>
      <c r="L190" s="73">
        <f>EFEITO!$N$190*EFEITO!$AA$46</f>
        <v>53085.993227958912</v>
      </c>
      <c r="M190" s="73">
        <f>$J$190-EFEITO!$K$190*EFEITO!$Y$190</f>
        <v>0</v>
      </c>
      <c r="N190" s="73">
        <f ca="1">$K$190-EFEITO!$M$190*EFEITO!$Z$190</f>
        <v>8164.1519618578459</v>
      </c>
      <c r="O190" s="73">
        <f>$L$190-EFEITO!$O$190*EFEITO!$AA$190</f>
        <v>3185.1595936775338</v>
      </c>
      <c r="P190" s="57"/>
      <c r="Q190" s="57"/>
      <c r="R190" s="57"/>
      <c r="S190" s="57"/>
      <c r="T190" s="57"/>
      <c r="U190" s="57"/>
      <c r="V190" s="57"/>
      <c r="W190" s="57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r="191" spans="1:36" ht="11.25" customHeight="1" x14ac:dyDescent="0.2">
      <c r="A191" s="53" t="s">
        <v>21</v>
      </c>
      <c r="B191" s="53" t="s">
        <v>41</v>
      </c>
      <c r="C191" s="53" t="s">
        <v>23</v>
      </c>
      <c r="D191" s="53" t="s">
        <v>42</v>
      </c>
      <c r="E191" s="53" t="s">
        <v>25</v>
      </c>
      <c r="F191" s="53" t="s">
        <v>25</v>
      </c>
      <c r="G191" s="53" t="s">
        <v>25</v>
      </c>
      <c r="H191" s="53" t="s">
        <v>25</v>
      </c>
      <c r="I191" s="72">
        <v>44348</v>
      </c>
      <c r="J191" s="73">
        <f>EFEITO!$J$191*EFEITO!$Y$46</f>
        <v>0</v>
      </c>
      <c r="K191" s="73">
        <f ca="1">EFEITO!$L$191*EFEITO!$Z$46</f>
        <v>133328.18216693704</v>
      </c>
      <c r="L191" s="73">
        <f>EFEITO!$N$191*EFEITO!$AA$46</f>
        <v>52016.613669200662</v>
      </c>
      <c r="M191" s="73">
        <f>$J$191-EFEITO!$K$191*EFEITO!$Y$191</f>
        <v>0</v>
      </c>
      <c r="N191" s="73">
        <f ca="1">$K$191-EFEITO!$M$191*EFEITO!$Z$191</f>
        <v>7999.690930016237</v>
      </c>
      <c r="O191" s="73">
        <f>$L$191-EFEITO!$O$191*EFEITO!$AA$191</f>
        <v>3120.9968201520387</v>
      </c>
      <c r="P191" s="57"/>
      <c r="Q191" s="57"/>
      <c r="R191" s="57"/>
      <c r="S191" s="57"/>
      <c r="T191" s="57"/>
      <c r="U191" s="57"/>
      <c r="V191" s="57"/>
      <c r="W191" s="57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r="192" spans="1:36" ht="11.25" customHeight="1" x14ac:dyDescent="0.2">
      <c r="A192" s="53" t="s">
        <v>27</v>
      </c>
      <c r="B192" s="53" t="s">
        <v>41</v>
      </c>
      <c r="C192" s="53" t="s">
        <v>23</v>
      </c>
      <c r="D192" s="53" t="s">
        <v>42</v>
      </c>
      <c r="E192" s="53" t="s">
        <v>25</v>
      </c>
      <c r="F192" s="53" t="s">
        <v>25</v>
      </c>
      <c r="G192" s="53" t="s">
        <v>25</v>
      </c>
      <c r="H192" s="53" t="s">
        <v>25</v>
      </c>
      <c r="I192" s="72">
        <v>44348</v>
      </c>
      <c r="J192" s="73">
        <f>EFEITO!$J$192*EFEITO!$Y$46</f>
        <v>0</v>
      </c>
      <c r="K192" s="73">
        <f ca="1">EFEITO!$L$192*EFEITO!$Z$46</f>
        <v>1084.9585593967647</v>
      </c>
      <c r="L192" s="73">
        <f>EFEITO!$N$192*EFEITO!$AA$46</f>
        <v>423.28537983493993</v>
      </c>
      <c r="M192" s="73">
        <f>$J$192-EFEITO!$K$192*EFEITO!$Y$192</f>
        <v>0</v>
      </c>
      <c r="N192" s="73">
        <f ca="1">$K$192-EFEITO!$M$192*EFEITO!$Z$192</f>
        <v>65.097513563806046</v>
      </c>
      <c r="O192" s="73">
        <f>$L$192-EFEITO!$O$192*EFEITO!$AA$192</f>
        <v>25.397122790096432</v>
      </c>
      <c r="P192" s="57"/>
      <c r="Q192" s="57"/>
      <c r="R192" s="57"/>
      <c r="S192" s="57"/>
      <c r="T192" s="57"/>
      <c r="U192" s="57"/>
      <c r="V192" s="57"/>
      <c r="W192" s="57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r="193" spans="1:36" ht="11.25" customHeight="1" x14ac:dyDescent="0.2">
      <c r="A193" s="53" t="s">
        <v>21</v>
      </c>
      <c r="B193" s="53" t="s">
        <v>41</v>
      </c>
      <c r="C193" s="53" t="s">
        <v>23</v>
      </c>
      <c r="D193" s="53" t="s">
        <v>42</v>
      </c>
      <c r="E193" s="53" t="s">
        <v>25</v>
      </c>
      <c r="F193" s="53" t="s">
        <v>25</v>
      </c>
      <c r="G193" s="53" t="s">
        <v>25</v>
      </c>
      <c r="H193" s="53" t="s">
        <v>25</v>
      </c>
      <c r="I193" s="72">
        <v>44378</v>
      </c>
      <c r="J193" s="73">
        <f>EFEITO!$J$193*EFEITO!$Y$46</f>
        <v>0</v>
      </c>
      <c r="K193" s="73">
        <f ca="1">EFEITO!$L$193*EFEITO!$Z$46</f>
        <v>120385.65953389049</v>
      </c>
      <c r="L193" s="73">
        <f>EFEITO!$N$193*EFEITO!$AA$46</f>
        <v>46967.222094468641</v>
      </c>
      <c r="M193" s="73">
        <f>$J$193-EFEITO!$K$193*EFEITO!$Y$193</f>
        <v>0</v>
      </c>
      <c r="N193" s="73">
        <f ca="1">$K$193-EFEITO!$M$193*EFEITO!$Z$193</f>
        <v>7223.1395720334403</v>
      </c>
      <c r="O193" s="73">
        <f>$L$193-EFEITO!$O$193*EFEITO!$AA$193</f>
        <v>2818.0333256681188</v>
      </c>
      <c r="P193" s="57"/>
      <c r="Q193" s="57"/>
      <c r="R193" s="57"/>
      <c r="S193" s="57"/>
      <c r="T193" s="57"/>
      <c r="U193" s="57"/>
      <c r="V193" s="57"/>
      <c r="W193" s="57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r="194" spans="1:36" ht="11.25" customHeight="1" x14ac:dyDescent="0.2">
      <c r="A194" s="53" t="s">
        <v>27</v>
      </c>
      <c r="B194" s="53" t="s">
        <v>41</v>
      </c>
      <c r="C194" s="53" t="s">
        <v>23</v>
      </c>
      <c r="D194" s="53" t="s">
        <v>42</v>
      </c>
      <c r="E194" s="53" t="s">
        <v>25</v>
      </c>
      <c r="F194" s="53" t="s">
        <v>25</v>
      </c>
      <c r="G194" s="53" t="s">
        <v>25</v>
      </c>
      <c r="H194" s="53" t="s">
        <v>25</v>
      </c>
      <c r="I194" s="72">
        <v>44378</v>
      </c>
      <c r="J194" s="73">
        <f>EFEITO!$J$194*EFEITO!$Y$46</f>
        <v>0</v>
      </c>
      <c r="K194" s="73">
        <f ca="1">EFEITO!$L$194*EFEITO!$Z$46</f>
        <v>1233.6551236318578</v>
      </c>
      <c r="L194" s="73">
        <f>EFEITO!$N$194*EFEITO!$AA$46</f>
        <v>481.29780909066847</v>
      </c>
      <c r="M194" s="73">
        <f>$J$194-EFEITO!$K$194*EFEITO!$Y$194</f>
        <v>0</v>
      </c>
      <c r="N194" s="73">
        <f ca="1">$K$194-EFEITO!$M$194*EFEITO!$Z$194</f>
        <v>74.019307417911477</v>
      </c>
      <c r="O194" s="73">
        <f>$L$194-EFEITO!$O$194*EFEITO!$AA$194</f>
        <v>28.877868545440094</v>
      </c>
      <c r="P194" s="57"/>
      <c r="Q194" s="57"/>
      <c r="R194" s="57"/>
      <c r="S194" s="57"/>
      <c r="T194" s="57"/>
      <c r="U194" s="57"/>
      <c r="V194" s="57"/>
      <c r="W194" s="57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r="195" spans="1:36" ht="11.25" customHeight="1" x14ac:dyDescent="0.2">
      <c r="A195" s="53" t="s">
        <v>21</v>
      </c>
      <c r="B195" s="53" t="s">
        <v>41</v>
      </c>
      <c r="C195" s="53" t="s">
        <v>23</v>
      </c>
      <c r="D195" s="53" t="s">
        <v>42</v>
      </c>
      <c r="E195" s="53" t="s">
        <v>25</v>
      </c>
      <c r="F195" s="53" t="s">
        <v>25</v>
      </c>
      <c r="G195" s="53" t="s">
        <v>25</v>
      </c>
      <c r="H195" s="53" t="s">
        <v>25</v>
      </c>
      <c r="I195" s="72">
        <v>44409</v>
      </c>
      <c r="J195" s="73">
        <f>EFEITO!$J$195*EFEITO!$Y$46</f>
        <v>0</v>
      </c>
      <c r="K195" s="73">
        <f ca="1">EFEITO!$L$195*EFEITO!$Z$46</f>
        <v>119090.81511612648</v>
      </c>
      <c r="L195" s="73">
        <f>EFEITO!$N$195*EFEITO!$AA$46</f>
        <v>46462.051914047071</v>
      </c>
      <c r="M195" s="73">
        <f>$J$195-EFEITO!$K$195*EFEITO!$Y$195</f>
        <v>0</v>
      </c>
      <c r="N195" s="73">
        <f ca="1">$K$195-EFEITO!$M$195*EFEITO!$Z$195</f>
        <v>7145.4489069676056</v>
      </c>
      <c r="O195" s="73">
        <f>$L$195-EFEITO!$O$195*EFEITO!$AA$195</f>
        <v>2787.7231148428255</v>
      </c>
      <c r="P195" s="57"/>
      <c r="Q195" s="57"/>
      <c r="R195" s="57"/>
      <c r="S195" s="57"/>
      <c r="T195" s="57"/>
      <c r="U195" s="57"/>
      <c r="V195" s="57"/>
      <c r="W195" s="57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r="196" spans="1:36" ht="11.25" customHeight="1" x14ac:dyDescent="0.2">
      <c r="A196" s="53" t="s">
        <v>27</v>
      </c>
      <c r="B196" s="53" t="s">
        <v>41</v>
      </c>
      <c r="C196" s="53" t="s">
        <v>23</v>
      </c>
      <c r="D196" s="53" t="s">
        <v>42</v>
      </c>
      <c r="E196" s="53" t="s">
        <v>25</v>
      </c>
      <c r="F196" s="53" t="s">
        <v>25</v>
      </c>
      <c r="G196" s="53" t="s">
        <v>25</v>
      </c>
      <c r="H196" s="53" t="s">
        <v>25</v>
      </c>
      <c r="I196" s="72">
        <v>44409</v>
      </c>
      <c r="J196" s="73">
        <f>EFEITO!$J$196*EFEITO!$Y$46</f>
        <v>0</v>
      </c>
      <c r="K196" s="73">
        <f ca="1">EFEITO!$L$196*EFEITO!$Z$46</f>
        <v>2618.6386090958904</v>
      </c>
      <c r="L196" s="73">
        <f>EFEITO!$N$196*EFEITO!$AA$46</f>
        <v>1021.634816096459</v>
      </c>
      <c r="M196" s="73">
        <f>$J$196-EFEITO!$K$196*EFEITO!$Y$196</f>
        <v>0</v>
      </c>
      <c r="N196" s="73">
        <f ca="1">$K$196-EFEITO!$M$196*EFEITO!$Z$196</f>
        <v>157.11831654575371</v>
      </c>
      <c r="O196" s="73">
        <f>$L$196-EFEITO!$O$196*EFEITO!$AA$196</f>
        <v>61.298088965787542</v>
      </c>
      <c r="P196" s="57"/>
      <c r="Q196" s="57"/>
      <c r="R196" s="57"/>
      <c r="S196" s="57"/>
      <c r="T196" s="57"/>
      <c r="U196" s="57"/>
      <c r="V196" s="57"/>
      <c r="W196" s="57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r="197" spans="1:36" ht="11.25" customHeight="1" x14ac:dyDescent="0.2">
      <c r="A197" s="53" t="s">
        <v>21</v>
      </c>
      <c r="B197" s="53" t="s">
        <v>41</v>
      </c>
      <c r="C197" s="53" t="s">
        <v>23</v>
      </c>
      <c r="D197" s="53" t="s">
        <v>42</v>
      </c>
      <c r="E197" s="53" t="s">
        <v>25</v>
      </c>
      <c r="F197" s="53" t="s">
        <v>25</v>
      </c>
      <c r="G197" s="53" t="s">
        <v>25</v>
      </c>
      <c r="H197" s="53" t="s">
        <v>25</v>
      </c>
      <c r="I197" s="72">
        <v>44440</v>
      </c>
      <c r="J197" s="73">
        <f>EFEITO!$J$197*EFEITO!$Y$46</f>
        <v>0</v>
      </c>
      <c r="K197" s="73">
        <f ca="1">EFEITO!$L$197*EFEITO!$Z$46</f>
        <v>123024.69457436376</v>
      </c>
      <c r="L197" s="73">
        <f>EFEITO!$N$197*EFEITO!$AA$46</f>
        <v>47996.814367675397</v>
      </c>
      <c r="M197" s="73">
        <f>$J$197-EFEITO!$K$197*EFEITO!$Y$197</f>
        <v>0</v>
      </c>
      <c r="N197" s="73">
        <f ca="1">$K$197-EFEITO!$M$197*EFEITO!$Z$197</f>
        <v>7381.4816744618438</v>
      </c>
      <c r="O197" s="73">
        <f>$L$197-EFEITO!$O$197*EFEITO!$AA$197</f>
        <v>2879.8088620605195</v>
      </c>
      <c r="P197" s="57"/>
      <c r="Q197" s="57"/>
      <c r="R197" s="57"/>
      <c r="S197" s="57"/>
      <c r="T197" s="57"/>
      <c r="U197" s="57"/>
      <c r="V197" s="57"/>
      <c r="W197" s="57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r="198" spans="1:36" ht="11.25" customHeight="1" x14ac:dyDescent="0.2">
      <c r="A198" s="53" t="s">
        <v>27</v>
      </c>
      <c r="B198" s="53" t="s">
        <v>41</v>
      </c>
      <c r="C198" s="53" t="s">
        <v>23</v>
      </c>
      <c r="D198" s="53" t="s">
        <v>42</v>
      </c>
      <c r="E198" s="53" t="s">
        <v>25</v>
      </c>
      <c r="F198" s="53" t="s">
        <v>25</v>
      </c>
      <c r="G198" s="53" t="s">
        <v>25</v>
      </c>
      <c r="H198" s="53" t="s">
        <v>25</v>
      </c>
      <c r="I198" s="72">
        <v>44440</v>
      </c>
      <c r="J198" s="73">
        <f>EFEITO!$J$198*EFEITO!$Y$46</f>
        <v>0</v>
      </c>
      <c r="K198" s="73">
        <f ca="1">EFEITO!$L$198*EFEITO!$Z$46</f>
        <v>2215.3156273431814</v>
      </c>
      <c r="L198" s="73">
        <f>EFEITO!$N$198*EFEITO!$AA$46</f>
        <v>864.2825190444164</v>
      </c>
      <c r="M198" s="73">
        <f>$J$198-EFEITO!$K$198*EFEITO!$Y$198</f>
        <v>0</v>
      </c>
      <c r="N198" s="73">
        <f ca="1">$K$198-EFEITO!$M$198*EFEITO!$Z$198</f>
        <v>132.91893764059068</v>
      </c>
      <c r="O198" s="73">
        <f>$L$198-EFEITO!$O$198*EFEITO!$AA$198</f>
        <v>51.856951142665025</v>
      </c>
      <c r="P198" s="57"/>
      <c r="Q198" s="57"/>
      <c r="R198" s="57"/>
      <c r="S198" s="57"/>
      <c r="T198" s="57"/>
      <c r="U198" s="57"/>
      <c r="V198" s="57"/>
      <c r="W198" s="57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r="199" spans="1:36" ht="11.25" customHeight="1" x14ac:dyDescent="0.2">
      <c r="A199" s="53" t="s">
        <v>21</v>
      </c>
      <c r="B199" s="53" t="s">
        <v>41</v>
      </c>
      <c r="C199" s="53" t="s">
        <v>23</v>
      </c>
      <c r="D199" s="53" t="s">
        <v>42</v>
      </c>
      <c r="E199" s="53" t="s">
        <v>25</v>
      </c>
      <c r="F199" s="53" t="s">
        <v>25</v>
      </c>
      <c r="G199" s="53" t="s">
        <v>25</v>
      </c>
      <c r="H199" s="53" t="s">
        <v>25</v>
      </c>
      <c r="I199" s="72">
        <v>44470</v>
      </c>
      <c r="J199" s="73">
        <f>EFEITO!$J$199*EFEITO!$Y$46</f>
        <v>0</v>
      </c>
      <c r="K199" s="73">
        <f ca="1">EFEITO!$L$199*EFEITO!$Z$46</f>
        <v>127298.07592262451</v>
      </c>
      <c r="L199" s="73">
        <f>EFEITO!$N$199*EFEITO!$AA$46</f>
        <v>49664.029978365477</v>
      </c>
      <c r="M199" s="73">
        <f>$J$199-EFEITO!$K$199*EFEITO!$Y$199</f>
        <v>0</v>
      </c>
      <c r="N199" s="73">
        <f ca="1">$K$199-EFEITO!$M$199*EFEITO!$Z$199</f>
        <v>7637.8845553574793</v>
      </c>
      <c r="O199" s="73">
        <f>$L$199-EFEITO!$O$199*EFEITO!$AA$199</f>
        <v>2979.8417987019275</v>
      </c>
      <c r="P199" s="57"/>
      <c r="Q199" s="57"/>
      <c r="R199" s="57"/>
      <c r="S199" s="57"/>
      <c r="T199" s="57"/>
      <c r="U199" s="57"/>
      <c r="V199" s="57"/>
      <c r="W199" s="57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r="200" spans="1:36" ht="11.25" customHeight="1" x14ac:dyDescent="0.2">
      <c r="A200" s="53" t="s">
        <v>27</v>
      </c>
      <c r="B200" s="53" t="s">
        <v>41</v>
      </c>
      <c r="C200" s="53" t="s">
        <v>23</v>
      </c>
      <c r="D200" s="53" t="s">
        <v>42</v>
      </c>
      <c r="E200" s="53" t="s">
        <v>25</v>
      </c>
      <c r="F200" s="53" t="s">
        <v>25</v>
      </c>
      <c r="G200" s="53" t="s">
        <v>25</v>
      </c>
      <c r="H200" s="53" t="s">
        <v>25</v>
      </c>
      <c r="I200" s="72">
        <v>44470</v>
      </c>
      <c r="J200" s="73">
        <f>EFEITO!$J$200*EFEITO!$Y$46</f>
        <v>0</v>
      </c>
      <c r="K200" s="73">
        <f ca="1">EFEITO!$L$200*EFEITO!$Z$46</f>
        <v>1080.3529136018722</v>
      </c>
      <c r="L200" s="73">
        <f>EFEITO!$N$200*EFEITO!$AA$46</f>
        <v>421.4885346810014</v>
      </c>
      <c r="M200" s="73">
        <f>$J$200-EFEITO!$K$200*EFEITO!$Y$200</f>
        <v>0</v>
      </c>
      <c r="N200" s="73">
        <f ca="1">$K$200-EFEITO!$M$200*EFEITO!$Z$200</f>
        <v>64.821174816112261</v>
      </c>
      <c r="O200" s="73">
        <f>$L$200-EFEITO!$O$200*EFEITO!$AA$200</f>
        <v>25.2893120808601</v>
      </c>
      <c r="P200" s="57"/>
      <c r="Q200" s="57"/>
      <c r="R200" s="57"/>
      <c r="S200" s="57"/>
      <c r="T200" s="57"/>
      <c r="U200" s="57"/>
      <c r="V200" s="57"/>
      <c r="W200" s="57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r="201" spans="1:36" ht="11.25" customHeight="1" x14ac:dyDescent="0.2">
      <c r="A201" s="53" t="s">
        <v>21</v>
      </c>
      <c r="B201" s="53" t="s">
        <v>41</v>
      </c>
      <c r="C201" s="53" t="s">
        <v>23</v>
      </c>
      <c r="D201" s="53" t="s">
        <v>42</v>
      </c>
      <c r="E201" s="53" t="s">
        <v>25</v>
      </c>
      <c r="F201" s="53" t="s">
        <v>25</v>
      </c>
      <c r="G201" s="53" t="s">
        <v>25</v>
      </c>
      <c r="H201" s="53" t="s">
        <v>25</v>
      </c>
      <c r="I201" s="72">
        <v>44501</v>
      </c>
      <c r="J201" s="73">
        <f>EFEITO!$J$201*EFEITO!$Y$46</f>
        <v>0</v>
      </c>
      <c r="K201" s="73">
        <f ca="1">EFEITO!$L$201*EFEITO!$Z$46</f>
        <v>153950.94813766607</v>
      </c>
      <c r="L201" s="73">
        <f>EFEITO!$N$201*EFEITO!$AA$46</f>
        <v>60062.372884207551</v>
      </c>
      <c r="M201" s="73">
        <f>$J$201-EFEITO!$K$201*EFEITO!$Y$201</f>
        <v>0</v>
      </c>
      <c r="N201" s="73">
        <f ca="1">$K$201-EFEITO!$M$201*EFEITO!$Z$201</f>
        <v>9237.0568882599764</v>
      </c>
      <c r="O201" s="73">
        <f>$L$201-EFEITO!$O$201*EFEITO!$AA$201</f>
        <v>3603.7423730524606</v>
      </c>
      <c r="P201" s="57"/>
      <c r="Q201" s="57"/>
      <c r="R201" s="57"/>
      <c r="S201" s="57"/>
      <c r="T201" s="57"/>
      <c r="U201" s="57"/>
      <c r="V201" s="57"/>
      <c r="W201" s="57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spans="1:36" ht="11.25" customHeight="1" x14ac:dyDescent="0.2">
      <c r="A202" s="53" t="s">
        <v>27</v>
      </c>
      <c r="B202" s="53" t="s">
        <v>41</v>
      </c>
      <c r="C202" s="53" t="s">
        <v>23</v>
      </c>
      <c r="D202" s="53" t="s">
        <v>42</v>
      </c>
      <c r="E202" s="53" t="s">
        <v>25</v>
      </c>
      <c r="F202" s="53" t="s">
        <v>25</v>
      </c>
      <c r="G202" s="53" t="s">
        <v>25</v>
      </c>
      <c r="H202" s="53" t="s">
        <v>25</v>
      </c>
      <c r="I202" s="72">
        <v>44501</v>
      </c>
      <c r="J202" s="73">
        <f>EFEITO!$J$202*EFEITO!$Y$46</f>
        <v>0</v>
      </c>
      <c r="K202" s="73">
        <f ca="1">EFEITO!$L$202*EFEITO!$Z$46</f>
        <v>3641.0919755619739</v>
      </c>
      <c r="L202" s="73">
        <f>EFEITO!$N$202*EFEITO!$AA$46</f>
        <v>1420.5344402708049</v>
      </c>
      <c r="M202" s="73">
        <f>$J$202-EFEITO!$K$202*EFEITO!$Y$202</f>
        <v>0</v>
      </c>
      <c r="N202" s="73">
        <f ca="1">$K$202-EFEITO!$M$202*EFEITO!$Z$202</f>
        <v>218.46551853371875</v>
      </c>
      <c r="O202" s="73">
        <f>$L$202-EFEITO!$O$202*EFEITO!$AA$202</f>
        <v>85.232066416248244</v>
      </c>
      <c r="P202" s="57"/>
      <c r="Q202" s="57"/>
      <c r="R202" s="57"/>
      <c r="S202" s="57"/>
      <c r="T202" s="57"/>
      <c r="U202" s="57"/>
      <c r="V202" s="57"/>
      <c r="W202" s="57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r="203" spans="1:36" ht="11.25" customHeight="1" x14ac:dyDescent="0.2">
      <c r="A203" s="53" t="s">
        <v>21</v>
      </c>
      <c r="B203" s="53" t="s">
        <v>41</v>
      </c>
      <c r="C203" s="53" t="s">
        <v>23</v>
      </c>
      <c r="D203" s="53" t="s">
        <v>42</v>
      </c>
      <c r="E203" s="53" t="s">
        <v>25</v>
      </c>
      <c r="F203" s="53" t="s">
        <v>25</v>
      </c>
      <c r="G203" s="53" t="s">
        <v>25</v>
      </c>
      <c r="H203" s="53" t="s">
        <v>25</v>
      </c>
      <c r="I203" s="72">
        <v>44531</v>
      </c>
      <c r="J203" s="73">
        <f>EFEITO!$J$203*EFEITO!$Y$46</f>
        <v>0</v>
      </c>
      <c r="K203" s="73">
        <f ca="1">EFEITO!$L$203*EFEITO!$Z$46</f>
        <v>139662.91898311171</v>
      </c>
      <c r="L203" s="73">
        <f>EFEITO!$N$203*EFEITO!$AA$46</f>
        <v>54488.045832360644</v>
      </c>
      <c r="M203" s="73">
        <f>$J$203-EFEITO!$K$203*EFEITO!$Y$203</f>
        <v>0</v>
      </c>
      <c r="N203" s="73">
        <f ca="1">$K$203-EFEITO!$M$203*EFEITO!$Z$203</f>
        <v>8379.7751389867044</v>
      </c>
      <c r="O203" s="73">
        <f>$L$203-EFEITO!$O$203*EFEITO!$AA$203</f>
        <v>3269.282749941638</v>
      </c>
      <c r="P203" s="57"/>
      <c r="Q203" s="57"/>
      <c r="R203" s="57"/>
      <c r="S203" s="57"/>
      <c r="T203" s="57"/>
      <c r="U203" s="57"/>
      <c r="V203" s="57"/>
      <c r="W203" s="57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r="204" spans="1:36" ht="11.25" customHeight="1" x14ac:dyDescent="0.2">
      <c r="A204" s="53" t="s">
        <v>27</v>
      </c>
      <c r="B204" s="53" t="s">
        <v>41</v>
      </c>
      <c r="C204" s="53" t="s">
        <v>23</v>
      </c>
      <c r="D204" s="53" t="s">
        <v>42</v>
      </c>
      <c r="E204" s="53" t="s">
        <v>25</v>
      </c>
      <c r="F204" s="53" t="s">
        <v>25</v>
      </c>
      <c r="G204" s="53" t="s">
        <v>25</v>
      </c>
      <c r="H204" s="53" t="s">
        <v>25</v>
      </c>
      <c r="I204" s="72">
        <v>44531</v>
      </c>
      <c r="J204" s="73">
        <f>EFEITO!$J$204*EFEITO!$Y$46</f>
        <v>0</v>
      </c>
      <c r="K204" s="73">
        <f ca="1">EFEITO!$L$204*EFEITO!$Z$46</f>
        <v>584.2590665520479</v>
      </c>
      <c r="L204" s="73">
        <f>EFEITO!$N$204*EFEITO!$AA$46</f>
        <v>227.9426423853406</v>
      </c>
      <c r="M204" s="73">
        <f>$J$204-EFEITO!$K$204*EFEITO!$Y$204</f>
        <v>0</v>
      </c>
      <c r="N204" s="73">
        <f ca="1">$K$204-EFEITO!$M$204*EFEITO!$Z$204</f>
        <v>35.05554399312291</v>
      </c>
      <c r="O204" s="73">
        <f>$L$204-EFEITO!$O$204*EFEITO!$AA$204</f>
        <v>13.67655854312045</v>
      </c>
      <c r="P204" s="57"/>
      <c r="Q204" s="57"/>
      <c r="R204" s="57"/>
      <c r="S204" s="57"/>
      <c r="T204" s="57"/>
      <c r="U204" s="57"/>
      <c r="V204" s="57"/>
      <c r="W204" s="57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r="205" spans="1:36" ht="11.25" customHeight="1" x14ac:dyDescent="0.2">
      <c r="A205" s="53" t="s">
        <v>21</v>
      </c>
      <c r="B205" s="53" t="s">
        <v>41</v>
      </c>
      <c r="C205" s="53" t="s">
        <v>23</v>
      </c>
      <c r="D205" s="53" t="s">
        <v>42</v>
      </c>
      <c r="E205" s="53" t="s">
        <v>25</v>
      </c>
      <c r="F205" s="53" t="s">
        <v>25</v>
      </c>
      <c r="G205" s="53" t="s">
        <v>25</v>
      </c>
      <c r="H205" s="53" t="s">
        <v>25</v>
      </c>
      <c r="I205" s="72">
        <v>44562</v>
      </c>
      <c r="J205" s="73">
        <f>EFEITO!$J$205*EFEITO!$Y$46</f>
        <v>0</v>
      </c>
      <c r="K205" s="73">
        <f ca="1">EFEITO!$L$205*EFEITO!$Z$46</f>
        <v>129610.11011166044</v>
      </c>
      <c r="L205" s="73">
        <f>EFEITO!$N$205*EFEITO!$AA$46</f>
        <v>50566.046245642603</v>
      </c>
      <c r="M205" s="73">
        <f>$J$205-EFEITO!$K$205*EFEITO!$Y$205</f>
        <v>0</v>
      </c>
      <c r="N205" s="73">
        <f ca="1">$K$205-EFEITO!$M$205*EFEITO!$Z$205</f>
        <v>7776.6066066996282</v>
      </c>
      <c r="O205" s="73">
        <f>$L$205-EFEITO!$O$205*EFEITO!$AA$205</f>
        <v>3033.9627747385603</v>
      </c>
      <c r="P205" s="57"/>
      <c r="Q205" s="57"/>
      <c r="R205" s="57"/>
      <c r="S205" s="57"/>
      <c r="T205" s="57"/>
      <c r="U205" s="57"/>
      <c r="V205" s="57"/>
      <c r="W205" s="57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r="206" spans="1:36" ht="11.25" customHeight="1" x14ac:dyDescent="0.2">
      <c r="A206" s="53" t="s">
        <v>27</v>
      </c>
      <c r="B206" s="53" t="s">
        <v>41</v>
      </c>
      <c r="C206" s="53" t="s">
        <v>23</v>
      </c>
      <c r="D206" s="53" t="s">
        <v>42</v>
      </c>
      <c r="E206" s="53" t="s">
        <v>25</v>
      </c>
      <c r="F206" s="53" t="s">
        <v>25</v>
      </c>
      <c r="G206" s="53" t="s">
        <v>25</v>
      </c>
      <c r="H206" s="53" t="s">
        <v>25</v>
      </c>
      <c r="I206" s="72">
        <v>44562</v>
      </c>
      <c r="J206" s="73">
        <f>EFEITO!$J$206*EFEITO!$Y$46</f>
        <v>0</v>
      </c>
      <c r="K206" s="73">
        <f ca="1">EFEITO!$L$206*EFEITO!$Z$46</f>
        <v>5830.7475763336133</v>
      </c>
      <c r="L206" s="73">
        <f>EFEITO!$N$206*EFEITO!$AA$46</f>
        <v>2274.8059648861354</v>
      </c>
      <c r="M206" s="73">
        <f>$J$206-EFEITO!$K$206*EFEITO!$Y$206</f>
        <v>0</v>
      </c>
      <c r="N206" s="73">
        <f ca="1">$K$206-EFEITO!$M$206*EFEITO!$Z$206</f>
        <v>349.84485458001745</v>
      </c>
      <c r="O206" s="73">
        <f>$L$206-EFEITO!$O$206*EFEITO!$AA$206</f>
        <v>136.48835789316809</v>
      </c>
      <c r="P206" s="57"/>
      <c r="Q206" s="57"/>
      <c r="R206" s="57"/>
      <c r="S206" s="57"/>
      <c r="T206" s="57"/>
      <c r="U206" s="57"/>
      <c r="V206" s="57"/>
      <c r="W206" s="57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r="207" spans="1:36" ht="11.25" customHeight="1" x14ac:dyDescent="0.2">
      <c r="A207" s="53" t="s">
        <v>21</v>
      </c>
      <c r="B207" s="53" t="s">
        <v>41</v>
      </c>
      <c r="C207" s="53" t="s">
        <v>23</v>
      </c>
      <c r="D207" s="53" t="s">
        <v>42</v>
      </c>
      <c r="E207" s="53" t="s">
        <v>25</v>
      </c>
      <c r="F207" s="53" t="s">
        <v>25</v>
      </c>
      <c r="G207" s="53" t="s">
        <v>25</v>
      </c>
      <c r="H207" s="53" t="s">
        <v>25</v>
      </c>
      <c r="I207" s="72">
        <v>44593</v>
      </c>
      <c r="J207" s="73">
        <f>EFEITO!$J$207*EFEITO!$Y$46</f>
        <v>0</v>
      </c>
      <c r="K207" s="73">
        <f ca="1">EFEITO!$L$207*EFEITO!$Z$46</f>
        <v>127908.65296514737</v>
      </c>
      <c r="L207" s="73">
        <f>EFEITO!$N$207*EFEITO!$AA$46</f>
        <v>49902.240307344749</v>
      </c>
      <c r="M207" s="73">
        <f>$J$207-EFEITO!$K$207*EFEITO!$Y$207</f>
        <v>0</v>
      </c>
      <c r="N207" s="73">
        <f ca="1">$K$207-EFEITO!$M$207*EFEITO!$Z$207</f>
        <v>7674.5191779088491</v>
      </c>
      <c r="O207" s="73">
        <f>$L$207-EFEITO!$O$207*EFEITO!$AA$207</f>
        <v>2994.1344184406844</v>
      </c>
      <c r="P207" s="57"/>
      <c r="Q207" s="57"/>
      <c r="R207" s="57"/>
      <c r="S207" s="57"/>
      <c r="T207" s="57"/>
      <c r="U207" s="57"/>
      <c r="V207" s="57"/>
      <c r="W207" s="57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r="208" spans="1:36" ht="11.25" customHeight="1" x14ac:dyDescent="0.2">
      <c r="A208" s="53" t="s">
        <v>27</v>
      </c>
      <c r="B208" s="53" t="s">
        <v>41</v>
      </c>
      <c r="C208" s="53" t="s">
        <v>23</v>
      </c>
      <c r="D208" s="53" t="s">
        <v>42</v>
      </c>
      <c r="E208" s="53" t="s">
        <v>25</v>
      </c>
      <c r="F208" s="53" t="s">
        <v>25</v>
      </c>
      <c r="G208" s="53" t="s">
        <v>25</v>
      </c>
      <c r="H208" s="53" t="s">
        <v>25</v>
      </c>
      <c r="I208" s="72">
        <v>44593</v>
      </c>
      <c r="J208" s="73">
        <f>EFEITO!$J$208*EFEITO!$Y$46</f>
        <v>0</v>
      </c>
      <c r="K208" s="73">
        <f ca="1">EFEITO!$L$208*EFEITO!$Z$46</f>
        <v>6953.2092514887854</v>
      </c>
      <c r="L208" s="73">
        <f>EFEITO!$N$208*EFEITO!$AA$46</f>
        <v>2712.7227981174315</v>
      </c>
      <c r="M208" s="73">
        <f>$J$208-EFEITO!$K$208*EFEITO!$Y$208</f>
        <v>0</v>
      </c>
      <c r="N208" s="73">
        <f ca="1">$K$208-EFEITO!$M$208*EFEITO!$Z$208</f>
        <v>417.19255508932747</v>
      </c>
      <c r="O208" s="73">
        <f>$L$208-EFEITO!$O$208*EFEITO!$AA$208</f>
        <v>162.76336788704566</v>
      </c>
      <c r="P208" s="57"/>
      <c r="Q208" s="57"/>
      <c r="R208" s="57"/>
      <c r="S208" s="57"/>
      <c r="T208" s="57"/>
      <c r="U208" s="57"/>
      <c r="V208" s="57"/>
      <c r="W208" s="57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r="209" spans="1:36" ht="11.25" customHeight="1" x14ac:dyDescent="0.2">
      <c r="A209" s="53" t="s">
        <v>21</v>
      </c>
      <c r="B209" s="53" t="s">
        <v>41</v>
      </c>
      <c r="C209" s="53" t="s">
        <v>23</v>
      </c>
      <c r="D209" s="53" t="s">
        <v>42</v>
      </c>
      <c r="E209" s="53" t="s">
        <v>25</v>
      </c>
      <c r="F209" s="53" t="s">
        <v>25</v>
      </c>
      <c r="G209" s="53" t="s">
        <v>25</v>
      </c>
      <c r="H209" s="53" t="s">
        <v>25</v>
      </c>
      <c r="I209" s="72">
        <v>44621</v>
      </c>
      <c r="J209" s="73">
        <f>EFEITO!$J$209*EFEITO!$Y$46</f>
        <v>0</v>
      </c>
      <c r="K209" s="73">
        <f ca="1">EFEITO!$L$209*EFEITO!$Z$46</f>
        <v>139343.8135244656</v>
      </c>
      <c r="L209" s="73">
        <f>EFEITO!$N$209*EFEITO!$AA$46</f>
        <v>54363.550132409189</v>
      </c>
      <c r="M209" s="73">
        <f>$J$209-EFEITO!$K$209*EFEITO!$Y$209</f>
        <v>0</v>
      </c>
      <c r="N209" s="73">
        <f ca="1">$K$209-EFEITO!$M$209*EFEITO!$Z$209</f>
        <v>8360.6288114679337</v>
      </c>
      <c r="O209" s="73">
        <f>$L$209-EFEITO!$O$209*EFEITO!$AA$209</f>
        <v>3261.8130079445546</v>
      </c>
      <c r="P209" s="57"/>
      <c r="Q209" s="57"/>
      <c r="R209" s="57"/>
      <c r="S209" s="57"/>
      <c r="T209" s="57"/>
      <c r="U209" s="57"/>
      <c r="V209" s="57"/>
      <c r="W209" s="57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r="210" spans="1:36" ht="11.25" customHeight="1" x14ac:dyDescent="0.2">
      <c r="A210" s="53" t="s">
        <v>27</v>
      </c>
      <c r="B210" s="53" t="s">
        <v>41</v>
      </c>
      <c r="C210" s="53" t="s">
        <v>23</v>
      </c>
      <c r="D210" s="53" t="s">
        <v>42</v>
      </c>
      <c r="E210" s="53" t="s">
        <v>25</v>
      </c>
      <c r="F210" s="53" t="s">
        <v>25</v>
      </c>
      <c r="G210" s="53" t="s">
        <v>25</v>
      </c>
      <c r="H210" s="53" t="s">
        <v>25</v>
      </c>
      <c r="I210" s="72">
        <v>44621</v>
      </c>
      <c r="J210" s="73">
        <f>EFEITO!$J$210*EFEITO!$Y$46</f>
        <v>0</v>
      </c>
      <c r="K210" s="73">
        <f ca="1">EFEITO!$L$210*EFEITO!$Z$46</f>
        <v>781.64388633314513</v>
      </c>
      <c r="L210" s="73">
        <f>EFEITO!$N$210*EFEITO!$AA$46</f>
        <v>304.95029183984752</v>
      </c>
      <c r="M210" s="73">
        <f>$J$210-EFEITO!$K$210*EFEITO!$Y$210</f>
        <v>0</v>
      </c>
      <c r="N210" s="73">
        <f ca="1">$K$210-EFEITO!$M$210*EFEITO!$Z$210</f>
        <v>46.898633179988792</v>
      </c>
      <c r="O210" s="73">
        <f>$L$210-EFEITO!$O$210*EFEITO!$AA$210</f>
        <v>18.297017510390845</v>
      </c>
      <c r="P210" s="57"/>
      <c r="Q210" s="57"/>
      <c r="R210" s="57"/>
      <c r="S210" s="57"/>
      <c r="T210" s="57"/>
      <c r="U210" s="57"/>
      <c r="V210" s="57"/>
      <c r="W210" s="57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r="211" spans="1:36" ht="11.25" customHeight="1" x14ac:dyDescent="0.2">
      <c r="A211" s="53" t="s">
        <v>21</v>
      </c>
      <c r="B211" s="53" t="s">
        <v>41</v>
      </c>
      <c r="C211" s="53" t="s">
        <v>23</v>
      </c>
      <c r="D211" s="53" t="s">
        <v>42</v>
      </c>
      <c r="E211" s="53" t="s">
        <v>25</v>
      </c>
      <c r="F211" s="53" t="s">
        <v>25</v>
      </c>
      <c r="G211" s="53" t="s">
        <v>25</v>
      </c>
      <c r="H211" s="53" t="s">
        <v>25</v>
      </c>
      <c r="I211" s="72">
        <v>44652</v>
      </c>
      <c r="J211" s="73">
        <f>EFEITO!$J$211*EFEITO!$Y$46</f>
        <v>0</v>
      </c>
      <c r="K211" s="73">
        <f ca="1">EFEITO!$L$211*EFEITO!$Z$46</f>
        <v>121310.07843986529</v>
      </c>
      <c r="L211" s="73">
        <f>EFEITO!$N$211*EFEITO!$AA$46</f>
        <v>47327.874586080587</v>
      </c>
      <c r="M211" s="73">
        <f>$J$211-EFEITO!$K$211*EFEITO!$Y$211</f>
        <v>0</v>
      </c>
      <c r="N211" s="73">
        <f ca="1">$K$211-EFEITO!$M$211*EFEITO!$Z$211</f>
        <v>7278.604706391925</v>
      </c>
      <c r="O211" s="73">
        <f>$L$211-EFEITO!$O$211*EFEITO!$AA$211</f>
        <v>2839.6724751648362</v>
      </c>
      <c r="P211" s="57"/>
      <c r="Q211" s="57"/>
      <c r="R211" s="57"/>
      <c r="S211" s="57"/>
      <c r="T211" s="57"/>
      <c r="U211" s="57"/>
      <c r="V211" s="57"/>
      <c r="W211" s="57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r="212" spans="1:36" ht="11.25" customHeight="1" x14ac:dyDescent="0.2">
      <c r="A212" s="53" t="s">
        <v>27</v>
      </c>
      <c r="B212" s="53" t="s">
        <v>41</v>
      </c>
      <c r="C212" s="53" t="s">
        <v>23</v>
      </c>
      <c r="D212" s="53" t="s">
        <v>42</v>
      </c>
      <c r="E212" s="53" t="s">
        <v>25</v>
      </c>
      <c r="F212" s="53" t="s">
        <v>25</v>
      </c>
      <c r="G212" s="53" t="s">
        <v>25</v>
      </c>
      <c r="H212" s="53" t="s">
        <v>25</v>
      </c>
      <c r="I212" s="72">
        <v>44652</v>
      </c>
      <c r="J212" s="73">
        <f>EFEITO!$J$212*EFEITO!$Y$46</f>
        <v>0</v>
      </c>
      <c r="K212" s="73">
        <f ca="1">EFEITO!$L$212*EFEITO!$Z$46</f>
        <v>8119.7535363950701</v>
      </c>
      <c r="L212" s="73">
        <f>EFEITO!$N$212*EFEITO!$AA$46</f>
        <v>3167.8380063935679</v>
      </c>
      <c r="M212" s="73">
        <f>$J$212-EFEITO!$K$212*EFEITO!$Y$212</f>
        <v>0</v>
      </c>
      <c r="N212" s="73">
        <f ca="1">$K$212-EFEITO!$M$212*EFEITO!$Z$212</f>
        <v>487.18521218370461</v>
      </c>
      <c r="O212" s="73">
        <f>$L$212-EFEITO!$O$212*EFEITO!$AA$212</f>
        <v>190.07028038361432</v>
      </c>
      <c r="P212" s="57"/>
      <c r="Q212" s="57"/>
      <c r="R212" s="57"/>
      <c r="S212" s="57"/>
      <c r="T212" s="57"/>
      <c r="U212" s="57"/>
      <c r="V212" s="57"/>
      <c r="W212" s="57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r="213" spans="1:36" ht="11.25" customHeight="1" x14ac:dyDescent="0.2">
      <c r="A213" s="53" t="s">
        <v>21</v>
      </c>
      <c r="B213" s="53" t="s">
        <v>32</v>
      </c>
      <c r="C213" s="53" t="s">
        <v>39</v>
      </c>
      <c r="D213" s="53" t="s">
        <v>38</v>
      </c>
      <c r="E213" s="53" t="s">
        <v>25</v>
      </c>
      <c r="F213" s="53" t="s">
        <v>25</v>
      </c>
      <c r="G213" s="53" t="s">
        <v>25</v>
      </c>
      <c r="H213" s="53" t="s">
        <v>37</v>
      </c>
      <c r="I213" s="72">
        <v>44317</v>
      </c>
      <c r="J213" s="73">
        <f>EFEITO!$J$213*EFEITO!$Y$213</f>
        <v>0</v>
      </c>
      <c r="K213" s="73">
        <f ca="1">EFEITO!$L$213*EFEITO!$Z$213</f>
        <v>150.74206482993878</v>
      </c>
      <c r="L213" s="73">
        <f>EFEITO!$N$213*EFEITO!$AA$213</f>
        <v>83.938337905412581</v>
      </c>
      <c r="M213" s="73">
        <f>$J$213-EFEITO!$K$213*EFEITO!$Y$213</f>
        <v>0</v>
      </c>
      <c r="N213" s="73">
        <f ca="1">$K$213-EFEITO!$M$213*EFEITO!$Z$213</f>
        <v>0</v>
      </c>
      <c r="O213" s="73">
        <f>$L$213-EFEITO!$O$213*EFEITO!$AA$213</f>
        <v>0</v>
      </c>
      <c r="P213" s="57"/>
      <c r="Q213" s="57"/>
      <c r="R213" s="57"/>
      <c r="S213" s="57"/>
      <c r="T213" s="57"/>
      <c r="U213" s="57"/>
      <c r="V213" s="57"/>
      <c r="W213" s="57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r="214" spans="1:36" ht="11.25" customHeight="1" x14ac:dyDescent="0.2">
      <c r="A214" s="53" t="s">
        <v>21</v>
      </c>
      <c r="B214" s="53" t="s">
        <v>32</v>
      </c>
      <c r="C214" s="53" t="s">
        <v>39</v>
      </c>
      <c r="D214" s="53" t="s">
        <v>38</v>
      </c>
      <c r="E214" s="53" t="s">
        <v>25</v>
      </c>
      <c r="F214" s="53" t="s">
        <v>25</v>
      </c>
      <c r="G214" s="53" t="s">
        <v>25</v>
      </c>
      <c r="H214" s="53" t="s">
        <v>37</v>
      </c>
      <c r="I214" s="72">
        <v>44348</v>
      </c>
      <c r="J214" s="73">
        <f>EFEITO!$J$214*EFEITO!$Y$214</f>
        <v>0</v>
      </c>
      <c r="K214" s="73">
        <f ca="1">EFEITO!$L$214*EFEITO!$Z$214</f>
        <v>118.47312128836167</v>
      </c>
      <c r="L214" s="73">
        <f>EFEITO!$N$214*EFEITO!$AA$214</f>
        <v>65.969886366027623</v>
      </c>
      <c r="M214" s="73">
        <f>$J$214-EFEITO!$K$214*EFEITO!$Y$214</f>
        <v>0</v>
      </c>
      <c r="N214" s="73">
        <f ca="1">$K$214-EFEITO!$M$214*EFEITO!$Z$214</f>
        <v>0</v>
      </c>
      <c r="O214" s="73">
        <f>$L$214-EFEITO!$O$214*EFEITO!$AA$214</f>
        <v>0</v>
      </c>
      <c r="P214" s="57"/>
      <c r="Q214" s="57"/>
      <c r="R214" s="57"/>
      <c r="S214" s="57"/>
      <c r="T214" s="57"/>
      <c r="U214" s="57"/>
      <c r="V214" s="57"/>
      <c r="W214" s="57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r="215" spans="1:36" ht="11.25" customHeight="1" x14ac:dyDescent="0.2">
      <c r="A215" s="53" t="s">
        <v>21</v>
      </c>
      <c r="B215" s="53" t="s">
        <v>32</v>
      </c>
      <c r="C215" s="53" t="s">
        <v>39</v>
      </c>
      <c r="D215" s="53" t="s">
        <v>38</v>
      </c>
      <c r="E215" s="53" t="s">
        <v>25</v>
      </c>
      <c r="F215" s="53" t="s">
        <v>25</v>
      </c>
      <c r="G215" s="53" t="s">
        <v>25</v>
      </c>
      <c r="H215" s="53" t="s">
        <v>37</v>
      </c>
      <c r="I215" s="72">
        <v>44378</v>
      </c>
      <c r="J215" s="73">
        <f>EFEITO!$J$215*EFEITO!$Y$215</f>
        <v>0</v>
      </c>
      <c r="K215" s="73">
        <f ca="1">EFEITO!$L$215*EFEITO!$Z$215</f>
        <v>158.57880826146464</v>
      </c>
      <c r="L215" s="73">
        <f>EFEITO!$N$215*EFEITO!$AA$215</f>
        <v>88.302104707834644</v>
      </c>
      <c r="M215" s="73">
        <f>$J$215-EFEITO!$K$215*EFEITO!$Y$215</f>
        <v>0</v>
      </c>
      <c r="N215" s="73">
        <f ca="1">$K$215-EFEITO!$M$215*EFEITO!$Z$215</f>
        <v>0</v>
      </c>
      <c r="O215" s="73">
        <f>$L$215-EFEITO!$O$215*EFEITO!$AA$215</f>
        <v>0</v>
      </c>
      <c r="P215" s="57"/>
      <c r="Q215" s="57"/>
      <c r="R215" s="57"/>
      <c r="S215" s="57"/>
      <c r="T215" s="57"/>
      <c r="U215" s="57"/>
      <c r="V215" s="57"/>
      <c r="W215" s="57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r="216" spans="1:36" ht="11.25" customHeight="1" x14ac:dyDescent="0.2">
      <c r="A216" s="53" t="s">
        <v>21</v>
      </c>
      <c r="B216" s="53" t="s">
        <v>32</v>
      </c>
      <c r="C216" s="53" t="s">
        <v>39</v>
      </c>
      <c r="D216" s="53" t="s">
        <v>38</v>
      </c>
      <c r="E216" s="53" t="s">
        <v>25</v>
      </c>
      <c r="F216" s="53" t="s">
        <v>25</v>
      </c>
      <c r="G216" s="53" t="s">
        <v>25</v>
      </c>
      <c r="H216" s="53" t="s">
        <v>37</v>
      </c>
      <c r="I216" s="72">
        <v>44409</v>
      </c>
      <c r="J216" s="73">
        <f>EFEITO!$J$216*EFEITO!$Y$216</f>
        <v>0</v>
      </c>
      <c r="K216" s="73">
        <f ca="1">EFEITO!$L$216*EFEITO!$Z$216</f>
        <v>218.04586135951388</v>
      </c>
      <c r="L216" s="73">
        <f>EFEITO!$N$216*EFEITO!$AA$216</f>
        <v>121.41539397327263</v>
      </c>
      <c r="M216" s="73">
        <f>$J$216-EFEITO!$K$216*EFEITO!$Y$216</f>
        <v>0</v>
      </c>
      <c r="N216" s="73">
        <f ca="1">$K$216-EFEITO!$M$216*EFEITO!$Z$216</f>
        <v>0</v>
      </c>
      <c r="O216" s="73">
        <f>$L$216-EFEITO!$O$216*EFEITO!$AA$216</f>
        <v>0</v>
      </c>
      <c r="P216" s="57"/>
      <c r="Q216" s="57"/>
      <c r="R216" s="57"/>
      <c r="S216" s="57"/>
      <c r="T216" s="57"/>
      <c r="U216" s="57"/>
      <c r="V216" s="57"/>
      <c r="W216" s="57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r="217" spans="1:36" ht="11.25" customHeight="1" x14ac:dyDescent="0.2">
      <c r="A217" s="53" t="s">
        <v>21</v>
      </c>
      <c r="B217" s="53" t="s">
        <v>32</v>
      </c>
      <c r="C217" s="53" t="s">
        <v>39</v>
      </c>
      <c r="D217" s="53" t="s">
        <v>38</v>
      </c>
      <c r="E217" s="53" t="s">
        <v>25</v>
      </c>
      <c r="F217" s="53" t="s">
        <v>25</v>
      </c>
      <c r="G217" s="53" t="s">
        <v>25</v>
      </c>
      <c r="H217" s="53" t="s">
        <v>37</v>
      </c>
      <c r="I217" s="72">
        <v>44440</v>
      </c>
      <c r="J217" s="73">
        <f>EFEITO!$J$217*EFEITO!$Y$217</f>
        <v>0</v>
      </c>
      <c r="K217" s="73">
        <f ca="1">EFEITO!$L$217*EFEITO!$Z$217</f>
        <v>240.63412183861789</v>
      </c>
      <c r="L217" s="73">
        <f>EFEITO!$N$217*EFEITO!$AA$217</f>
        <v>133.9933100508421</v>
      </c>
      <c r="M217" s="73">
        <f>$J$217-EFEITO!$K$217*EFEITO!$Y$217</f>
        <v>0</v>
      </c>
      <c r="N217" s="73">
        <f ca="1">$K$217-EFEITO!$M$217*EFEITO!$Z$217</f>
        <v>0</v>
      </c>
      <c r="O217" s="73">
        <f>$L$217-EFEITO!$O$217*EFEITO!$AA$217</f>
        <v>0</v>
      </c>
      <c r="P217" s="57"/>
      <c r="Q217" s="57"/>
      <c r="R217" s="57"/>
      <c r="S217" s="57"/>
      <c r="T217" s="57"/>
      <c r="U217" s="57"/>
      <c r="V217" s="57"/>
      <c r="W217" s="57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r="218" spans="1:36" ht="11.25" customHeight="1" x14ac:dyDescent="0.2">
      <c r="A218" s="53" t="s">
        <v>21</v>
      </c>
      <c r="B218" s="53" t="s">
        <v>32</v>
      </c>
      <c r="C218" s="53" t="s">
        <v>39</v>
      </c>
      <c r="D218" s="53" t="s">
        <v>38</v>
      </c>
      <c r="E218" s="53" t="s">
        <v>25</v>
      </c>
      <c r="F218" s="53" t="s">
        <v>25</v>
      </c>
      <c r="G218" s="53" t="s">
        <v>25</v>
      </c>
      <c r="H218" s="53" t="s">
        <v>37</v>
      </c>
      <c r="I218" s="72">
        <v>44470</v>
      </c>
      <c r="J218" s="73">
        <f>EFEITO!$J$218*EFEITO!$Y$218</f>
        <v>0</v>
      </c>
      <c r="K218" s="73">
        <f ca="1">EFEITO!$L$218*EFEITO!$Z$218</f>
        <v>230.95343877614474</v>
      </c>
      <c r="L218" s="73">
        <f>EFEITO!$N$218*EFEITO!$AA$218</f>
        <v>128.60277458902661</v>
      </c>
      <c r="M218" s="73">
        <f>$J$218-EFEITO!$K$218*EFEITO!$Y$218</f>
        <v>0</v>
      </c>
      <c r="N218" s="73">
        <f ca="1">$K$218-EFEITO!$M$218*EFEITO!$Z$218</f>
        <v>0</v>
      </c>
      <c r="O218" s="73">
        <f>$L$218-EFEITO!$O$218*EFEITO!$AA$218</f>
        <v>0</v>
      </c>
      <c r="P218" s="57"/>
      <c r="Q218" s="57"/>
      <c r="R218" s="57"/>
      <c r="S218" s="57"/>
      <c r="T218" s="57"/>
      <c r="U218" s="57"/>
      <c r="V218" s="57"/>
      <c r="W218" s="57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r="219" spans="1:36" ht="11.25" customHeight="1" x14ac:dyDescent="0.2">
      <c r="A219" s="53" t="s">
        <v>21</v>
      </c>
      <c r="B219" s="53" t="s">
        <v>32</v>
      </c>
      <c r="C219" s="53" t="s">
        <v>39</v>
      </c>
      <c r="D219" s="53" t="s">
        <v>38</v>
      </c>
      <c r="E219" s="53" t="s">
        <v>25</v>
      </c>
      <c r="F219" s="53" t="s">
        <v>25</v>
      </c>
      <c r="G219" s="53" t="s">
        <v>25</v>
      </c>
      <c r="H219" s="53" t="s">
        <v>37</v>
      </c>
      <c r="I219" s="72">
        <v>44501</v>
      </c>
      <c r="J219" s="73">
        <f>EFEITO!$J$219*EFEITO!$Y$219</f>
        <v>0</v>
      </c>
      <c r="K219" s="73">
        <f ca="1">EFEITO!$L$219*EFEITO!$Z$219</f>
        <v>248.47086527014375</v>
      </c>
      <c r="L219" s="73">
        <f>EFEITO!$N$219*EFEITO!$AA$219</f>
        <v>138.35707685326418</v>
      </c>
      <c r="M219" s="73">
        <f>$J$219-EFEITO!$K$219*EFEITO!$Y$219</f>
        <v>0</v>
      </c>
      <c r="N219" s="73">
        <f ca="1">$K$219-EFEITO!$M$219*EFEITO!$Z$219</f>
        <v>0</v>
      </c>
      <c r="O219" s="73">
        <f>$L$219-EFEITO!$O$219*EFEITO!$AA$219</f>
        <v>0</v>
      </c>
      <c r="P219" s="57"/>
      <c r="Q219" s="57"/>
      <c r="R219" s="57"/>
      <c r="S219" s="57"/>
      <c r="T219" s="57"/>
      <c r="U219" s="57"/>
      <c r="V219" s="57"/>
      <c r="W219" s="57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r="220" spans="1:36" ht="11.25" customHeight="1" x14ac:dyDescent="0.2">
      <c r="A220" s="53" t="s">
        <v>21</v>
      </c>
      <c r="B220" s="53" t="s">
        <v>32</v>
      </c>
      <c r="C220" s="53" t="s">
        <v>39</v>
      </c>
      <c r="D220" s="53" t="s">
        <v>38</v>
      </c>
      <c r="E220" s="53" t="s">
        <v>25</v>
      </c>
      <c r="F220" s="53" t="s">
        <v>25</v>
      </c>
      <c r="G220" s="53" t="s">
        <v>25</v>
      </c>
      <c r="H220" s="53" t="s">
        <v>37</v>
      </c>
      <c r="I220" s="72">
        <v>44531</v>
      </c>
      <c r="J220" s="73">
        <f>EFEITO!$J$220*EFEITO!$Y$220</f>
        <v>0</v>
      </c>
      <c r="K220" s="73">
        <f ca="1">EFEITO!$L$220*EFEITO!$Z$220</f>
        <v>260.91745777903776</v>
      </c>
      <c r="L220" s="73">
        <f>EFEITO!$N$220*EFEITO!$AA$220</f>
        <v>145.28776530416977</v>
      </c>
      <c r="M220" s="73">
        <f>$J$220-EFEITO!$K$220*EFEITO!$Y$220</f>
        <v>0</v>
      </c>
      <c r="N220" s="73">
        <f ca="1">$K$220-EFEITO!$M$220*EFEITO!$Z$220</f>
        <v>0</v>
      </c>
      <c r="O220" s="73">
        <f>$L$220-EFEITO!$O$220*EFEITO!$AA$220</f>
        <v>0</v>
      </c>
      <c r="P220" s="57"/>
      <c r="Q220" s="57"/>
      <c r="R220" s="57"/>
      <c r="S220" s="57"/>
      <c r="T220" s="57"/>
      <c r="U220" s="57"/>
      <c r="V220" s="57"/>
      <c r="W220" s="57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r="221" spans="1:36" ht="11.25" customHeight="1" x14ac:dyDescent="0.2">
      <c r="A221" s="53" t="s">
        <v>21</v>
      </c>
      <c r="B221" s="53" t="s">
        <v>32</v>
      </c>
      <c r="C221" s="53" t="s">
        <v>39</v>
      </c>
      <c r="D221" s="53" t="s">
        <v>38</v>
      </c>
      <c r="E221" s="53" t="s">
        <v>25</v>
      </c>
      <c r="F221" s="53" t="s">
        <v>25</v>
      </c>
      <c r="G221" s="53" t="s">
        <v>25</v>
      </c>
      <c r="H221" s="53" t="s">
        <v>37</v>
      </c>
      <c r="I221" s="72">
        <v>44562</v>
      </c>
      <c r="J221" s="73">
        <f>EFEITO!$J$221*EFEITO!$Y$221</f>
        <v>0</v>
      </c>
      <c r="K221" s="73">
        <f ca="1">EFEITO!$L$221*EFEITO!$Z$221</f>
        <v>182.08903855604225</v>
      </c>
      <c r="L221" s="73">
        <f>EFEITO!$N$221*EFEITO!$AA$221</f>
        <v>101.39340511510083</v>
      </c>
      <c r="M221" s="73">
        <f>$J$221-EFEITO!$K$221*EFEITO!$Y$221</f>
        <v>0</v>
      </c>
      <c r="N221" s="73">
        <f ca="1">$K$221-EFEITO!$M$221*EFEITO!$Z$221</f>
        <v>0</v>
      </c>
      <c r="O221" s="73">
        <f>$L$221-EFEITO!$O$221*EFEITO!$AA$221</f>
        <v>0</v>
      </c>
      <c r="P221" s="57"/>
      <c r="Q221" s="57"/>
      <c r="R221" s="57"/>
      <c r="S221" s="57"/>
      <c r="T221" s="57"/>
      <c r="U221" s="57"/>
      <c r="V221" s="57"/>
      <c r="W221" s="57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r="222" spans="1:36" ht="11.25" customHeight="1" x14ac:dyDescent="0.2">
      <c r="A222" s="53" t="s">
        <v>21</v>
      </c>
      <c r="B222" s="53" t="s">
        <v>32</v>
      </c>
      <c r="C222" s="53" t="s">
        <v>39</v>
      </c>
      <c r="D222" s="53" t="s">
        <v>38</v>
      </c>
      <c r="E222" s="53" t="s">
        <v>25</v>
      </c>
      <c r="F222" s="53" t="s">
        <v>25</v>
      </c>
      <c r="G222" s="53" t="s">
        <v>25</v>
      </c>
      <c r="H222" s="53" t="s">
        <v>37</v>
      </c>
      <c r="I222" s="72">
        <v>44593</v>
      </c>
      <c r="J222" s="73">
        <f>EFEITO!$J$222*EFEITO!$Y$222</f>
        <v>0</v>
      </c>
      <c r="K222" s="73">
        <f ca="1">EFEITO!$L$222*EFEITO!$Z$222</f>
        <v>165.49358187751687</v>
      </c>
      <c r="L222" s="73">
        <f>EFEITO!$N$222*EFEITO!$AA$222</f>
        <v>92.152487180559987</v>
      </c>
      <c r="M222" s="73">
        <f>$J$222-EFEITO!$K$222*EFEITO!$Y$222</f>
        <v>0</v>
      </c>
      <c r="N222" s="73">
        <f ca="1">$K$222-EFEITO!$M$222*EFEITO!$Z$222</f>
        <v>0</v>
      </c>
      <c r="O222" s="73">
        <f>$L$222-EFEITO!$O$222*EFEITO!$AA$222</f>
        <v>0</v>
      </c>
      <c r="P222" s="57"/>
      <c r="Q222" s="57"/>
      <c r="R222" s="57"/>
      <c r="S222" s="57"/>
      <c r="T222" s="57"/>
      <c r="U222" s="57"/>
      <c r="V222" s="57"/>
      <c r="W222" s="57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r="223" spans="1:36" ht="11.25" customHeight="1" x14ac:dyDescent="0.2">
      <c r="A223" s="53" t="s">
        <v>21</v>
      </c>
      <c r="B223" s="53" t="s">
        <v>32</v>
      </c>
      <c r="C223" s="53" t="s">
        <v>39</v>
      </c>
      <c r="D223" s="53" t="s">
        <v>38</v>
      </c>
      <c r="E223" s="53" t="s">
        <v>25</v>
      </c>
      <c r="F223" s="53" t="s">
        <v>25</v>
      </c>
      <c r="G223" s="53" t="s">
        <v>25</v>
      </c>
      <c r="H223" s="53" t="s">
        <v>37</v>
      </c>
      <c r="I223" s="72">
        <v>44621</v>
      </c>
      <c r="J223" s="73">
        <f>EFEITO!$J$223*EFEITO!$Y$223</f>
        <v>0</v>
      </c>
      <c r="K223" s="73">
        <f ca="1">EFEITO!$L$223*EFEITO!$Z$223</f>
        <v>189.4647970798313</v>
      </c>
      <c r="L223" s="73">
        <f>EFEITO!$N$223*EFEITO!$AA$223</f>
        <v>105.50047975267452</v>
      </c>
      <c r="M223" s="73">
        <f>$J$223-EFEITO!$K$223*EFEITO!$Y$223</f>
        <v>0</v>
      </c>
      <c r="N223" s="73">
        <f ca="1">$K$223-EFEITO!$M$223*EFEITO!$Z$223</f>
        <v>0</v>
      </c>
      <c r="O223" s="73">
        <f>$L$223-EFEITO!$O$223*EFEITO!$AA$223</f>
        <v>0</v>
      </c>
      <c r="P223" s="57"/>
      <c r="Q223" s="57"/>
      <c r="R223" s="57"/>
      <c r="S223" s="57"/>
      <c r="T223" s="57"/>
      <c r="U223" s="57"/>
      <c r="V223" s="57"/>
      <c r="W223" s="57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r="224" spans="1:36" ht="11.25" customHeight="1" x14ac:dyDescent="0.2">
      <c r="A224" s="53" t="s">
        <v>21</v>
      </c>
      <c r="B224" s="53" t="s">
        <v>32</v>
      </c>
      <c r="C224" s="53" t="s">
        <v>39</v>
      </c>
      <c r="D224" s="53" t="s">
        <v>38</v>
      </c>
      <c r="E224" s="53" t="s">
        <v>25</v>
      </c>
      <c r="F224" s="53" t="s">
        <v>25</v>
      </c>
      <c r="G224" s="53" t="s">
        <v>25</v>
      </c>
      <c r="H224" s="53" t="s">
        <v>37</v>
      </c>
      <c r="I224" s="72">
        <v>44652</v>
      </c>
      <c r="J224" s="73">
        <f>EFEITO!$J$224*EFEITO!$Y$224</f>
        <v>0</v>
      </c>
      <c r="K224" s="73">
        <f ca="1">EFEITO!$L$224*EFEITO!$Z$224</f>
        <v>174.25229512451639</v>
      </c>
      <c r="L224" s="73">
        <f>EFEITO!$N$224*EFEITO!$AA$224</f>
        <v>97.02963831267877</v>
      </c>
      <c r="M224" s="73">
        <f>$J$224-EFEITO!$K$224*EFEITO!$Y$224</f>
        <v>0</v>
      </c>
      <c r="N224" s="73">
        <f ca="1">$K$224-EFEITO!$M$224*EFEITO!$Z$224</f>
        <v>0</v>
      </c>
      <c r="O224" s="73">
        <f>$L$224-EFEITO!$O$224*EFEITO!$AA$224</f>
        <v>0</v>
      </c>
      <c r="P224" s="57"/>
      <c r="Q224" s="57"/>
      <c r="R224" s="57"/>
      <c r="S224" s="57"/>
      <c r="T224" s="57"/>
      <c r="U224" s="57"/>
      <c r="V224" s="57"/>
      <c r="W224" s="57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r="225" spans="1:36" ht="11.25" customHeight="1" x14ac:dyDescent="0.2">
      <c r="A225" s="53" t="s">
        <v>21</v>
      </c>
      <c r="B225" s="53" t="s">
        <v>32</v>
      </c>
      <c r="C225" s="53" t="s">
        <v>39</v>
      </c>
      <c r="D225" s="53" t="s">
        <v>38</v>
      </c>
      <c r="E225" s="53" t="s">
        <v>25</v>
      </c>
      <c r="F225" s="53" t="s">
        <v>25</v>
      </c>
      <c r="G225" s="53" t="s">
        <v>25</v>
      </c>
      <c r="H225" s="53" t="s">
        <v>40</v>
      </c>
      <c r="I225" s="72">
        <v>44317</v>
      </c>
      <c r="J225" s="73">
        <f>EFEITO!$J$225*EFEITO!$Y$225</f>
        <v>0</v>
      </c>
      <c r="K225" s="73">
        <f ca="1">EFEITO!$L$225*EFEITO!$Z$225</f>
        <v>13.118319098984156</v>
      </c>
      <c r="L225" s="73">
        <f>EFEITO!$N$225*EFEITO!$AA$225</f>
        <v>2.8236138133319217</v>
      </c>
      <c r="M225" s="73">
        <f>$J$225-EFEITO!$K$225*EFEITO!$Y$225</f>
        <v>0</v>
      </c>
      <c r="N225" s="73">
        <f ca="1">$K$225-EFEITO!$M$225*EFEITO!$Z$225</f>
        <v>0</v>
      </c>
      <c r="O225" s="73">
        <f>$L$225-EFEITO!$O$225*EFEITO!$AA$225</f>
        <v>0</v>
      </c>
      <c r="P225" s="57"/>
      <c r="Q225" s="57"/>
      <c r="R225" s="57"/>
      <c r="S225" s="57"/>
      <c r="T225" s="57"/>
      <c r="U225" s="57"/>
      <c r="V225" s="57"/>
      <c r="W225" s="57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r="226" spans="1:36" ht="11.25" customHeight="1" x14ac:dyDescent="0.2">
      <c r="A226" s="53" t="s">
        <v>21</v>
      </c>
      <c r="B226" s="53" t="s">
        <v>32</v>
      </c>
      <c r="C226" s="53" t="s">
        <v>39</v>
      </c>
      <c r="D226" s="53" t="s">
        <v>38</v>
      </c>
      <c r="E226" s="53" t="s">
        <v>25</v>
      </c>
      <c r="F226" s="53" t="s">
        <v>25</v>
      </c>
      <c r="G226" s="53" t="s">
        <v>25</v>
      </c>
      <c r="H226" s="53" t="s">
        <v>40</v>
      </c>
      <c r="I226" s="72">
        <v>44348</v>
      </c>
      <c r="J226" s="73">
        <f>EFEITO!$J$226*EFEITO!$Y$226</f>
        <v>0</v>
      </c>
      <c r="K226" s="73">
        <f ca="1">EFEITO!$L$226*EFEITO!$Z$226</f>
        <v>10.733170171896127</v>
      </c>
      <c r="L226" s="73">
        <f>EFEITO!$N$226*EFEITO!$AA$226</f>
        <v>2.3102294836352084</v>
      </c>
      <c r="M226" s="73">
        <f>$J$226-EFEITO!$K$226*EFEITO!$Y$226</f>
        <v>0</v>
      </c>
      <c r="N226" s="73">
        <f ca="1">$K$226-EFEITO!$M$226*EFEITO!$Z$226</f>
        <v>0</v>
      </c>
      <c r="O226" s="73">
        <f>$L$226-EFEITO!$O$226*EFEITO!$AA$226</f>
        <v>0</v>
      </c>
      <c r="P226" s="57"/>
      <c r="Q226" s="57"/>
      <c r="R226" s="57"/>
      <c r="S226" s="57"/>
      <c r="T226" s="57"/>
      <c r="U226" s="57"/>
      <c r="V226" s="57"/>
      <c r="W226" s="57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r="227" spans="1:36" ht="11.25" customHeight="1" x14ac:dyDescent="0.2">
      <c r="A227" s="53" t="s">
        <v>21</v>
      </c>
      <c r="B227" s="53" t="s">
        <v>32</v>
      </c>
      <c r="C227" s="53" t="s">
        <v>39</v>
      </c>
      <c r="D227" s="53" t="s">
        <v>38</v>
      </c>
      <c r="E227" s="53" t="s">
        <v>25</v>
      </c>
      <c r="F227" s="53" t="s">
        <v>25</v>
      </c>
      <c r="G227" s="53" t="s">
        <v>25</v>
      </c>
      <c r="H227" s="53" t="s">
        <v>40</v>
      </c>
      <c r="I227" s="72">
        <v>44378</v>
      </c>
      <c r="J227" s="73">
        <f>EFEITO!$J$227*EFEITO!$Y$227</f>
        <v>0</v>
      </c>
      <c r="K227" s="73">
        <f ca="1">EFEITO!$L$227*EFEITO!$Z$227</f>
        <v>22.65891480733627</v>
      </c>
      <c r="L227" s="73">
        <f>EFEITO!$N$227*EFEITO!$AA$227</f>
        <v>4.8771511321187742</v>
      </c>
      <c r="M227" s="73">
        <f>$J$227-EFEITO!$K$227*EFEITO!$Y$227</f>
        <v>0</v>
      </c>
      <c r="N227" s="73">
        <f ca="1">$K$227-EFEITO!$M$227*EFEITO!$Z$227</f>
        <v>0</v>
      </c>
      <c r="O227" s="73">
        <f>$L$227-EFEITO!$O$227*EFEITO!$AA$227</f>
        <v>0</v>
      </c>
      <c r="P227" s="57"/>
      <c r="Q227" s="57"/>
      <c r="R227" s="57"/>
      <c r="S227" s="57"/>
      <c r="T227" s="57"/>
      <c r="U227" s="57"/>
      <c r="V227" s="57"/>
      <c r="W227" s="57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r="228" spans="1:36" ht="11.25" customHeight="1" x14ac:dyDescent="0.2">
      <c r="A228" s="53" t="s">
        <v>21</v>
      </c>
      <c r="B228" s="53" t="s">
        <v>32</v>
      </c>
      <c r="C228" s="53" t="s">
        <v>39</v>
      </c>
      <c r="D228" s="53" t="s">
        <v>38</v>
      </c>
      <c r="E228" s="53" t="s">
        <v>25</v>
      </c>
      <c r="F228" s="53" t="s">
        <v>25</v>
      </c>
      <c r="G228" s="53" t="s">
        <v>25</v>
      </c>
      <c r="H228" s="53" t="s">
        <v>40</v>
      </c>
      <c r="I228" s="72">
        <v>44409</v>
      </c>
      <c r="J228" s="73">
        <f>EFEITO!$J$228*EFEITO!$Y$228</f>
        <v>0</v>
      </c>
      <c r="K228" s="73">
        <f ca="1">EFEITO!$L$228*EFEITO!$Z$228</f>
        <v>15.503468026072184</v>
      </c>
      <c r="L228" s="73">
        <f>EFEITO!$N$228*EFEITO!$AA$228</f>
        <v>3.3369981430286346</v>
      </c>
      <c r="M228" s="73">
        <f>$J$228-EFEITO!$K$228*EFEITO!$Y$228</f>
        <v>0</v>
      </c>
      <c r="N228" s="73">
        <f ca="1">$K$228-EFEITO!$M$228*EFEITO!$Z$228</f>
        <v>0</v>
      </c>
      <c r="O228" s="73">
        <f>$L$228-EFEITO!$O$228*EFEITO!$AA$228</f>
        <v>0</v>
      </c>
      <c r="P228" s="57"/>
      <c r="Q228" s="57"/>
      <c r="R228" s="57"/>
      <c r="S228" s="57"/>
      <c r="T228" s="57"/>
      <c r="U228" s="57"/>
      <c r="V228" s="57"/>
      <c r="W228" s="57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r="229" spans="1:36" ht="11.25" customHeight="1" x14ac:dyDescent="0.2">
      <c r="A229" s="53" t="s">
        <v>21</v>
      </c>
      <c r="B229" s="53" t="s">
        <v>32</v>
      </c>
      <c r="C229" s="53" t="s">
        <v>39</v>
      </c>
      <c r="D229" s="53" t="s">
        <v>38</v>
      </c>
      <c r="E229" s="53" t="s">
        <v>25</v>
      </c>
      <c r="F229" s="53" t="s">
        <v>25</v>
      </c>
      <c r="G229" s="53" t="s">
        <v>25</v>
      </c>
      <c r="H229" s="53" t="s">
        <v>40</v>
      </c>
      <c r="I229" s="72">
        <v>44440</v>
      </c>
      <c r="J229" s="73">
        <f>EFEITO!$J$229*EFEITO!$Y$229</f>
        <v>0</v>
      </c>
      <c r="K229" s="73">
        <f ca="1">EFEITO!$L$229*EFEITO!$Z$229</f>
        <v>14.31089356252817</v>
      </c>
      <c r="L229" s="73">
        <f>EFEITO!$N$229*EFEITO!$AA$229</f>
        <v>3.0803059781802782</v>
      </c>
      <c r="M229" s="73">
        <f>$J$229-EFEITO!$K$229*EFEITO!$Y$229</f>
        <v>0</v>
      </c>
      <c r="N229" s="73">
        <f ca="1">$K$229-EFEITO!$M$229*EFEITO!$Z$229</f>
        <v>0</v>
      </c>
      <c r="O229" s="73">
        <f>$L$229-EFEITO!$O$229*EFEITO!$AA$229</f>
        <v>0</v>
      </c>
      <c r="P229" s="57"/>
      <c r="Q229" s="57"/>
      <c r="R229" s="57"/>
      <c r="S229" s="57"/>
      <c r="T229" s="57"/>
      <c r="U229" s="57"/>
      <c r="V229" s="57"/>
      <c r="W229" s="57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r="230" spans="1:36" ht="11.25" customHeight="1" x14ac:dyDescent="0.2">
      <c r="A230" s="53" t="s">
        <v>21</v>
      </c>
      <c r="B230" s="53" t="s">
        <v>32</v>
      </c>
      <c r="C230" s="53" t="s">
        <v>39</v>
      </c>
      <c r="D230" s="53" t="s">
        <v>38</v>
      </c>
      <c r="E230" s="53" t="s">
        <v>25</v>
      </c>
      <c r="F230" s="53" t="s">
        <v>25</v>
      </c>
      <c r="G230" s="53" t="s">
        <v>25</v>
      </c>
      <c r="H230" s="53" t="s">
        <v>40</v>
      </c>
      <c r="I230" s="72">
        <v>44470</v>
      </c>
      <c r="J230" s="73">
        <f>EFEITO!$J$230*EFEITO!$Y$230</f>
        <v>0</v>
      </c>
      <c r="K230" s="73">
        <f ca="1">EFEITO!$L$230*EFEITO!$Z$230</f>
        <v>13.118319098984156</v>
      </c>
      <c r="L230" s="73">
        <f>EFEITO!$N$230*EFEITO!$AA$230</f>
        <v>2.8236138133319217</v>
      </c>
      <c r="M230" s="73">
        <f>$J$230-EFEITO!$K$230*EFEITO!$Y$230</f>
        <v>0</v>
      </c>
      <c r="N230" s="73">
        <f ca="1">$K$230-EFEITO!$M$230*EFEITO!$Z$230</f>
        <v>0</v>
      </c>
      <c r="O230" s="73">
        <f>$L$230-EFEITO!$O$230*EFEITO!$AA$230</f>
        <v>0</v>
      </c>
      <c r="P230" s="57"/>
      <c r="Q230" s="57"/>
      <c r="R230" s="57"/>
      <c r="S230" s="57"/>
      <c r="T230" s="57"/>
      <c r="U230" s="57"/>
      <c r="V230" s="57"/>
      <c r="W230" s="57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 spans="1:36" ht="11.25" customHeight="1" x14ac:dyDescent="0.2">
      <c r="A231" s="53" t="s">
        <v>21</v>
      </c>
      <c r="B231" s="53" t="s">
        <v>32</v>
      </c>
      <c r="C231" s="53" t="s">
        <v>39</v>
      </c>
      <c r="D231" s="53" t="s">
        <v>38</v>
      </c>
      <c r="E231" s="53" t="s">
        <v>25</v>
      </c>
      <c r="F231" s="53" t="s">
        <v>25</v>
      </c>
      <c r="G231" s="53" t="s">
        <v>25</v>
      </c>
      <c r="H231" s="53" t="s">
        <v>40</v>
      </c>
      <c r="I231" s="72">
        <v>44501</v>
      </c>
      <c r="J231" s="73">
        <f>EFEITO!$J$231*EFEITO!$Y$231</f>
        <v>0</v>
      </c>
      <c r="K231" s="73">
        <f ca="1">EFEITO!$L$231*EFEITO!$Z$231</f>
        <v>22.65891480733627</v>
      </c>
      <c r="L231" s="73">
        <f>EFEITO!$N$231*EFEITO!$AA$231</f>
        <v>4.8771511321187742</v>
      </c>
      <c r="M231" s="73">
        <f>$J$231-EFEITO!$K$231*EFEITO!$Y$231</f>
        <v>0</v>
      </c>
      <c r="N231" s="73">
        <f ca="1">$K$231-EFEITO!$M$231*EFEITO!$Z$231</f>
        <v>0</v>
      </c>
      <c r="O231" s="73">
        <f>$L$231-EFEITO!$O$231*EFEITO!$AA$231</f>
        <v>0</v>
      </c>
      <c r="P231" s="57"/>
      <c r="Q231" s="57"/>
      <c r="R231" s="57"/>
      <c r="S231" s="57"/>
      <c r="T231" s="57"/>
      <c r="U231" s="57"/>
      <c r="V231" s="57"/>
      <c r="W231" s="57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 spans="1:36" ht="11.25" customHeight="1" x14ac:dyDescent="0.2">
      <c r="A232" s="53" t="s">
        <v>21</v>
      </c>
      <c r="B232" s="53" t="s">
        <v>32</v>
      </c>
      <c r="C232" s="53" t="s">
        <v>39</v>
      </c>
      <c r="D232" s="53" t="s">
        <v>38</v>
      </c>
      <c r="E232" s="53" t="s">
        <v>25</v>
      </c>
      <c r="F232" s="53" t="s">
        <v>25</v>
      </c>
      <c r="G232" s="53" t="s">
        <v>25</v>
      </c>
      <c r="H232" s="53" t="s">
        <v>40</v>
      </c>
      <c r="I232" s="72">
        <v>44531</v>
      </c>
      <c r="J232" s="73">
        <f>EFEITO!$J$232*EFEITO!$Y$232</f>
        <v>0</v>
      </c>
      <c r="K232" s="73">
        <f ca="1">EFEITO!$L$232*EFEITO!$Z$232</f>
        <v>23.851489270880283</v>
      </c>
      <c r="L232" s="73">
        <f>EFEITO!$N$232*EFEITO!$AA$232</f>
        <v>5.1338432969671306</v>
      </c>
      <c r="M232" s="73">
        <f>$J$232-EFEITO!$K$232*EFEITO!$Y$232</f>
        <v>0</v>
      </c>
      <c r="N232" s="73">
        <f ca="1">$K$232-EFEITO!$M$232*EFEITO!$Z$232</f>
        <v>0</v>
      </c>
      <c r="O232" s="73">
        <f>$L$232-EFEITO!$O$232*EFEITO!$AA$232</f>
        <v>0</v>
      </c>
      <c r="P232" s="57"/>
      <c r="Q232" s="57"/>
      <c r="R232" s="57"/>
      <c r="S232" s="57"/>
      <c r="T232" s="57"/>
      <c r="U232" s="57"/>
      <c r="V232" s="57"/>
      <c r="W232" s="57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 spans="1:36" ht="11.25" customHeight="1" x14ac:dyDescent="0.2">
      <c r="A233" s="53" t="s">
        <v>21</v>
      </c>
      <c r="B233" s="53" t="s">
        <v>32</v>
      </c>
      <c r="C233" s="53" t="s">
        <v>39</v>
      </c>
      <c r="D233" s="53" t="s">
        <v>38</v>
      </c>
      <c r="E233" s="53" t="s">
        <v>25</v>
      </c>
      <c r="F233" s="53" t="s">
        <v>25</v>
      </c>
      <c r="G233" s="53" t="s">
        <v>25</v>
      </c>
      <c r="H233" s="53" t="s">
        <v>40</v>
      </c>
      <c r="I233" s="72">
        <v>44562</v>
      </c>
      <c r="J233" s="73">
        <f>EFEITO!$J$233*EFEITO!$Y$233</f>
        <v>0</v>
      </c>
      <c r="K233" s="73">
        <f ca="1">EFEITO!$L$233*EFEITO!$Z$233</f>
        <v>15.503468026072184</v>
      </c>
      <c r="L233" s="73">
        <f>EFEITO!$N$233*EFEITO!$AA$233</f>
        <v>3.3369981430286346</v>
      </c>
      <c r="M233" s="73">
        <f>$J$233-EFEITO!$K$233*EFEITO!$Y$233</f>
        <v>0</v>
      </c>
      <c r="N233" s="73">
        <f ca="1">$K$233-EFEITO!$M$233*EFEITO!$Z$233</f>
        <v>0</v>
      </c>
      <c r="O233" s="73">
        <f>$L$233-EFEITO!$O$233*EFEITO!$AA$233</f>
        <v>0</v>
      </c>
      <c r="P233" s="57"/>
      <c r="Q233" s="57"/>
      <c r="R233" s="57"/>
      <c r="S233" s="57"/>
      <c r="T233" s="57"/>
      <c r="U233" s="57"/>
      <c r="V233" s="57"/>
      <c r="W233" s="57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 spans="1:36" ht="11.25" customHeight="1" x14ac:dyDescent="0.2">
      <c r="A234" s="53" t="s">
        <v>21</v>
      </c>
      <c r="B234" s="53" t="s">
        <v>32</v>
      </c>
      <c r="C234" s="53" t="s">
        <v>39</v>
      </c>
      <c r="D234" s="53" t="s">
        <v>38</v>
      </c>
      <c r="E234" s="53" t="s">
        <v>25</v>
      </c>
      <c r="F234" s="53" t="s">
        <v>25</v>
      </c>
      <c r="G234" s="53" t="s">
        <v>25</v>
      </c>
      <c r="H234" s="53" t="s">
        <v>40</v>
      </c>
      <c r="I234" s="72">
        <v>44593</v>
      </c>
      <c r="J234" s="73">
        <f>EFEITO!$J$234*EFEITO!$Y$234</f>
        <v>0</v>
      </c>
      <c r="K234" s="73">
        <f ca="1">EFEITO!$L$234*EFEITO!$Z$234</f>
        <v>14.31089356252817</v>
      </c>
      <c r="L234" s="73">
        <f>EFEITO!$N$234*EFEITO!$AA$234</f>
        <v>3.0803059781802782</v>
      </c>
      <c r="M234" s="73">
        <f>$J$234-EFEITO!$K$234*EFEITO!$Y$234</f>
        <v>0</v>
      </c>
      <c r="N234" s="73">
        <f ca="1">$K$234-EFEITO!$M$234*EFEITO!$Z$234</f>
        <v>0</v>
      </c>
      <c r="O234" s="73">
        <f>$L$234-EFEITO!$O$234*EFEITO!$AA$234</f>
        <v>0</v>
      </c>
      <c r="P234" s="57"/>
      <c r="Q234" s="57"/>
      <c r="R234" s="57"/>
      <c r="S234" s="57"/>
      <c r="T234" s="57"/>
      <c r="U234" s="57"/>
      <c r="V234" s="57"/>
      <c r="W234" s="57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 spans="1:36" ht="11.25" customHeight="1" x14ac:dyDescent="0.2">
      <c r="A235" s="53" t="s">
        <v>21</v>
      </c>
      <c r="B235" s="53" t="s">
        <v>32</v>
      </c>
      <c r="C235" s="53" t="s">
        <v>39</v>
      </c>
      <c r="D235" s="53" t="s">
        <v>38</v>
      </c>
      <c r="E235" s="53" t="s">
        <v>25</v>
      </c>
      <c r="F235" s="53" t="s">
        <v>25</v>
      </c>
      <c r="G235" s="53" t="s">
        <v>25</v>
      </c>
      <c r="H235" s="53" t="s">
        <v>40</v>
      </c>
      <c r="I235" s="72">
        <v>44621</v>
      </c>
      <c r="J235" s="73">
        <f>EFEITO!$J$235*EFEITO!$Y$235</f>
        <v>0</v>
      </c>
      <c r="K235" s="73">
        <f ca="1">EFEITO!$L$235*EFEITO!$Z$235</f>
        <v>16.6960424896162</v>
      </c>
      <c r="L235" s="73">
        <f>EFEITO!$N$235*EFEITO!$AA$235</f>
        <v>3.5936903078769915</v>
      </c>
      <c r="M235" s="73">
        <f>$J$235-EFEITO!$K$235*EFEITO!$Y$235</f>
        <v>0</v>
      </c>
      <c r="N235" s="73">
        <f ca="1">$K$235-EFEITO!$M$235*EFEITO!$Z$235</f>
        <v>0</v>
      </c>
      <c r="O235" s="73">
        <f>$L$235-EFEITO!$O$235*EFEITO!$AA$235</f>
        <v>0</v>
      </c>
      <c r="P235" s="57"/>
      <c r="Q235" s="57"/>
      <c r="R235" s="57"/>
      <c r="S235" s="57"/>
      <c r="T235" s="57"/>
      <c r="U235" s="57"/>
      <c r="V235" s="57"/>
      <c r="W235" s="57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 spans="1:36" ht="11.25" customHeight="1" x14ac:dyDescent="0.2">
      <c r="A236" s="53" t="s">
        <v>21</v>
      </c>
      <c r="B236" s="53" t="s">
        <v>32</v>
      </c>
      <c r="C236" s="53" t="s">
        <v>39</v>
      </c>
      <c r="D236" s="53" t="s">
        <v>38</v>
      </c>
      <c r="E236" s="53" t="s">
        <v>25</v>
      </c>
      <c r="F236" s="53" t="s">
        <v>25</v>
      </c>
      <c r="G236" s="53" t="s">
        <v>25</v>
      </c>
      <c r="H236" s="53" t="s">
        <v>40</v>
      </c>
      <c r="I236" s="72">
        <v>44652</v>
      </c>
      <c r="J236" s="73">
        <f>EFEITO!$J$236*EFEITO!$Y$236</f>
        <v>0</v>
      </c>
      <c r="K236" s="73">
        <f ca="1">EFEITO!$L$236*EFEITO!$Z$236</f>
        <v>13.118319098984156</v>
      </c>
      <c r="L236" s="73">
        <f>EFEITO!$N$236*EFEITO!$AA$236</f>
        <v>2.8236138133319217</v>
      </c>
      <c r="M236" s="73">
        <f>$J$236-EFEITO!$K$236*EFEITO!$Y$236</f>
        <v>0</v>
      </c>
      <c r="N236" s="73">
        <f ca="1">$K$236-EFEITO!$M$236*EFEITO!$Z$236</f>
        <v>0</v>
      </c>
      <c r="O236" s="73">
        <f>$L$236-EFEITO!$O$236*EFEITO!$AA$236</f>
        <v>0</v>
      </c>
      <c r="P236" s="57"/>
      <c r="Q236" s="57"/>
      <c r="R236" s="57"/>
      <c r="S236" s="57"/>
      <c r="T236" s="57"/>
      <c r="U236" s="57"/>
      <c r="V236" s="57"/>
      <c r="W236" s="57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 spans="1:36" ht="11.25" customHeight="1" x14ac:dyDescent="0.2">
      <c r="A237" s="53" t="s">
        <v>21</v>
      </c>
      <c r="B237" s="53" t="s">
        <v>32</v>
      </c>
      <c r="C237" s="53" t="s">
        <v>39</v>
      </c>
      <c r="D237" s="53" t="s">
        <v>38</v>
      </c>
      <c r="E237" s="53" t="s">
        <v>25</v>
      </c>
      <c r="F237" s="53" t="s">
        <v>25</v>
      </c>
      <c r="G237" s="53" t="s">
        <v>25</v>
      </c>
      <c r="H237" s="53" t="s">
        <v>36</v>
      </c>
      <c r="I237" s="72">
        <v>44317</v>
      </c>
      <c r="J237" s="73">
        <f>EFEITO!$J$237*EFEITO!$Y$237</f>
        <v>0</v>
      </c>
      <c r="K237" s="73">
        <f ca="1">EFEITO!$L$237*EFEITO!$Z$237</f>
        <v>17.317453616302473</v>
      </c>
      <c r="L237" s="73">
        <f>EFEITO!$N$237*EFEITO!$AA$237</f>
        <v>2.3102294836352084</v>
      </c>
      <c r="M237" s="73">
        <f>$J$237-EFEITO!$K$237*EFEITO!$Y$237</f>
        <v>0</v>
      </c>
      <c r="N237" s="73">
        <f ca="1">$K$237-EFEITO!$M$237*EFEITO!$Z$237</f>
        <v>0</v>
      </c>
      <c r="O237" s="73">
        <f>$L$237-EFEITO!$O$237*EFEITO!$AA$237</f>
        <v>0</v>
      </c>
      <c r="P237" s="57"/>
      <c r="Q237" s="57"/>
      <c r="R237" s="57"/>
      <c r="S237" s="57"/>
      <c r="T237" s="57"/>
      <c r="U237" s="57"/>
      <c r="V237" s="57"/>
      <c r="W237" s="57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 spans="1:36" ht="11.25" customHeight="1" x14ac:dyDescent="0.2">
      <c r="A238" s="53" t="s">
        <v>21</v>
      </c>
      <c r="B238" s="53" t="s">
        <v>32</v>
      </c>
      <c r="C238" s="53" t="s">
        <v>39</v>
      </c>
      <c r="D238" s="53" t="s">
        <v>38</v>
      </c>
      <c r="E238" s="53" t="s">
        <v>25</v>
      </c>
      <c r="F238" s="53" t="s">
        <v>25</v>
      </c>
      <c r="G238" s="53" t="s">
        <v>25</v>
      </c>
      <c r="H238" s="53" t="s">
        <v>36</v>
      </c>
      <c r="I238" s="72">
        <v>44348</v>
      </c>
      <c r="J238" s="73">
        <f>EFEITO!$J$238*EFEITO!$Y$238</f>
        <v>0</v>
      </c>
      <c r="K238" s="73">
        <f ca="1">EFEITO!$L$238*EFEITO!$Z$238</f>
        <v>23.089938155069966</v>
      </c>
      <c r="L238" s="73">
        <f>EFEITO!$N$238*EFEITO!$AA$238</f>
        <v>3.0803059781802782</v>
      </c>
      <c r="M238" s="73">
        <f>$J$238-EFEITO!$K$238*EFEITO!$Y$238</f>
        <v>0</v>
      </c>
      <c r="N238" s="73">
        <f ca="1">$K$238-EFEITO!$M$238*EFEITO!$Z$238</f>
        <v>0</v>
      </c>
      <c r="O238" s="73">
        <f>$L$238-EFEITO!$O$238*EFEITO!$AA$238</f>
        <v>0</v>
      </c>
      <c r="P238" s="57"/>
      <c r="Q238" s="57"/>
      <c r="R238" s="57"/>
      <c r="S238" s="57"/>
      <c r="T238" s="57"/>
      <c r="U238" s="57"/>
      <c r="V238" s="57"/>
      <c r="W238" s="57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 spans="1:36" ht="11.25" customHeight="1" x14ac:dyDescent="0.2">
      <c r="A239" s="53" t="s">
        <v>21</v>
      </c>
      <c r="B239" s="53" t="s">
        <v>32</v>
      </c>
      <c r="C239" s="53" t="s">
        <v>39</v>
      </c>
      <c r="D239" s="53" t="s">
        <v>38</v>
      </c>
      <c r="E239" s="53" t="s">
        <v>25</v>
      </c>
      <c r="F239" s="53" t="s">
        <v>25</v>
      </c>
      <c r="G239" s="53" t="s">
        <v>25</v>
      </c>
      <c r="H239" s="53" t="s">
        <v>36</v>
      </c>
      <c r="I239" s="72">
        <v>44378</v>
      </c>
      <c r="J239" s="73">
        <f>EFEITO!$J$239*EFEITO!$Y$239</f>
        <v>0</v>
      </c>
      <c r="K239" s="73">
        <f ca="1">EFEITO!$L$239*EFEITO!$Z$239</f>
        <v>26.938261180914957</v>
      </c>
      <c r="L239" s="73">
        <f>EFEITO!$N$239*EFEITO!$AA$239</f>
        <v>3.5936903078769915</v>
      </c>
      <c r="M239" s="73">
        <f>$J$239-EFEITO!$K$239*EFEITO!$Y$239</f>
        <v>0</v>
      </c>
      <c r="N239" s="73">
        <f ca="1">$K$239-EFEITO!$M$239*EFEITO!$Z$239</f>
        <v>0</v>
      </c>
      <c r="O239" s="73">
        <f>$L$239-EFEITO!$O$239*EFEITO!$AA$239</f>
        <v>0</v>
      </c>
      <c r="P239" s="57"/>
      <c r="Q239" s="57"/>
      <c r="R239" s="57"/>
      <c r="S239" s="57"/>
      <c r="T239" s="57"/>
      <c r="U239" s="57"/>
      <c r="V239" s="57"/>
      <c r="W239" s="57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 spans="1:36" ht="11.25" customHeight="1" x14ac:dyDescent="0.2">
      <c r="A240" s="53" t="s">
        <v>21</v>
      </c>
      <c r="B240" s="53" t="s">
        <v>32</v>
      </c>
      <c r="C240" s="53" t="s">
        <v>39</v>
      </c>
      <c r="D240" s="53" t="s">
        <v>38</v>
      </c>
      <c r="E240" s="53" t="s">
        <v>25</v>
      </c>
      <c r="F240" s="53" t="s">
        <v>25</v>
      </c>
      <c r="G240" s="53" t="s">
        <v>25</v>
      </c>
      <c r="H240" s="53" t="s">
        <v>36</v>
      </c>
      <c r="I240" s="72">
        <v>44409</v>
      </c>
      <c r="J240" s="73">
        <f>EFEITO!$J$240*EFEITO!$Y$240</f>
        <v>0</v>
      </c>
      <c r="K240" s="73">
        <f ca="1">EFEITO!$L$240*EFEITO!$Z$240</f>
        <v>28.862422693837452</v>
      </c>
      <c r="L240" s="73">
        <f>EFEITO!$N$240*EFEITO!$AA$240</f>
        <v>3.8503824727253479</v>
      </c>
      <c r="M240" s="73">
        <f>$J$240-EFEITO!$K$240*EFEITO!$Y$240</f>
        <v>0</v>
      </c>
      <c r="N240" s="73">
        <f ca="1">$K$240-EFEITO!$M$240*EFEITO!$Z$240</f>
        <v>0</v>
      </c>
      <c r="O240" s="73">
        <f>$L$240-EFEITO!$O$240*EFEITO!$AA$240</f>
        <v>0</v>
      </c>
      <c r="P240" s="57"/>
      <c r="Q240" s="57"/>
      <c r="R240" s="57"/>
      <c r="S240" s="57"/>
      <c r="T240" s="57"/>
      <c r="U240" s="57"/>
      <c r="V240" s="57"/>
      <c r="W240" s="57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 spans="1:36" ht="11.25" customHeight="1" x14ac:dyDescent="0.2">
      <c r="A241" s="53" t="s">
        <v>21</v>
      </c>
      <c r="B241" s="53" t="s">
        <v>32</v>
      </c>
      <c r="C241" s="53" t="s">
        <v>39</v>
      </c>
      <c r="D241" s="53" t="s">
        <v>38</v>
      </c>
      <c r="E241" s="53" t="s">
        <v>25</v>
      </c>
      <c r="F241" s="53" t="s">
        <v>25</v>
      </c>
      <c r="G241" s="53" t="s">
        <v>25</v>
      </c>
      <c r="H241" s="53" t="s">
        <v>36</v>
      </c>
      <c r="I241" s="72">
        <v>44440</v>
      </c>
      <c r="J241" s="73">
        <f>EFEITO!$J$241*EFEITO!$Y$241</f>
        <v>0</v>
      </c>
      <c r="K241" s="73">
        <f ca="1">EFEITO!$L$241*EFEITO!$Z$241</f>
        <v>23.089938155069966</v>
      </c>
      <c r="L241" s="73">
        <f>EFEITO!$N$241*EFEITO!$AA$241</f>
        <v>3.0803059781802782</v>
      </c>
      <c r="M241" s="73">
        <f>$J$241-EFEITO!$K$241*EFEITO!$Y$241</f>
        <v>0</v>
      </c>
      <c r="N241" s="73">
        <f ca="1">$K$241-EFEITO!$M$241*EFEITO!$Z$241</f>
        <v>0</v>
      </c>
      <c r="O241" s="73">
        <f>$L$241-EFEITO!$O$241*EFEITO!$AA$241</f>
        <v>0</v>
      </c>
      <c r="P241" s="57"/>
      <c r="Q241" s="57"/>
      <c r="R241" s="57"/>
      <c r="S241" s="57"/>
      <c r="T241" s="57"/>
      <c r="U241" s="57"/>
      <c r="V241" s="57"/>
      <c r="W241" s="57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 spans="1:36" ht="11.25" customHeight="1" x14ac:dyDescent="0.2">
      <c r="A242" s="53" t="s">
        <v>21</v>
      </c>
      <c r="B242" s="53" t="s">
        <v>32</v>
      </c>
      <c r="C242" s="53" t="s">
        <v>39</v>
      </c>
      <c r="D242" s="53" t="s">
        <v>38</v>
      </c>
      <c r="E242" s="53" t="s">
        <v>25</v>
      </c>
      <c r="F242" s="53" t="s">
        <v>25</v>
      </c>
      <c r="G242" s="53" t="s">
        <v>25</v>
      </c>
      <c r="H242" s="53" t="s">
        <v>36</v>
      </c>
      <c r="I242" s="72">
        <v>44470</v>
      </c>
      <c r="J242" s="73">
        <f>EFEITO!$J$242*EFEITO!$Y$242</f>
        <v>0</v>
      </c>
      <c r="K242" s="73">
        <f ca="1">EFEITO!$L$242*EFEITO!$Z$242</f>
        <v>25.014099667992461</v>
      </c>
      <c r="L242" s="73">
        <f>EFEITO!$N$242*EFEITO!$AA$242</f>
        <v>3.3369981430286346</v>
      </c>
      <c r="M242" s="73">
        <f>$J$242-EFEITO!$K$242*EFEITO!$Y$242</f>
        <v>0</v>
      </c>
      <c r="N242" s="73">
        <f ca="1">$K$242-EFEITO!$M$242*EFEITO!$Z$242</f>
        <v>0</v>
      </c>
      <c r="O242" s="73">
        <f>$L$242-EFEITO!$O$242*EFEITO!$AA$242</f>
        <v>0</v>
      </c>
      <c r="P242" s="57"/>
      <c r="Q242" s="57"/>
      <c r="R242" s="57"/>
      <c r="S242" s="57"/>
      <c r="T242" s="57"/>
      <c r="U242" s="57"/>
      <c r="V242" s="57"/>
      <c r="W242" s="57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 spans="1:36" ht="11.25" customHeight="1" x14ac:dyDescent="0.2">
      <c r="A243" s="53" t="s">
        <v>21</v>
      </c>
      <c r="B243" s="53" t="s">
        <v>32</v>
      </c>
      <c r="C243" s="53" t="s">
        <v>39</v>
      </c>
      <c r="D243" s="53" t="s">
        <v>38</v>
      </c>
      <c r="E243" s="53" t="s">
        <v>25</v>
      </c>
      <c r="F243" s="53" t="s">
        <v>25</v>
      </c>
      <c r="G243" s="53" t="s">
        <v>25</v>
      </c>
      <c r="H243" s="53" t="s">
        <v>36</v>
      </c>
      <c r="I243" s="72">
        <v>44501</v>
      </c>
      <c r="J243" s="73">
        <f>EFEITO!$J$243*EFEITO!$Y$243</f>
        <v>0</v>
      </c>
      <c r="K243" s="73">
        <f ca="1">EFEITO!$L$243*EFEITO!$Z$243</f>
        <v>23.089938155069966</v>
      </c>
      <c r="L243" s="73">
        <f>EFEITO!$N$243*EFEITO!$AA$243</f>
        <v>3.0803059781802782</v>
      </c>
      <c r="M243" s="73">
        <f>$J$243-EFEITO!$K$243*EFEITO!$Y$243</f>
        <v>0</v>
      </c>
      <c r="N243" s="73">
        <f ca="1">$K$243-EFEITO!$M$243*EFEITO!$Z$243</f>
        <v>0</v>
      </c>
      <c r="O243" s="73">
        <f>$L$243-EFEITO!$O$243*EFEITO!$AA$243</f>
        <v>0</v>
      </c>
      <c r="P243" s="57"/>
      <c r="Q243" s="57"/>
      <c r="R243" s="57"/>
      <c r="S243" s="57"/>
      <c r="T243" s="57"/>
      <c r="U243" s="57"/>
      <c r="V243" s="57"/>
      <c r="W243" s="57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 spans="1:36" ht="11.25" customHeight="1" x14ac:dyDescent="0.2">
      <c r="A244" s="53" t="s">
        <v>21</v>
      </c>
      <c r="B244" s="53" t="s">
        <v>32</v>
      </c>
      <c r="C244" s="53" t="s">
        <v>39</v>
      </c>
      <c r="D244" s="53" t="s">
        <v>38</v>
      </c>
      <c r="E244" s="53" t="s">
        <v>25</v>
      </c>
      <c r="F244" s="53" t="s">
        <v>25</v>
      </c>
      <c r="G244" s="53" t="s">
        <v>25</v>
      </c>
      <c r="H244" s="53" t="s">
        <v>36</v>
      </c>
      <c r="I244" s="72">
        <v>44531</v>
      </c>
      <c r="J244" s="73">
        <f>EFEITO!$J$244*EFEITO!$Y$244</f>
        <v>0</v>
      </c>
      <c r="K244" s="73">
        <f ca="1">EFEITO!$L$244*EFEITO!$Z$244</f>
        <v>32.71074571968245</v>
      </c>
      <c r="L244" s="73">
        <f>EFEITO!$N$244*EFEITO!$AA$244</f>
        <v>4.3637668024220613</v>
      </c>
      <c r="M244" s="73">
        <f>$J$244-EFEITO!$K$244*EFEITO!$Y$244</f>
        <v>0</v>
      </c>
      <c r="N244" s="73">
        <f ca="1">$K$244-EFEITO!$M$244*EFEITO!$Z$244</f>
        <v>0</v>
      </c>
      <c r="O244" s="73">
        <f>$L$244-EFEITO!$O$244*EFEITO!$AA$244</f>
        <v>0</v>
      </c>
      <c r="P244" s="57"/>
      <c r="Q244" s="57"/>
      <c r="R244" s="57"/>
      <c r="S244" s="57"/>
      <c r="T244" s="57"/>
      <c r="U244" s="57"/>
      <c r="V244" s="57"/>
      <c r="W244" s="57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 spans="1:36" ht="11.25" customHeight="1" x14ac:dyDescent="0.2">
      <c r="A245" s="53" t="s">
        <v>21</v>
      </c>
      <c r="B245" s="53" t="s">
        <v>32</v>
      </c>
      <c r="C245" s="53" t="s">
        <v>39</v>
      </c>
      <c r="D245" s="53" t="s">
        <v>38</v>
      </c>
      <c r="E245" s="53" t="s">
        <v>25</v>
      </c>
      <c r="F245" s="53" t="s">
        <v>25</v>
      </c>
      <c r="G245" s="53" t="s">
        <v>25</v>
      </c>
      <c r="H245" s="53" t="s">
        <v>36</v>
      </c>
      <c r="I245" s="72">
        <v>44562</v>
      </c>
      <c r="J245" s="73">
        <f>EFEITO!$J$245*EFEITO!$Y$245</f>
        <v>0</v>
      </c>
      <c r="K245" s="73">
        <f ca="1">EFEITO!$L$245*EFEITO!$Z$245</f>
        <v>13.469130590457478</v>
      </c>
      <c r="L245" s="73">
        <f>EFEITO!$N$245*EFEITO!$AA$245</f>
        <v>1.7968451539384958</v>
      </c>
      <c r="M245" s="73">
        <f>$J$245-EFEITO!$K$245*EFEITO!$Y$245</f>
        <v>0</v>
      </c>
      <c r="N245" s="73">
        <f ca="1">$K$245-EFEITO!$M$245*EFEITO!$Z$245</f>
        <v>0</v>
      </c>
      <c r="O245" s="73">
        <f>$L$245-EFEITO!$O$245*EFEITO!$AA$245</f>
        <v>0</v>
      </c>
      <c r="P245" s="57"/>
      <c r="Q245" s="57"/>
      <c r="R245" s="57"/>
      <c r="S245" s="57"/>
      <c r="T245" s="57"/>
      <c r="U245" s="57"/>
      <c r="V245" s="57"/>
      <c r="W245" s="57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 spans="1:36" ht="11.25" customHeight="1" x14ac:dyDescent="0.2">
      <c r="A246" s="53" t="s">
        <v>21</v>
      </c>
      <c r="B246" s="53" t="s">
        <v>32</v>
      </c>
      <c r="C246" s="53" t="s">
        <v>39</v>
      </c>
      <c r="D246" s="53" t="s">
        <v>38</v>
      </c>
      <c r="E246" s="53" t="s">
        <v>25</v>
      </c>
      <c r="F246" s="53" t="s">
        <v>25</v>
      </c>
      <c r="G246" s="53" t="s">
        <v>25</v>
      </c>
      <c r="H246" s="53" t="s">
        <v>36</v>
      </c>
      <c r="I246" s="72">
        <v>44593</v>
      </c>
      <c r="J246" s="73">
        <f>EFEITO!$J$246*EFEITO!$Y$246</f>
        <v>0</v>
      </c>
      <c r="K246" s="73">
        <f ca="1">EFEITO!$L$246*EFEITO!$Z$246</f>
        <v>9.6208075646124858</v>
      </c>
      <c r="L246" s="73">
        <f>EFEITO!$N$246*EFEITO!$AA$246</f>
        <v>1.2834608242417826</v>
      </c>
      <c r="M246" s="73">
        <f>$J$246-EFEITO!$K$246*EFEITO!$Y$246</f>
        <v>0</v>
      </c>
      <c r="N246" s="73">
        <f ca="1">$K$246-EFEITO!$M$246*EFEITO!$Z$246</f>
        <v>0</v>
      </c>
      <c r="O246" s="73">
        <f>$L$246-EFEITO!$O$246*EFEITO!$AA$246</f>
        <v>0</v>
      </c>
      <c r="P246" s="57"/>
      <c r="Q246" s="57"/>
      <c r="R246" s="57"/>
      <c r="S246" s="57"/>
      <c r="T246" s="57"/>
      <c r="U246" s="57"/>
      <c r="V246" s="57"/>
      <c r="W246" s="57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 spans="1:36" ht="11.25" customHeight="1" x14ac:dyDescent="0.2">
      <c r="A247" s="53" t="s">
        <v>21</v>
      </c>
      <c r="B247" s="53" t="s">
        <v>32</v>
      </c>
      <c r="C247" s="53" t="s">
        <v>39</v>
      </c>
      <c r="D247" s="53" t="s">
        <v>38</v>
      </c>
      <c r="E247" s="53" t="s">
        <v>25</v>
      </c>
      <c r="F247" s="53" t="s">
        <v>25</v>
      </c>
      <c r="G247" s="53" t="s">
        <v>25</v>
      </c>
      <c r="H247" s="53" t="s">
        <v>36</v>
      </c>
      <c r="I247" s="72">
        <v>44621</v>
      </c>
      <c r="J247" s="73">
        <f>EFEITO!$J$247*EFEITO!$Y$247</f>
        <v>0</v>
      </c>
      <c r="K247" s="73">
        <f ca="1">EFEITO!$L$247*EFEITO!$Z$247</f>
        <v>23.089938155069966</v>
      </c>
      <c r="L247" s="73">
        <f>EFEITO!$N$247*EFEITO!$AA$247</f>
        <v>3.0803059781802782</v>
      </c>
      <c r="M247" s="73">
        <f>$J$247-EFEITO!$K$247*EFEITO!$Y$247</f>
        <v>0</v>
      </c>
      <c r="N247" s="73">
        <f ca="1">$K$247-EFEITO!$M$247*EFEITO!$Z$247</f>
        <v>0</v>
      </c>
      <c r="O247" s="73">
        <f>$L$247-EFEITO!$O$247*EFEITO!$AA$247</f>
        <v>0</v>
      </c>
      <c r="P247" s="57"/>
      <c r="Q247" s="57"/>
      <c r="R247" s="57"/>
      <c r="S247" s="57"/>
      <c r="T247" s="57"/>
      <c r="U247" s="57"/>
      <c r="V247" s="57"/>
      <c r="W247" s="57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 spans="1:36" ht="11.25" customHeight="1" x14ac:dyDescent="0.2">
      <c r="A248" s="53" t="s">
        <v>21</v>
      </c>
      <c r="B248" s="53" t="s">
        <v>32</v>
      </c>
      <c r="C248" s="53" t="s">
        <v>39</v>
      </c>
      <c r="D248" s="53" t="s">
        <v>38</v>
      </c>
      <c r="E248" s="53" t="s">
        <v>25</v>
      </c>
      <c r="F248" s="53" t="s">
        <v>25</v>
      </c>
      <c r="G248" s="53" t="s">
        <v>25</v>
      </c>
      <c r="H248" s="53" t="s">
        <v>36</v>
      </c>
      <c r="I248" s="72">
        <v>44652</v>
      </c>
      <c r="J248" s="73">
        <f>EFEITO!$J$248*EFEITO!$Y$248</f>
        <v>0</v>
      </c>
      <c r="K248" s="73">
        <f ca="1">EFEITO!$L$248*EFEITO!$Z$248</f>
        <v>15.393292103379975</v>
      </c>
      <c r="L248" s="73">
        <f>EFEITO!$N$248*EFEITO!$AA$248</f>
        <v>2.0535373187868524</v>
      </c>
      <c r="M248" s="73">
        <f>$J$248-EFEITO!$K$248*EFEITO!$Y$248</f>
        <v>0</v>
      </c>
      <c r="N248" s="73">
        <f ca="1">$K$248-EFEITO!$M$248*EFEITO!$Z$248</f>
        <v>0</v>
      </c>
      <c r="O248" s="73">
        <f>$L$248-EFEITO!$O$248*EFEITO!$AA$248</f>
        <v>0</v>
      </c>
      <c r="P248" s="57"/>
      <c r="Q248" s="57"/>
      <c r="R248" s="57"/>
      <c r="S248" s="57"/>
      <c r="T248" s="57"/>
      <c r="U248" s="57"/>
      <c r="V248" s="57"/>
      <c r="W248" s="57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 spans="1:36" ht="11.25" customHeight="1" x14ac:dyDescent="0.2">
      <c r="A249" s="53" t="s">
        <v>21</v>
      </c>
      <c r="B249" s="53" t="s">
        <v>32</v>
      </c>
      <c r="C249" s="53" t="s">
        <v>23</v>
      </c>
      <c r="D249" s="53" t="s">
        <v>38</v>
      </c>
      <c r="E249" s="53" t="s">
        <v>25</v>
      </c>
      <c r="F249" s="53" t="s">
        <v>25</v>
      </c>
      <c r="G249" s="53" t="s">
        <v>25</v>
      </c>
      <c r="H249" s="53" t="s">
        <v>25</v>
      </c>
      <c r="I249" s="72">
        <v>44317</v>
      </c>
      <c r="J249" s="73">
        <f>EFEITO!$J$249*EFEITO!$Y$249</f>
        <v>0</v>
      </c>
      <c r="K249" s="73">
        <f ca="1">EFEITO!$L$249*EFEITO!$Z$249</f>
        <v>40888.923367053569</v>
      </c>
      <c r="L249" s="73">
        <f>EFEITO!$N$249*EFEITO!$AA$249</f>
        <v>15952.391276665965</v>
      </c>
      <c r="M249" s="73">
        <f>$J$249-EFEITO!$K$249*EFEITO!$Y$249</f>
        <v>0</v>
      </c>
      <c r="N249" s="73">
        <f ca="1">$K$249-EFEITO!$M$249*EFEITO!$Z$249</f>
        <v>0</v>
      </c>
      <c r="O249" s="73">
        <f>$L$249-EFEITO!$O$249*EFEITO!$AA$249</f>
        <v>0</v>
      </c>
      <c r="P249" s="57"/>
      <c r="Q249" s="57"/>
      <c r="R249" s="57"/>
      <c r="S249" s="57"/>
      <c r="T249" s="57"/>
      <c r="U249" s="57"/>
      <c r="V249" s="57"/>
      <c r="W249" s="57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 spans="1:36" ht="11.25" customHeight="1" x14ac:dyDescent="0.2">
      <c r="A250" s="53" t="s">
        <v>27</v>
      </c>
      <c r="B250" s="53" t="s">
        <v>32</v>
      </c>
      <c r="C250" s="53" t="s">
        <v>23</v>
      </c>
      <c r="D250" s="53" t="s">
        <v>38</v>
      </c>
      <c r="E250" s="53" t="s">
        <v>25</v>
      </c>
      <c r="F250" s="53" t="s">
        <v>25</v>
      </c>
      <c r="G250" s="53" t="s">
        <v>25</v>
      </c>
      <c r="H250" s="53" t="s">
        <v>25</v>
      </c>
      <c r="I250" s="72">
        <v>44317</v>
      </c>
      <c r="J250" s="73">
        <f>EFEITO!$J$250*EFEITO!$Y$250</f>
        <v>0</v>
      </c>
      <c r="K250" s="73">
        <f ca="1">EFEITO!$L$250*EFEITO!$Z$250</f>
        <v>3545.6893126677774</v>
      </c>
      <c r="L250" s="73">
        <f>EFEITO!$N$250*EFEITO!$AA$250</f>
        <v>1383.3140763677934</v>
      </c>
      <c r="M250" s="73">
        <f>$J$250-EFEITO!$K$250*EFEITO!$Y$250</f>
        <v>0</v>
      </c>
      <c r="N250" s="73">
        <f ca="1">$K$250-EFEITO!$M$250*EFEITO!$Z$250</f>
        <v>0</v>
      </c>
      <c r="O250" s="73">
        <f>$L$250-EFEITO!$O$250*EFEITO!$AA$250</f>
        <v>0</v>
      </c>
      <c r="P250" s="57"/>
      <c r="Q250" s="57"/>
      <c r="R250" s="57"/>
      <c r="S250" s="57"/>
      <c r="T250" s="57"/>
      <c r="U250" s="57"/>
      <c r="V250" s="57"/>
      <c r="W250" s="57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 spans="1:36" ht="11.25" customHeight="1" x14ac:dyDescent="0.2">
      <c r="A251" s="53" t="s">
        <v>21</v>
      </c>
      <c r="B251" s="53" t="s">
        <v>32</v>
      </c>
      <c r="C251" s="53" t="s">
        <v>23</v>
      </c>
      <c r="D251" s="53" t="s">
        <v>38</v>
      </c>
      <c r="E251" s="53" t="s">
        <v>25</v>
      </c>
      <c r="F251" s="53" t="s">
        <v>25</v>
      </c>
      <c r="G251" s="53" t="s">
        <v>25</v>
      </c>
      <c r="H251" s="53" t="s">
        <v>25</v>
      </c>
      <c r="I251" s="72">
        <v>44348</v>
      </c>
      <c r="J251" s="73">
        <f>EFEITO!$J$251*EFEITO!$Y$251</f>
        <v>0</v>
      </c>
      <c r="K251" s="73">
        <f ca="1">EFEITO!$L$251*EFEITO!$Z$251</f>
        <v>35847.715069844344</v>
      </c>
      <c r="L251" s="73">
        <f>EFEITO!$N$251*EFEITO!$AA$251</f>
        <v>13985.615909597858</v>
      </c>
      <c r="M251" s="73">
        <f>$J$251-EFEITO!$K$251*EFEITO!$Y$251</f>
        <v>0</v>
      </c>
      <c r="N251" s="73">
        <f ca="1">$K$251-EFEITO!$M$251*EFEITO!$Z$251</f>
        <v>0</v>
      </c>
      <c r="O251" s="73">
        <f>$L$251-EFEITO!$O$251*EFEITO!$AA$251</f>
        <v>0</v>
      </c>
      <c r="P251" s="57"/>
      <c r="Q251" s="57"/>
      <c r="R251" s="57"/>
      <c r="S251" s="57"/>
      <c r="T251" s="57"/>
      <c r="U251" s="57"/>
      <c r="V251" s="57"/>
      <c r="W251" s="57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 spans="1:36" ht="11.25" customHeight="1" x14ac:dyDescent="0.2">
      <c r="A252" s="53" t="s">
        <v>27</v>
      </c>
      <c r="B252" s="53" t="s">
        <v>32</v>
      </c>
      <c r="C252" s="53" t="s">
        <v>23</v>
      </c>
      <c r="D252" s="53" t="s">
        <v>38</v>
      </c>
      <c r="E252" s="53" t="s">
        <v>25</v>
      </c>
      <c r="F252" s="53" t="s">
        <v>25</v>
      </c>
      <c r="G252" s="53" t="s">
        <v>25</v>
      </c>
      <c r="H252" s="53" t="s">
        <v>25</v>
      </c>
      <c r="I252" s="72">
        <v>44348</v>
      </c>
      <c r="J252" s="73">
        <f>EFEITO!$J$252*EFEITO!$Y$252</f>
        <v>0</v>
      </c>
      <c r="K252" s="73">
        <f ca="1">EFEITO!$L$252*EFEITO!$Z$252</f>
        <v>3169.342256285152</v>
      </c>
      <c r="L252" s="73">
        <f>EFEITO!$N$252*EFEITO!$AA$252</f>
        <v>1236.4861580745335</v>
      </c>
      <c r="M252" s="73">
        <f>$J$252-EFEITO!$K$252*EFEITO!$Y$252</f>
        <v>0</v>
      </c>
      <c r="N252" s="73">
        <f ca="1">$K$252-EFEITO!$M$252*EFEITO!$Z$252</f>
        <v>0</v>
      </c>
      <c r="O252" s="73">
        <f>$L$252-EFEITO!$O$252*EFEITO!$AA$252</f>
        <v>0</v>
      </c>
      <c r="P252" s="57"/>
      <c r="Q252" s="57"/>
      <c r="R252" s="57"/>
      <c r="S252" s="57"/>
      <c r="T252" s="57"/>
      <c r="U252" s="57"/>
      <c r="V252" s="57"/>
      <c r="W252" s="57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 spans="1:36" ht="11.25" customHeight="1" x14ac:dyDescent="0.2">
      <c r="A253" s="53" t="s">
        <v>21</v>
      </c>
      <c r="B253" s="53" t="s">
        <v>32</v>
      </c>
      <c r="C253" s="53" t="s">
        <v>23</v>
      </c>
      <c r="D253" s="53" t="s">
        <v>38</v>
      </c>
      <c r="E253" s="53" t="s">
        <v>25</v>
      </c>
      <c r="F253" s="53" t="s">
        <v>25</v>
      </c>
      <c r="G253" s="53" t="s">
        <v>25</v>
      </c>
      <c r="H253" s="53" t="s">
        <v>25</v>
      </c>
      <c r="I253" s="72">
        <v>44378</v>
      </c>
      <c r="J253" s="73">
        <f>EFEITO!$J$253*EFEITO!$Y$253</f>
        <v>0</v>
      </c>
      <c r="K253" s="73">
        <f ca="1">EFEITO!$L$253*EFEITO!$Z$253</f>
        <v>33695.56258483111</v>
      </c>
      <c r="L253" s="73">
        <f>EFEITO!$N$253*EFEITO!$AA$253</f>
        <v>13145.975838378883</v>
      </c>
      <c r="M253" s="73">
        <f>$J$253-EFEITO!$K$253*EFEITO!$Y$253</f>
        <v>0</v>
      </c>
      <c r="N253" s="73">
        <f ca="1">$K$253-EFEITO!$M$253*EFEITO!$Z$253</f>
        <v>0</v>
      </c>
      <c r="O253" s="73">
        <f>$L$253-EFEITO!$O$253*EFEITO!$AA$253</f>
        <v>0</v>
      </c>
      <c r="P253" s="57"/>
      <c r="Q253" s="57"/>
      <c r="R253" s="57"/>
      <c r="S253" s="57"/>
      <c r="T253" s="57"/>
      <c r="U253" s="57"/>
      <c r="V253" s="57"/>
      <c r="W253" s="57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r="254" spans="1:36" ht="11.25" customHeight="1" x14ac:dyDescent="0.2">
      <c r="A254" s="53" t="s">
        <v>27</v>
      </c>
      <c r="B254" s="53" t="s">
        <v>32</v>
      </c>
      <c r="C254" s="53" t="s">
        <v>23</v>
      </c>
      <c r="D254" s="53" t="s">
        <v>38</v>
      </c>
      <c r="E254" s="53" t="s">
        <v>25</v>
      </c>
      <c r="F254" s="53" t="s">
        <v>25</v>
      </c>
      <c r="G254" s="53" t="s">
        <v>25</v>
      </c>
      <c r="H254" s="53" t="s">
        <v>25</v>
      </c>
      <c r="I254" s="72">
        <v>44378</v>
      </c>
      <c r="J254" s="73">
        <f>EFEITO!$J$254*EFEITO!$Y$254</f>
        <v>0</v>
      </c>
      <c r="K254" s="73">
        <f ca="1">EFEITO!$L$254*EFEITO!$Z$254</f>
        <v>4220.7453963191301</v>
      </c>
      <c r="L254" s="73">
        <f>EFEITO!$N$254*EFEITO!$AA$254</f>
        <v>1646.6802375022071</v>
      </c>
      <c r="M254" s="73">
        <f>$J$254-EFEITO!$K$254*EFEITO!$Y$254</f>
        <v>0</v>
      </c>
      <c r="N254" s="73">
        <f ca="1">$K$254-EFEITO!$M$254*EFEITO!$Z$254</f>
        <v>0</v>
      </c>
      <c r="O254" s="73">
        <f>$L$254-EFEITO!$O$254*EFEITO!$AA$254</f>
        <v>0</v>
      </c>
      <c r="P254" s="57"/>
      <c r="Q254" s="57"/>
      <c r="R254" s="57"/>
      <c r="S254" s="57"/>
      <c r="T254" s="57"/>
      <c r="U254" s="57"/>
      <c r="V254" s="57"/>
      <c r="W254" s="57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r="255" spans="1:36" ht="11.25" customHeight="1" x14ac:dyDescent="0.2">
      <c r="A255" s="53" t="s">
        <v>21</v>
      </c>
      <c r="B255" s="53" t="s">
        <v>32</v>
      </c>
      <c r="C255" s="53" t="s">
        <v>23</v>
      </c>
      <c r="D255" s="53" t="s">
        <v>38</v>
      </c>
      <c r="E255" s="53" t="s">
        <v>25</v>
      </c>
      <c r="F255" s="53" t="s">
        <v>25</v>
      </c>
      <c r="G255" s="53" t="s">
        <v>25</v>
      </c>
      <c r="H255" s="53" t="s">
        <v>25</v>
      </c>
      <c r="I255" s="72">
        <v>44409</v>
      </c>
      <c r="J255" s="73">
        <f>EFEITO!$J$255*EFEITO!$Y$255</f>
        <v>0</v>
      </c>
      <c r="K255" s="73">
        <f ca="1">EFEITO!$L$255*EFEITO!$Z$255</f>
        <v>36002.991128072143</v>
      </c>
      <c r="L255" s="73">
        <f>EFEITO!$N$255*EFEITO!$AA$255</f>
        <v>14046.195260502069</v>
      </c>
      <c r="M255" s="73">
        <f>$J$255-EFEITO!$K$255*EFEITO!$Y$255</f>
        <v>0</v>
      </c>
      <c r="N255" s="73">
        <f ca="1">$K$255-EFEITO!$M$255*EFEITO!$Z$255</f>
        <v>0</v>
      </c>
      <c r="O255" s="73">
        <f>$L$255-EFEITO!$O$255*EFEITO!$AA$255</f>
        <v>0</v>
      </c>
      <c r="P255" s="57"/>
      <c r="Q255" s="57"/>
      <c r="R255" s="57"/>
      <c r="S255" s="57"/>
      <c r="T255" s="57"/>
      <c r="U255" s="57"/>
      <c r="V255" s="57"/>
      <c r="W255" s="57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r="256" spans="1:36" ht="11.25" customHeight="1" x14ac:dyDescent="0.2">
      <c r="A256" s="53" t="s">
        <v>27</v>
      </c>
      <c r="B256" s="53" t="s">
        <v>32</v>
      </c>
      <c r="C256" s="53" t="s">
        <v>23</v>
      </c>
      <c r="D256" s="53" t="s">
        <v>38</v>
      </c>
      <c r="E256" s="53" t="s">
        <v>25</v>
      </c>
      <c r="F256" s="53" t="s">
        <v>25</v>
      </c>
      <c r="G256" s="53" t="s">
        <v>25</v>
      </c>
      <c r="H256" s="53" t="s">
        <v>25</v>
      </c>
      <c r="I256" s="72">
        <v>44409</v>
      </c>
      <c r="J256" s="73">
        <f>EFEITO!$J$256*EFEITO!$Y$256</f>
        <v>0</v>
      </c>
      <c r="K256" s="73">
        <f ca="1">EFEITO!$L$256*EFEITO!$Z$256</f>
        <v>2210.7099815482893</v>
      </c>
      <c r="L256" s="73">
        <f>EFEITO!$N$256*EFEITO!$AA$256</f>
        <v>862.48567389047787</v>
      </c>
      <c r="M256" s="73">
        <f>$J$256-EFEITO!$K$256*EFEITO!$Y$256</f>
        <v>0</v>
      </c>
      <c r="N256" s="73">
        <f ca="1">$K$256-EFEITO!$M$256*EFEITO!$Z$256</f>
        <v>0</v>
      </c>
      <c r="O256" s="73">
        <f>$L$256-EFEITO!$O$256*EFEITO!$AA$256</f>
        <v>0</v>
      </c>
      <c r="P256" s="57"/>
      <c r="Q256" s="57"/>
      <c r="R256" s="57"/>
      <c r="S256" s="57"/>
      <c r="T256" s="57"/>
      <c r="U256" s="57"/>
      <c r="V256" s="57"/>
      <c r="W256" s="57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r="257" spans="1:36" ht="11.25" customHeight="1" x14ac:dyDescent="0.2">
      <c r="A257" s="53" t="s">
        <v>21</v>
      </c>
      <c r="B257" s="53" t="s">
        <v>32</v>
      </c>
      <c r="C257" s="53" t="s">
        <v>23</v>
      </c>
      <c r="D257" s="53" t="s">
        <v>38</v>
      </c>
      <c r="E257" s="53" t="s">
        <v>25</v>
      </c>
      <c r="F257" s="53" t="s">
        <v>25</v>
      </c>
      <c r="G257" s="53" t="s">
        <v>25</v>
      </c>
      <c r="H257" s="53" t="s">
        <v>25</v>
      </c>
      <c r="I257" s="72">
        <v>44440</v>
      </c>
      <c r="J257" s="73">
        <f>EFEITO!$J$257*EFEITO!$Y$257</f>
        <v>0</v>
      </c>
      <c r="K257" s="73">
        <f ca="1">EFEITO!$L$257*EFEITO!$Z$257</f>
        <v>37650.496423845027</v>
      </c>
      <c r="L257" s="73">
        <f>EFEITO!$N$257*EFEITO!$AA$257</f>
        <v>14688.952441282354</v>
      </c>
      <c r="M257" s="73">
        <f>$J$257-EFEITO!$K$257*EFEITO!$Y$257</f>
        <v>0</v>
      </c>
      <c r="N257" s="73">
        <f ca="1">$K$257-EFEITO!$M$257*EFEITO!$Z$257</f>
        <v>0</v>
      </c>
      <c r="O257" s="73">
        <f>$L$257-EFEITO!$O$257*EFEITO!$AA$257</f>
        <v>0</v>
      </c>
      <c r="P257" s="57"/>
      <c r="Q257" s="57"/>
      <c r="R257" s="57"/>
      <c r="S257" s="57"/>
      <c r="T257" s="57"/>
      <c r="U257" s="57"/>
      <c r="V257" s="57"/>
      <c r="W257" s="57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r="258" spans="1:36" ht="11.25" customHeight="1" x14ac:dyDescent="0.2">
      <c r="A258" s="53" t="s">
        <v>27</v>
      </c>
      <c r="B258" s="53" t="s">
        <v>32</v>
      </c>
      <c r="C258" s="53" t="s">
        <v>23</v>
      </c>
      <c r="D258" s="53" t="s">
        <v>38</v>
      </c>
      <c r="E258" s="53" t="s">
        <v>25</v>
      </c>
      <c r="F258" s="53" t="s">
        <v>25</v>
      </c>
      <c r="G258" s="53" t="s">
        <v>25</v>
      </c>
      <c r="H258" s="53" t="s">
        <v>25</v>
      </c>
      <c r="I258" s="72">
        <v>44440</v>
      </c>
      <c r="J258" s="73">
        <f>EFEITO!$J$258*EFEITO!$Y$258</f>
        <v>0</v>
      </c>
      <c r="K258" s="73">
        <f ca="1">EFEITO!$L$258*EFEITO!$Z$258</f>
        <v>2088.3313932840088</v>
      </c>
      <c r="L258" s="73">
        <f>EFEITO!$N$258*EFEITO!$AA$258</f>
        <v>814.74093122868362</v>
      </c>
      <c r="M258" s="73">
        <f>$J$258-EFEITO!$K$258*EFEITO!$Y$258</f>
        <v>0</v>
      </c>
      <c r="N258" s="73">
        <f ca="1">$K$258-EFEITO!$M$258*EFEITO!$Z$258</f>
        <v>0</v>
      </c>
      <c r="O258" s="73">
        <f>$L$258-EFEITO!$O$258*EFEITO!$AA$258</f>
        <v>0</v>
      </c>
      <c r="P258" s="57"/>
      <c r="Q258" s="57"/>
      <c r="R258" s="57"/>
      <c r="S258" s="57"/>
      <c r="T258" s="57"/>
      <c r="U258" s="57"/>
      <c r="V258" s="57"/>
      <c r="W258" s="57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r="259" spans="1:36" ht="11.25" customHeight="1" x14ac:dyDescent="0.2">
      <c r="A259" s="53" t="s">
        <v>21</v>
      </c>
      <c r="B259" s="53" t="s">
        <v>32</v>
      </c>
      <c r="C259" s="53" t="s">
        <v>23</v>
      </c>
      <c r="D259" s="53" t="s">
        <v>38</v>
      </c>
      <c r="E259" s="53" t="s">
        <v>25</v>
      </c>
      <c r="F259" s="53" t="s">
        <v>25</v>
      </c>
      <c r="G259" s="53" t="s">
        <v>25</v>
      </c>
      <c r="H259" s="53" t="s">
        <v>25</v>
      </c>
      <c r="I259" s="72">
        <v>44470</v>
      </c>
      <c r="J259" s="73">
        <f>EFEITO!$J$259*EFEITO!$Y$259</f>
        <v>0</v>
      </c>
      <c r="K259" s="73">
        <f ca="1">EFEITO!$L$259*EFEITO!$Z$259</f>
        <v>40268.477083541657</v>
      </c>
      <c r="L259" s="73">
        <f>EFEITO!$N$259*EFEITO!$AA$259</f>
        <v>15710.330565213966</v>
      </c>
      <c r="M259" s="73">
        <f>$J$259-EFEITO!$K$259*EFEITO!$Y$259</f>
        <v>0</v>
      </c>
      <c r="N259" s="73">
        <f ca="1">$K$259-EFEITO!$M$259*EFEITO!$Z$259</f>
        <v>0</v>
      </c>
      <c r="O259" s="73">
        <f>$L$259-EFEITO!$O$259*EFEITO!$AA$259</f>
        <v>0</v>
      </c>
      <c r="P259" s="57"/>
      <c r="Q259" s="57"/>
      <c r="R259" s="57"/>
      <c r="S259" s="57"/>
      <c r="T259" s="57"/>
      <c r="U259" s="57"/>
      <c r="V259" s="57"/>
      <c r="W259" s="57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r="260" spans="1:36" ht="11.25" customHeight="1" x14ac:dyDescent="0.2">
      <c r="A260" s="53" t="s">
        <v>27</v>
      </c>
      <c r="B260" s="53" t="s">
        <v>32</v>
      </c>
      <c r="C260" s="53" t="s">
        <v>23</v>
      </c>
      <c r="D260" s="53" t="s">
        <v>38</v>
      </c>
      <c r="E260" s="53" t="s">
        <v>25</v>
      </c>
      <c r="F260" s="53" t="s">
        <v>25</v>
      </c>
      <c r="G260" s="53" t="s">
        <v>25</v>
      </c>
      <c r="H260" s="53" t="s">
        <v>25</v>
      </c>
      <c r="I260" s="72">
        <v>44470</v>
      </c>
      <c r="J260" s="73">
        <f>EFEITO!$J$260*EFEITO!$Y$260</f>
        <v>0</v>
      </c>
      <c r="K260" s="73">
        <f ca="1">EFEITO!$L$260*EFEITO!$Z$260</f>
        <v>2393.6199145454393</v>
      </c>
      <c r="L260" s="73">
        <f>EFEITO!$N$260*EFEITO!$AA$260</f>
        <v>933.84609571832107</v>
      </c>
      <c r="M260" s="73">
        <f>$J$260-EFEITO!$K$260*EFEITO!$Y$260</f>
        <v>0</v>
      </c>
      <c r="N260" s="73">
        <f ca="1">$K$260-EFEITO!$M$260*EFEITO!$Z$260</f>
        <v>0</v>
      </c>
      <c r="O260" s="73">
        <f>$L$260-EFEITO!$O$260*EFEITO!$AA$260</f>
        <v>0</v>
      </c>
      <c r="P260" s="57"/>
      <c r="Q260" s="57"/>
      <c r="R260" s="57"/>
      <c r="S260" s="57"/>
      <c r="T260" s="57"/>
      <c r="U260" s="57"/>
      <c r="V260" s="57"/>
      <c r="W260" s="57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r="261" spans="1:36" ht="11.25" customHeight="1" x14ac:dyDescent="0.2">
      <c r="A261" s="53" t="s">
        <v>21</v>
      </c>
      <c r="B261" s="53" t="s">
        <v>32</v>
      </c>
      <c r="C261" s="53" t="s">
        <v>23</v>
      </c>
      <c r="D261" s="53" t="s">
        <v>38</v>
      </c>
      <c r="E261" s="53" t="s">
        <v>25</v>
      </c>
      <c r="F261" s="53" t="s">
        <v>25</v>
      </c>
      <c r="G261" s="53" t="s">
        <v>25</v>
      </c>
      <c r="H261" s="53" t="s">
        <v>25</v>
      </c>
      <c r="I261" s="72">
        <v>44501</v>
      </c>
      <c r="J261" s="73">
        <f>EFEITO!$J$261*EFEITO!$Y$261</f>
        <v>0</v>
      </c>
      <c r="K261" s="73">
        <f ca="1">EFEITO!$L$261*EFEITO!$Z$261</f>
        <v>45577.4707862539</v>
      </c>
      <c r="L261" s="73">
        <f>EFEITO!$N$261*EFEITO!$AA$261</f>
        <v>17781.579643375353</v>
      </c>
      <c r="M261" s="73">
        <f>$J$261-EFEITO!$K$261*EFEITO!$Y$261</f>
        <v>0</v>
      </c>
      <c r="N261" s="73">
        <f ca="1">$K$261-EFEITO!$M$261*EFEITO!$Z$261</f>
        <v>0</v>
      </c>
      <c r="O261" s="73">
        <f>$L$261-EFEITO!$O$261*EFEITO!$AA$261</f>
        <v>0</v>
      </c>
      <c r="P261" s="57"/>
      <c r="Q261" s="57"/>
      <c r="R261" s="57"/>
      <c r="S261" s="57"/>
      <c r="T261" s="57"/>
      <c r="U261" s="57"/>
      <c r="V261" s="57"/>
      <c r="W261" s="57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r="262" spans="1:36" ht="11.25" customHeight="1" x14ac:dyDescent="0.2">
      <c r="A262" s="53" t="s">
        <v>27</v>
      </c>
      <c r="B262" s="53" t="s">
        <v>32</v>
      </c>
      <c r="C262" s="53" t="s">
        <v>23</v>
      </c>
      <c r="D262" s="53" t="s">
        <v>38</v>
      </c>
      <c r="E262" s="53" t="s">
        <v>25</v>
      </c>
      <c r="F262" s="53" t="s">
        <v>25</v>
      </c>
      <c r="G262" s="53" t="s">
        <v>25</v>
      </c>
      <c r="H262" s="53" t="s">
        <v>25</v>
      </c>
      <c r="I262" s="72">
        <v>44501</v>
      </c>
      <c r="J262" s="73">
        <f>EFEITO!$J$262*EFEITO!$Y$262</f>
        <v>0</v>
      </c>
      <c r="K262" s="73">
        <f ca="1">EFEITO!$L$262*EFEITO!$Z$262</f>
        <v>3835.1870483467196</v>
      </c>
      <c r="L262" s="73">
        <f>EFEITO!$N$262*EFEITO!$AA$262</f>
        <v>1496.2586289010701</v>
      </c>
      <c r="M262" s="73">
        <f>$J$262-EFEITO!$K$262*EFEITO!$Y$262</f>
        <v>0</v>
      </c>
      <c r="N262" s="73">
        <f ca="1">$K$262-EFEITO!$M$262*EFEITO!$Z$262</f>
        <v>0</v>
      </c>
      <c r="O262" s="73">
        <f>$L$262-EFEITO!$O$262*EFEITO!$AA$262</f>
        <v>0</v>
      </c>
      <c r="P262" s="57"/>
      <c r="Q262" s="57"/>
      <c r="R262" s="57"/>
      <c r="S262" s="57"/>
      <c r="T262" s="57"/>
      <c r="U262" s="57"/>
      <c r="V262" s="57"/>
      <c r="W262" s="57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r="263" spans="1:36" ht="11.25" customHeight="1" x14ac:dyDescent="0.2">
      <c r="A263" s="53" t="s">
        <v>21</v>
      </c>
      <c r="B263" s="53" t="s">
        <v>32</v>
      </c>
      <c r="C263" s="53" t="s">
        <v>23</v>
      </c>
      <c r="D263" s="53" t="s">
        <v>38</v>
      </c>
      <c r="E263" s="53" t="s">
        <v>25</v>
      </c>
      <c r="F263" s="53" t="s">
        <v>25</v>
      </c>
      <c r="G263" s="53" t="s">
        <v>25</v>
      </c>
      <c r="H263" s="53" t="s">
        <v>25</v>
      </c>
      <c r="I263" s="72">
        <v>44531</v>
      </c>
      <c r="J263" s="73">
        <f>EFEITO!$J$263*EFEITO!$Y$263</f>
        <v>0</v>
      </c>
      <c r="K263" s="73">
        <f ca="1">EFEITO!$L$263*EFEITO!$Z$263</f>
        <v>43700.999099534936</v>
      </c>
      <c r="L263" s="73">
        <f>EFEITO!$N$263*EFEITO!$AA$263</f>
        <v>17049.493589227841</v>
      </c>
      <c r="M263" s="73">
        <f>$J$263-EFEITO!$K$263*EFEITO!$Y$263</f>
        <v>0</v>
      </c>
      <c r="N263" s="73">
        <f ca="1">$K$263-EFEITO!$M$263*EFEITO!$Z$263</f>
        <v>0</v>
      </c>
      <c r="O263" s="73">
        <f>$L$263-EFEITO!$O$263*EFEITO!$AA$263</f>
        <v>0</v>
      </c>
      <c r="P263" s="57"/>
      <c r="Q263" s="57"/>
      <c r="R263" s="57"/>
      <c r="S263" s="57"/>
      <c r="T263" s="57"/>
      <c r="U263" s="57"/>
      <c r="V263" s="57"/>
      <c r="W263" s="57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r="264" spans="1:36" ht="11.25" customHeight="1" x14ac:dyDescent="0.2">
      <c r="A264" s="53" t="s">
        <v>27</v>
      </c>
      <c r="B264" s="53" t="s">
        <v>32</v>
      </c>
      <c r="C264" s="53" t="s">
        <v>23</v>
      </c>
      <c r="D264" s="53" t="s">
        <v>38</v>
      </c>
      <c r="E264" s="53" t="s">
        <v>25</v>
      </c>
      <c r="F264" s="53" t="s">
        <v>25</v>
      </c>
      <c r="G264" s="53" t="s">
        <v>25</v>
      </c>
      <c r="H264" s="53" t="s">
        <v>25</v>
      </c>
      <c r="I264" s="72">
        <v>44531</v>
      </c>
      <c r="J264" s="73">
        <f>EFEITO!$J$264*EFEITO!$Y$264</f>
        <v>0</v>
      </c>
      <c r="K264" s="73">
        <f ca="1">EFEITO!$L$264*EFEITO!$Z$264</f>
        <v>3622.669392382405</v>
      </c>
      <c r="L264" s="73">
        <f>EFEITO!$N$264*EFEITO!$AA$264</f>
        <v>1413.347059655051</v>
      </c>
      <c r="M264" s="73">
        <f>$J$264-EFEITO!$K$264*EFEITO!$Y$264</f>
        <v>0</v>
      </c>
      <c r="N264" s="73">
        <f ca="1">$K$264-EFEITO!$M$264*EFEITO!$Z$264</f>
        <v>0</v>
      </c>
      <c r="O264" s="73">
        <f>$L$264-EFEITO!$O$264*EFEITO!$AA$264</f>
        <v>0</v>
      </c>
      <c r="P264" s="57"/>
      <c r="Q264" s="57"/>
      <c r="R264" s="57"/>
      <c r="S264" s="57"/>
      <c r="T264" s="57"/>
      <c r="U264" s="57"/>
      <c r="V264" s="57"/>
      <c r="W264" s="57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r="265" spans="1:36" ht="11.25" customHeight="1" x14ac:dyDescent="0.2">
      <c r="A265" s="53" t="s">
        <v>21</v>
      </c>
      <c r="B265" s="53" t="s">
        <v>32</v>
      </c>
      <c r="C265" s="53" t="s">
        <v>23</v>
      </c>
      <c r="D265" s="53" t="s">
        <v>38</v>
      </c>
      <c r="E265" s="53" t="s">
        <v>25</v>
      </c>
      <c r="F265" s="53" t="s">
        <v>25</v>
      </c>
      <c r="G265" s="53" t="s">
        <v>25</v>
      </c>
      <c r="H265" s="53" t="s">
        <v>25</v>
      </c>
      <c r="I265" s="72">
        <v>44562</v>
      </c>
      <c r="J265" s="73">
        <f>EFEITO!$J$265*EFEITO!$Y$265</f>
        <v>0</v>
      </c>
      <c r="K265" s="73">
        <f ca="1">EFEITO!$L$265*EFEITO!$Z$265</f>
        <v>43900.357767513844</v>
      </c>
      <c r="L265" s="73">
        <f>EFEITO!$N$265*EFEITO!$AA$265</f>
        <v>17127.271315176891</v>
      </c>
      <c r="M265" s="73">
        <f>$J$265-EFEITO!$K$265*EFEITO!$Y$265</f>
        <v>0</v>
      </c>
      <c r="N265" s="73">
        <f ca="1">$K$265-EFEITO!$M$265*EFEITO!$Z$265</f>
        <v>0</v>
      </c>
      <c r="O265" s="73">
        <f>$L$265-EFEITO!$O$265*EFEITO!$AA$265</f>
        <v>0</v>
      </c>
      <c r="P265" s="57"/>
      <c r="Q265" s="57"/>
      <c r="R265" s="57"/>
      <c r="S265" s="57"/>
      <c r="T265" s="57"/>
      <c r="U265" s="57"/>
      <c r="V265" s="57"/>
      <c r="W265" s="57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r="266" spans="1:36" ht="11.25" customHeight="1" x14ac:dyDescent="0.2">
      <c r="A266" s="53" t="s">
        <v>27</v>
      </c>
      <c r="B266" s="53" t="s">
        <v>32</v>
      </c>
      <c r="C266" s="53" t="s">
        <v>23</v>
      </c>
      <c r="D266" s="53" t="s">
        <v>38</v>
      </c>
      <c r="E266" s="53" t="s">
        <v>25</v>
      </c>
      <c r="F266" s="53" t="s">
        <v>25</v>
      </c>
      <c r="G266" s="53" t="s">
        <v>25</v>
      </c>
      <c r="H266" s="53" t="s">
        <v>25</v>
      </c>
      <c r="I266" s="72">
        <v>44562</v>
      </c>
      <c r="J266" s="73">
        <f>EFEITO!$J$266*EFEITO!$Y$266</f>
        <v>0</v>
      </c>
      <c r="K266" s="73">
        <f ca="1">EFEITO!$L$266*EFEITO!$Z$266</f>
        <v>6039.9754853015756</v>
      </c>
      <c r="L266" s="73">
        <f>EFEITO!$N$266*EFEITO!$AA$266</f>
        <v>2356.434073307913</v>
      </c>
      <c r="M266" s="73">
        <f>$J$266-EFEITO!$K$266*EFEITO!$Y$266</f>
        <v>0</v>
      </c>
      <c r="N266" s="73">
        <f ca="1">$K$266-EFEITO!$M$266*EFEITO!$Z$266</f>
        <v>0</v>
      </c>
      <c r="O266" s="73">
        <f>$L$266-EFEITO!$O$266*EFEITO!$AA$266</f>
        <v>0</v>
      </c>
      <c r="P266" s="57"/>
      <c r="Q266" s="57"/>
      <c r="R266" s="57"/>
      <c r="S266" s="57"/>
      <c r="T266" s="57"/>
      <c r="U266" s="57"/>
      <c r="V266" s="57"/>
      <c r="W266" s="57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r="267" spans="1:36" ht="11.25" customHeight="1" x14ac:dyDescent="0.2">
      <c r="A267" s="53" t="s">
        <v>21</v>
      </c>
      <c r="B267" s="53" t="s">
        <v>32</v>
      </c>
      <c r="C267" s="53" t="s">
        <v>23</v>
      </c>
      <c r="D267" s="53" t="s">
        <v>38</v>
      </c>
      <c r="E267" s="53" t="s">
        <v>25</v>
      </c>
      <c r="F267" s="53" t="s">
        <v>25</v>
      </c>
      <c r="G267" s="53" t="s">
        <v>25</v>
      </c>
      <c r="H267" s="53" t="s">
        <v>25</v>
      </c>
      <c r="I267" s="72">
        <v>44593</v>
      </c>
      <c r="J267" s="73">
        <f>EFEITO!$J$267*EFEITO!$Y$267</f>
        <v>0</v>
      </c>
      <c r="K267" s="73">
        <f ca="1">EFEITO!$L$267*EFEITO!$Z$267</f>
        <v>40567.844060209653</v>
      </c>
      <c r="L267" s="73">
        <f>EFEITO!$N$267*EFEITO!$AA$267</f>
        <v>15827.125500219967</v>
      </c>
      <c r="M267" s="73">
        <f>$J$267-EFEITO!$K$267*EFEITO!$Y$267</f>
        <v>0</v>
      </c>
      <c r="N267" s="73">
        <f ca="1">$K$267-EFEITO!$M$267*EFEITO!$Z$267</f>
        <v>0</v>
      </c>
      <c r="O267" s="73">
        <f>$L$267-EFEITO!$O$267*EFEITO!$AA$267</f>
        <v>0</v>
      </c>
      <c r="P267" s="57"/>
      <c r="Q267" s="57"/>
      <c r="R267" s="57"/>
      <c r="S267" s="57"/>
      <c r="T267" s="57"/>
      <c r="U267" s="57"/>
      <c r="V267" s="57"/>
      <c r="W267" s="57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r="268" spans="1:36" ht="11.25" customHeight="1" x14ac:dyDescent="0.2">
      <c r="A268" s="53" t="s">
        <v>27</v>
      </c>
      <c r="B268" s="53" t="s">
        <v>32</v>
      </c>
      <c r="C268" s="53" t="s">
        <v>23</v>
      </c>
      <c r="D268" s="53" t="s">
        <v>38</v>
      </c>
      <c r="E268" s="53" t="s">
        <v>25</v>
      </c>
      <c r="F268" s="53" t="s">
        <v>25</v>
      </c>
      <c r="G268" s="53" t="s">
        <v>25</v>
      </c>
      <c r="H268" s="53" t="s">
        <v>25</v>
      </c>
      <c r="I268" s="72">
        <v>44593</v>
      </c>
      <c r="J268" s="73">
        <f>EFEITO!$J$268*EFEITO!$Y$268</f>
        <v>0</v>
      </c>
      <c r="K268" s="73">
        <f ca="1">EFEITO!$L$268*EFEITO!$Z$268</f>
        <v>4315.4901098140563</v>
      </c>
      <c r="L268" s="73">
        <f>EFEITO!$N$268*EFEITO!$AA$268</f>
        <v>1683.6439092403705</v>
      </c>
      <c r="M268" s="73">
        <f>$J$268-EFEITO!$K$268*EFEITO!$Y$268</f>
        <v>0</v>
      </c>
      <c r="N268" s="73">
        <f ca="1">$K$268-EFEITO!$M$268*EFEITO!$Z$268</f>
        <v>0</v>
      </c>
      <c r="O268" s="73">
        <f>$L$268-EFEITO!$O$268*EFEITO!$AA$268</f>
        <v>0</v>
      </c>
      <c r="P268" s="57"/>
      <c r="Q268" s="57"/>
      <c r="R268" s="57"/>
      <c r="S268" s="57"/>
      <c r="T268" s="57"/>
      <c r="U268" s="57"/>
      <c r="V268" s="57"/>
      <c r="W268" s="57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r="269" spans="1:36" ht="11.25" customHeight="1" x14ac:dyDescent="0.2">
      <c r="A269" s="53" t="s">
        <v>21</v>
      </c>
      <c r="B269" s="53" t="s">
        <v>32</v>
      </c>
      <c r="C269" s="53" t="s">
        <v>23</v>
      </c>
      <c r="D269" s="53" t="s">
        <v>38</v>
      </c>
      <c r="E269" s="53" t="s">
        <v>25</v>
      </c>
      <c r="F269" s="53" t="s">
        <v>25</v>
      </c>
      <c r="G269" s="53" t="s">
        <v>25</v>
      </c>
      <c r="H269" s="53" t="s">
        <v>25</v>
      </c>
      <c r="I269" s="72">
        <v>44621</v>
      </c>
      <c r="J269" s="73">
        <f>EFEITO!$J$269*EFEITO!$Y$269</f>
        <v>0</v>
      </c>
      <c r="K269" s="73">
        <f ca="1">EFEITO!$L$269*EFEITO!$Z$269</f>
        <v>43160.822642733998</v>
      </c>
      <c r="L269" s="73">
        <f>EFEITO!$N$269*EFEITO!$AA$269</f>
        <v>16838.749321887342</v>
      </c>
      <c r="M269" s="73">
        <f>$J$269-EFEITO!$K$269*EFEITO!$Y$269</f>
        <v>0</v>
      </c>
      <c r="N269" s="73">
        <f ca="1">$K$269-EFEITO!$M$269*EFEITO!$Z$269</f>
        <v>0</v>
      </c>
      <c r="O269" s="73">
        <f>$L$269-EFEITO!$O$269*EFEITO!$AA$269</f>
        <v>0</v>
      </c>
      <c r="P269" s="57"/>
      <c r="Q269" s="57"/>
      <c r="R269" s="57"/>
      <c r="S269" s="57"/>
      <c r="T269" s="57"/>
      <c r="U269" s="57"/>
      <c r="V269" s="57"/>
      <c r="W269" s="57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r="270" spans="1:36" ht="11.25" customHeight="1" x14ac:dyDescent="0.2">
      <c r="A270" s="53" t="s">
        <v>27</v>
      </c>
      <c r="B270" s="53" t="s">
        <v>32</v>
      </c>
      <c r="C270" s="53" t="s">
        <v>23</v>
      </c>
      <c r="D270" s="53" t="s">
        <v>38</v>
      </c>
      <c r="E270" s="53" t="s">
        <v>25</v>
      </c>
      <c r="F270" s="53" t="s">
        <v>25</v>
      </c>
      <c r="G270" s="53" t="s">
        <v>25</v>
      </c>
      <c r="H270" s="53" t="s">
        <v>25</v>
      </c>
      <c r="I270" s="72">
        <v>44621</v>
      </c>
      <c r="J270" s="73">
        <f>EFEITO!$J$270*EFEITO!$Y$270</f>
        <v>0</v>
      </c>
      <c r="K270" s="73">
        <f ca="1">EFEITO!$L$270*EFEITO!$Z$270</f>
        <v>4384.57479673744</v>
      </c>
      <c r="L270" s="73">
        <f>EFEITO!$N$270*EFEITO!$AA$270</f>
        <v>1710.5965865494479</v>
      </c>
      <c r="M270" s="73">
        <f>$J$270-EFEITO!$K$270*EFEITO!$Y$270</f>
        <v>0</v>
      </c>
      <c r="N270" s="73">
        <f ca="1">$K$270-EFEITO!$M$270*EFEITO!$Z$270</f>
        <v>0</v>
      </c>
      <c r="O270" s="73">
        <f>$L$270-EFEITO!$O$270*EFEITO!$AA$270</f>
        <v>0</v>
      </c>
      <c r="P270" s="57"/>
      <c r="Q270" s="57"/>
      <c r="R270" s="57"/>
      <c r="S270" s="57"/>
      <c r="T270" s="57"/>
      <c r="U270" s="57"/>
      <c r="V270" s="57"/>
      <c r="W270" s="57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r="271" spans="1:36" ht="11.25" customHeight="1" x14ac:dyDescent="0.2">
      <c r="A271" s="53" t="s">
        <v>21</v>
      </c>
      <c r="B271" s="53" t="s">
        <v>32</v>
      </c>
      <c r="C271" s="53" t="s">
        <v>23</v>
      </c>
      <c r="D271" s="53" t="s">
        <v>38</v>
      </c>
      <c r="E271" s="53" t="s">
        <v>25</v>
      </c>
      <c r="F271" s="53" t="s">
        <v>25</v>
      </c>
      <c r="G271" s="53" t="s">
        <v>25</v>
      </c>
      <c r="H271" s="53" t="s">
        <v>25</v>
      </c>
      <c r="I271" s="72">
        <v>44652</v>
      </c>
      <c r="J271" s="73">
        <f>EFEITO!$J$271*EFEITO!$Y$271</f>
        <v>0</v>
      </c>
      <c r="K271" s="73">
        <f ca="1">EFEITO!$L$271*EFEITO!$Z$271</f>
        <v>39986.216791254687</v>
      </c>
      <c r="L271" s="73">
        <f>EFEITO!$N$271*EFEITO!$AA$271</f>
        <v>15600.209626494019</v>
      </c>
      <c r="M271" s="73">
        <f>$J$271-EFEITO!$K$271*EFEITO!$Y$271</f>
        <v>0</v>
      </c>
      <c r="N271" s="73">
        <f ca="1">$K$271-EFEITO!$M$271*EFEITO!$Z$271</f>
        <v>0</v>
      </c>
      <c r="O271" s="73">
        <f>$L$271-EFEITO!$O$271*EFEITO!$AA$271</f>
        <v>0</v>
      </c>
      <c r="P271" s="57"/>
      <c r="Q271" s="57"/>
      <c r="R271" s="57"/>
      <c r="S271" s="57"/>
      <c r="T271" s="57"/>
      <c r="U271" s="57"/>
      <c r="V271" s="57"/>
      <c r="W271" s="57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r="272" spans="1:36" ht="11.25" customHeight="1" x14ac:dyDescent="0.2">
      <c r="A272" s="53" t="s">
        <v>27</v>
      </c>
      <c r="B272" s="53" t="s">
        <v>32</v>
      </c>
      <c r="C272" s="53" t="s">
        <v>23</v>
      </c>
      <c r="D272" s="53" t="s">
        <v>38</v>
      </c>
      <c r="E272" s="53" t="s">
        <v>25</v>
      </c>
      <c r="F272" s="53" t="s">
        <v>25</v>
      </c>
      <c r="G272" s="53" t="s">
        <v>25</v>
      </c>
      <c r="H272" s="53" t="s">
        <v>25</v>
      </c>
      <c r="I272" s="72">
        <v>44652</v>
      </c>
      <c r="J272" s="73">
        <f>EFEITO!$J$272*EFEITO!$Y$272</f>
        <v>0</v>
      </c>
      <c r="K272" s="73">
        <f ca="1">EFEITO!$L$272*EFEITO!$Z$272</f>
        <v>2960.1143473171883</v>
      </c>
      <c r="L272" s="73">
        <f>EFEITO!$N$272*EFEITO!$AA$272</f>
        <v>1154.8580496527559</v>
      </c>
      <c r="M272" s="73">
        <f>$J$272-EFEITO!$K$272*EFEITO!$Y$272</f>
        <v>0</v>
      </c>
      <c r="N272" s="73">
        <f ca="1">$K$272-EFEITO!$M$272*EFEITO!$Z$272</f>
        <v>0</v>
      </c>
      <c r="O272" s="73">
        <f>$L$272-EFEITO!$O$272*EFEITO!$AA$272</f>
        <v>0</v>
      </c>
      <c r="P272" s="57"/>
      <c r="Q272" s="57"/>
      <c r="R272" s="57"/>
      <c r="S272" s="57"/>
      <c r="T272" s="57"/>
      <c r="U272" s="57"/>
      <c r="V272" s="57"/>
      <c r="W272" s="57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r="273" spans="1:36" ht="11.25" customHeight="1" x14ac:dyDescent="0.2">
      <c r="A273" s="53" t="s">
        <v>21</v>
      </c>
      <c r="B273" s="53" t="s">
        <v>32</v>
      </c>
      <c r="C273" s="53" t="s">
        <v>23</v>
      </c>
      <c r="D273" s="53" t="s">
        <v>49</v>
      </c>
      <c r="E273" s="53" t="s">
        <v>25</v>
      </c>
      <c r="F273" s="53" t="s">
        <v>25</v>
      </c>
      <c r="G273" s="53" t="s">
        <v>25</v>
      </c>
      <c r="H273" s="53" t="s">
        <v>25</v>
      </c>
      <c r="I273" s="72">
        <v>44317</v>
      </c>
      <c r="J273" s="73">
        <f>EFEITO!$J$273*EFEITO!$Y$273</f>
        <v>0</v>
      </c>
      <c r="K273" s="73">
        <f ca="1">EFEITO!$L$273*EFEITO!$Z$273</f>
        <v>1860.0229517372065</v>
      </c>
      <c r="L273" s="73">
        <f>EFEITO!$N$273*EFEITO!$AA$273</f>
        <v>725.66875002630388</v>
      </c>
      <c r="M273" s="73">
        <f>$J$273-EFEITO!$K$273*EFEITO!$Y$273</f>
        <v>0</v>
      </c>
      <c r="N273" s="73">
        <f ca="1">$K$273-EFEITO!$M$273*EFEITO!$Z$273</f>
        <v>0</v>
      </c>
      <c r="O273" s="73">
        <f>$L$273-EFEITO!$O$273*EFEITO!$AA$273</f>
        <v>0</v>
      </c>
      <c r="P273" s="57"/>
      <c r="Q273" s="57"/>
      <c r="R273" s="57"/>
      <c r="S273" s="57"/>
      <c r="T273" s="57"/>
      <c r="U273" s="57"/>
      <c r="V273" s="57"/>
      <c r="W273" s="57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r="274" spans="1:36" ht="11.25" customHeight="1" x14ac:dyDescent="0.2">
      <c r="A274" s="53" t="s">
        <v>21</v>
      </c>
      <c r="B274" s="53" t="s">
        <v>32</v>
      </c>
      <c r="C274" s="53" t="s">
        <v>23</v>
      </c>
      <c r="D274" s="53" t="s">
        <v>49</v>
      </c>
      <c r="E274" s="53" t="s">
        <v>25</v>
      </c>
      <c r="F274" s="53" t="s">
        <v>25</v>
      </c>
      <c r="G274" s="53" t="s">
        <v>25</v>
      </c>
      <c r="H274" s="53" t="s">
        <v>25</v>
      </c>
      <c r="I274" s="72">
        <v>44348</v>
      </c>
      <c r="J274" s="73">
        <f>EFEITO!$J$274*EFEITO!$Y$274</f>
        <v>0</v>
      </c>
      <c r="K274" s="73">
        <f ca="1">EFEITO!$L$274*EFEITO!$Z$274</f>
        <v>1550.7867340801542</v>
      </c>
      <c r="L274" s="73">
        <f>EFEITO!$N$274*EFEITO!$AA$274</f>
        <v>605.02343254757636</v>
      </c>
      <c r="M274" s="73">
        <f>$J$274-EFEITO!$K$274*EFEITO!$Y$274</f>
        <v>0</v>
      </c>
      <c r="N274" s="73">
        <f ca="1">$K$274-EFEITO!$M$274*EFEITO!$Z$274</f>
        <v>0</v>
      </c>
      <c r="O274" s="73">
        <f>$L$274-EFEITO!$O$274*EFEITO!$AA$274</f>
        <v>0</v>
      </c>
      <c r="P274" s="57"/>
      <c r="Q274" s="57"/>
      <c r="R274" s="57"/>
      <c r="S274" s="57"/>
      <c r="T274" s="57"/>
      <c r="U274" s="57"/>
      <c r="V274" s="57"/>
      <c r="W274" s="57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r="275" spans="1:36" ht="11.25" customHeight="1" x14ac:dyDescent="0.2">
      <c r="A275" s="53" t="s">
        <v>21</v>
      </c>
      <c r="B275" s="53" t="s">
        <v>32</v>
      </c>
      <c r="C275" s="53" t="s">
        <v>23</v>
      </c>
      <c r="D275" s="53" t="s">
        <v>49</v>
      </c>
      <c r="E275" s="53" t="s">
        <v>25</v>
      </c>
      <c r="F275" s="53" t="s">
        <v>25</v>
      </c>
      <c r="G275" s="53" t="s">
        <v>25</v>
      </c>
      <c r="H275" s="53" t="s">
        <v>25</v>
      </c>
      <c r="I275" s="72">
        <v>44378</v>
      </c>
      <c r="J275" s="73">
        <f>EFEITO!$J$275*EFEITO!$Y$275</f>
        <v>0</v>
      </c>
      <c r="K275" s="73">
        <f ca="1">EFEITO!$L$275*EFEITO!$Z$275</f>
        <v>1438.9353362041988</v>
      </c>
      <c r="L275" s="73">
        <f>EFEITO!$N$275*EFEITO!$AA$275</f>
        <v>561.38576452335565</v>
      </c>
      <c r="M275" s="73">
        <f>$J$275-EFEITO!$K$275*EFEITO!$Y$275</f>
        <v>0</v>
      </c>
      <c r="N275" s="73">
        <f ca="1">$K$275-EFEITO!$M$275*EFEITO!$Z$275</f>
        <v>0</v>
      </c>
      <c r="O275" s="73">
        <f>$L$275-EFEITO!$O$275*EFEITO!$AA$275</f>
        <v>0</v>
      </c>
      <c r="P275" s="57"/>
      <c r="Q275" s="57"/>
      <c r="R275" s="57"/>
      <c r="S275" s="57"/>
      <c r="T275" s="57"/>
      <c r="U275" s="57"/>
      <c r="V275" s="57"/>
      <c r="W275" s="57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r="276" spans="1:36" ht="11.25" customHeight="1" x14ac:dyDescent="0.2">
      <c r="A276" s="53" t="s">
        <v>21</v>
      </c>
      <c r="B276" s="53" t="s">
        <v>32</v>
      </c>
      <c r="C276" s="53" t="s">
        <v>23</v>
      </c>
      <c r="D276" s="53" t="s">
        <v>49</v>
      </c>
      <c r="E276" s="53" t="s">
        <v>25</v>
      </c>
      <c r="F276" s="53" t="s">
        <v>25</v>
      </c>
      <c r="G276" s="53" t="s">
        <v>25</v>
      </c>
      <c r="H276" s="53" t="s">
        <v>25</v>
      </c>
      <c r="I276" s="72">
        <v>44409</v>
      </c>
      <c r="J276" s="73">
        <f>EFEITO!$J$276*EFEITO!$Y$276</f>
        <v>0</v>
      </c>
      <c r="K276" s="73">
        <f ca="1">EFEITO!$L$276*EFEITO!$Z$276</f>
        <v>1370.5085986800855</v>
      </c>
      <c r="L276" s="73">
        <f>EFEITO!$N$276*EFEITO!$AA$276</f>
        <v>534.68977937912666</v>
      </c>
      <c r="M276" s="73">
        <f>$J$276-EFEITO!$K$276*EFEITO!$Y$276</f>
        <v>0</v>
      </c>
      <c r="N276" s="73">
        <f ca="1">$K$276-EFEITO!$M$276*EFEITO!$Z$276</f>
        <v>0</v>
      </c>
      <c r="O276" s="73">
        <f>$L$276-EFEITO!$O$276*EFEITO!$AA$276</f>
        <v>0</v>
      </c>
      <c r="P276" s="57"/>
      <c r="Q276" s="57"/>
      <c r="R276" s="57"/>
      <c r="S276" s="57"/>
      <c r="T276" s="57"/>
      <c r="U276" s="57"/>
      <c r="V276" s="57"/>
      <c r="W276" s="57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r="277" spans="1:36" ht="11.25" customHeight="1" x14ac:dyDescent="0.2">
      <c r="A277" s="53" t="s">
        <v>21</v>
      </c>
      <c r="B277" s="53" t="s">
        <v>32</v>
      </c>
      <c r="C277" s="53" t="s">
        <v>23</v>
      </c>
      <c r="D277" s="53" t="s">
        <v>49</v>
      </c>
      <c r="E277" s="53" t="s">
        <v>25</v>
      </c>
      <c r="F277" s="53" t="s">
        <v>25</v>
      </c>
      <c r="G277" s="53" t="s">
        <v>25</v>
      </c>
      <c r="H277" s="53" t="s">
        <v>25</v>
      </c>
      <c r="I277" s="72">
        <v>44440</v>
      </c>
      <c r="J277" s="73">
        <f>EFEITO!$J$277*EFEITO!$Y$277</f>
        <v>0</v>
      </c>
      <c r="K277" s="73">
        <f ca="1">EFEITO!$L$277*EFEITO!$Z$277</f>
        <v>1544.2072400874508</v>
      </c>
      <c r="L277" s="73">
        <f>EFEITO!$N$277*EFEITO!$AA$277</f>
        <v>602.45651089909279</v>
      </c>
      <c r="M277" s="73">
        <f>$J$277-EFEITO!$K$277*EFEITO!$Y$277</f>
        <v>0</v>
      </c>
      <c r="N277" s="73">
        <f ca="1">$K$277-EFEITO!$M$277*EFEITO!$Z$277</f>
        <v>0</v>
      </c>
      <c r="O277" s="73">
        <f>$L$277-EFEITO!$O$277*EFEITO!$AA$277</f>
        <v>0</v>
      </c>
      <c r="P277" s="57"/>
      <c r="Q277" s="57"/>
      <c r="R277" s="57"/>
      <c r="S277" s="57"/>
      <c r="T277" s="57"/>
      <c r="U277" s="57"/>
      <c r="V277" s="57"/>
      <c r="W277" s="57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r="278" spans="1:36" ht="11.25" customHeight="1" x14ac:dyDescent="0.2">
      <c r="A278" s="53" t="s">
        <v>21</v>
      </c>
      <c r="B278" s="53" t="s">
        <v>32</v>
      </c>
      <c r="C278" s="53" t="s">
        <v>23</v>
      </c>
      <c r="D278" s="53" t="s">
        <v>49</v>
      </c>
      <c r="E278" s="53" t="s">
        <v>25</v>
      </c>
      <c r="F278" s="53" t="s">
        <v>25</v>
      </c>
      <c r="G278" s="53" t="s">
        <v>25</v>
      </c>
      <c r="H278" s="53" t="s">
        <v>25</v>
      </c>
      <c r="I278" s="72">
        <v>44470</v>
      </c>
      <c r="J278" s="73">
        <f>EFEITO!$J$278*EFEITO!$Y$278</f>
        <v>0</v>
      </c>
      <c r="K278" s="73">
        <f ca="1">EFEITO!$L$278*EFEITO!$Z$278</f>
        <v>2154.1263332110416</v>
      </c>
      <c r="L278" s="73">
        <f>EFEITO!$N$278*EFEITO!$AA$278</f>
        <v>840.41014771351922</v>
      </c>
      <c r="M278" s="73">
        <f>$J$278-EFEITO!$K$278*EFEITO!$Y$278</f>
        <v>0</v>
      </c>
      <c r="N278" s="73">
        <f ca="1">$K$278-EFEITO!$M$278*EFEITO!$Z$278</f>
        <v>0</v>
      </c>
      <c r="O278" s="73">
        <f>$L$278-EFEITO!$O$278*EFEITO!$AA$278</f>
        <v>0</v>
      </c>
      <c r="P278" s="57"/>
      <c r="Q278" s="57"/>
      <c r="R278" s="57"/>
      <c r="S278" s="57"/>
      <c r="T278" s="57"/>
      <c r="U278" s="57"/>
      <c r="V278" s="57"/>
      <c r="W278" s="57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r="279" spans="1:36" ht="11.25" customHeight="1" x14ac:dyDescent="0.2">
      <c r="A279" s="53" t="s">
        <v>21</v>
      </c>
      <c r="B279" s="53" t="s">
        <v>32</v>
      </c>
      <c r="C279" s="53" t="s">
        <v>23</v>
      </c>
      <c r="D279" s="53" t="s">
        <v>49</v>
      </c>
      <c r="E279" s="53" t="s">
        <v>25</v>
      </c>
      <c r="F279" s="53" t="s">
        <v>25</v>
      </c>
      <c r="G279" s="53" t="s">
        <v>25</v>
      </c>
      <c r="H279" s="53" t="s">
        <v>25</v>
      </c>
      <c r="I279" s="72">
        <v>44501</v>
      </c>
      <c r="J279" s="73">
        <f>EFEITO!$J$279*EFEITO!$Y$279</f>
        <v>0</v>
      </c>
      <c r="K279" s="73">
        <f ca="1">EFEITO!$L$279*EFEITO!$Z$279</f>
        <v>2277.8208202738624</v>
      </c>
      <c r="L279" s="73">
        <f>EFEITO!$N$279*EFEITO!$AA$279</f>
        <v>888.66827470501039</v>
      </c>
      <c r="M279" s="73">
        <f>$J$279-EFEITO!$K$279*EFEITO!$Y$279</f>
        <v>0</v>
      </c>
      <c r="N279" s="73">
        <f ca="1">$K$279-EFEITO!$M$279*EFEITO!$Z$279</f>
        <v>0</v>
      </c>
      <c r="O279" s="73">
        <f>$L$279-EFEITO!$O$279*EFEITO!$AA$279</f>
        <v>0</v>
      </c>
      <c r="P279" s="57"/>
      <c r="Q279" s="57"/>
      <c r="R279" s="57"/>
      <c r="S279" s="57"/>
      <c r="T279" s="57"/>
      <c r="U279" s="57"/>
      <c r="V279" s="57"/>
      <c r="W279" s="57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r="280" spans="1:36" ht="11.25" customHeight="1" x14ac:dyDescent="0.2">
      <c r="A280" s="53" t="s">
        <v>21</v>
      </c>
      <c r="B280" s="53" t="s">
        <v>32</v>
      </c>
      <c r="C280" s="53" t="s">
        <v>23</v>
      </c>
      <c r="D280" s="53" t="s">
        <v>49</v>
      </c>
      <c r="E280" s="53" t="s">
        <v>25</v>
      </c>
      <c r="F280" s="53" t="s">
        <v>25</v>
      </c>
      <c r="G280" s="53" t="s">
        <v>25</v>
      </c>
      <c r="H280" s="53" t="s">
        <v>25</v>
      </c>
      <c r="I280" s="72">
        <v>44531</v>
      </c>
      <c r="J280" s="73">
        <f>EFEITO!$J$280*EFEITO!$Y$280</f>
        <v>0</v>
      </c>
      <c r="K280" s="73">
        <f ca="1">EFEITO!$L$280*EFEITO!$Z$280</f>
        <v>2677.8540550302196</v>
      </c>
      <c r="L280" s="73">
        <f>EFEITO!$N$280*EFEITO!$AA$280</f>
        <v>1044.7371109328112</v>
      </c>
      <c r="M280" s="73">
        <f>$J$280-EFEITO!$K$280*EFEITO!$Y$280</f>
        <v>0</v>
      </c>
      <c r="N280" s="73">
        <f ca="1">$K$280-EFEITO!$M$280*EFEITO!$Z$280</f>
        <v>0</v>
      </c>
      <c r="O280" s="73">
        <f>$L$280-EFEITO!$O$280*EFEITO!$AA$280</f>
        <v>0</v>
      </c>
      <c r="P280" s="57"/>
      <c r="Q280" s="57"/>
      <c r="R280" s="57"/>
      <c r="S280" s="57"/>
      <c r="T280" s="57"/>
      <c r="U280" s="57"/>
      <c r="V280" s="57"/>
      <c r="W280" s="57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r="281" spans="1:36" ht="11.25" customHeight="1" x14ac:dyDescent="0.2">
      <c r="A281" s="53" t="s">
        <v>21</v>
      </c>
      <c r="B281" s="53" t="s">
        <v>32</v>
      </c>
      <c r="C281" s="53" t="s">
        <v>23</v>
      </c>
      <c r="D281" s="53" t="s">
        <v>49</v>
      </c>
      <c r="E281" s="53" t="s">
        <v>25</v>
      </c>
      <c r="F281" s="53" t="s">
        <v>25</v>
      </c>
      <c r="G281" s="53" t="s">
        <v>25</v>
      </c>
      <c r="H281" s="53" t="s">
        <v>25</v>
      </c>
      <c r="I281" s="72">
        <v>44562</v>
      </c>
      <c r="J281" s="73">
        <f>EFEITO!$J$281*EFEITO!$Y$281</f>
        <v>0</v>
      </c>
      <c r="K281" s="73">
        <f ca="1">EFEITO!$L$281*EFEITO!$Z$281</f>
        <v>2490.338476238177</v>
      </c>
      <c r="L281" s="73">
        <f>EFEITO!$N$281*EFEITO!$AA$281</f>
        <v>971.57984395102949</v>
      </c>
      <c r="M281" s="73">
        <f>$J$281-EFEITO!$K$281*EFEITO!$Y$281</f>
        <v>0</v>
      </c>
      <c r="N281" s="73">
        <f ca="1">$K$281-EFEITO!$M$281*EFEITO!$Z$281</f>
        <v>0</v>
      </c>
      <c r="O281" s="73">
        <f>$L$281-EFEITO!$O$281*EFEITO!$AA$281</f>
        <v>0</v>
      </c>
      <c r="P281" s="57"/>
      <c r="Q281" s="57"/>
      <c r="R281" s="57"/>
      <c r="S281" s="57"/>
      <c r="T281" s="57"/>
      <c r="U281" s="57"/>
      <c r="V281" s="57"/>
      <c r="W281" s="57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r="282" spans="1:36" ht="11.25" customHeight="1" x14ac:dyDescent="0.2">
      <c r="A282" s="53" t="s">
        <v>21</v>
      </c>
      <c r="B282" s="53" t="s">
        <v>32</v>
      </c>
      <c r="C282" s="53" t="s">
        <v>23</v>
      </c>
      <c r="D282" s="53" t="s">
        <v>49</v>
      </c>
      <c r="E282" s="53" t="s">
        <v>25</v>
      </c>
      <c r="F282" s="53" t="s">
        <v>25</v>
      </c>
      <c r="G282" s="53" t="s">
        <v>25</v>
      </c>
      <c r="H282" s="53" t="s">
        <v>25</v>
      </c>
      <c r="I282" s="72">
        <v>44593</v>
      </c>
      <c r="J282" s="73">
        <f>EFEITO!$J$282*EFEITO!$Y$282</f>
        <v>0</v>
      </c>
      <c r="K282" s="73">
        <f ca="1">EFEITO!$L$282*EFEITO!$Z$282</f>
        <v>2431.7809797031182</v>
      </c>
      <c r="L282" s="73">
        <f>EFEITO!$N$282*EFEITO!$AA$282</f>
        <v>948.7342412795258</v>
      </c>
      <c r="M282" s="73">
        <f>$J$282-EFEITO!$K$282*EFEITO!$Y$282</f>
        <v>0</v>
      </c>
      <c r="N282" s="73">
        <f ca="1">$K$282-EFEITO!$M$282*EFEITO!$Z$282</f>
        <v>0</v>
      </c>
      <c r="O282" s="73">
        <f>$L$282-EFEITO!$O$282*EFEITO!$AA$282</f>
        <v>0</v>
      </c>
      <c r="P282" s="57"/>
      <c r="Q282" s="57"/>
      <c r="R282" s="57"/>
      <c r="S282" s="57"/>
      <c r="T282" s="57"/>
      <c r="U282" s="57"/>
      <c r="V282" s="57"/>
      <c r="W282" s="57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r="283" spans="1:36" ht="11.25" customHeight="1" x14ac:dyDescent="0.2">
      <c r="A283" s="53" t="s">
        <v>21</v>
      </c>
      <c r="B283" s="53" t="s">
        <v>32</v>
      </c>
      <c r="C283" s="53" t="s">
        <v>23</v>
      </c>
      <c r="D283" s="53" t="s">
        <v>49</v>
      </c>
      <c r="E283" s="53" t="s">
        <v>25</v>
      </c>
      <c r="F283" s="53" t="s">
        <v>25</v>
      </c>
      <c r="G283" s="53" t="s">
        <v>25</v>
      </c>
      <c r="H283" s="53" t="s">
        <v>25</v>
      </c>
      <c r="I283" s="72">
        <v>44621</v>
      </c>
      <c r="J283" s="73">
        <f>EFEITO!$J$283*EFEITO!$Y$283</f>
        <v>0</v>
      </c>
      <c r="K283" s="73">
        <f ca="1">EFEITO!$L$283*EFEITO!$Z$283</f>
        <v>2620.6124572937015</v>
      </c>
      <c r="L283" s="73">
        <f>EFEITO!$N$283*EFEITO!$AA$283</f>
        <v>1022.4048925910041</v>
      </c>
      <c r="M283" s="73">
        <f>$J$283-EFEITO!$K$283*EFEITO!$Y$283</f>
        <v>0</v>
      </c>
      <c r="N283" s="73">
        <f ca="1">$K$283-EFEITO!$M$283*EFEITO!$Z$283</f>
        <v>0</v>
      </c>
      <c r="O283" s="73">
        <f>$L$283-EFEITO!$O$283*EFEITO!$AA$283</f>
        <v>0</v>
      </c>
      <c r="P283" s="57"/>
      <c r="Q283" s="57"/>
      <c r="R283" s="57"/>
      <c r="S283" s="57"/>
      <c r="T283" s="57"/>
      <c r="U283" s="57"/>
      <c r="V283" s="57"/>
      <c r="W283" s="57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r="284" spans="1:36" ht="11.25" customHeight="1" x14ac:dyDescent="0.2">
      <c r="A284" s="53" t="s">
        <v>21</v>
      </c>
      <c r="B284" s="53" t="s">
        <v>32</v>
      </c>
      <c r="C284" s="53" t="s">
        <v>23</v>
      </c>
      <c r="D284" s="53" t="s">
        <v>49</v>
      </c>
      <c r="E284" s="53" t="s">
        <v>25</v>
      </c>
      <c r="F284" s="53" t="s">
        <v>25</v>
      </c>
      <c r="G284" s="53" t="s">
        <v>25</v>
      </c>
      <c r="H284" s="53" t="s">
        <v>25</v>
      </c>
      <c r="I284" s="72">
        <v>44652</v>
      </c>
      <c r="J284" s="73">
        <f>EFEITO!$J$284*EFEITO!$Y$284</f>
        <v>0</v>
      </c>
      <c r="K284" s="73">
        <f ca="1">EFEITO!$L$284*EFEITO!$Z$284</f>
        <v>2339.6680638052731</v>
      </c>
      <c r="L284" s="73">
        <f>EFEITO!$N$284*EFEITO!$AA$284</f>
        <v>912.7973382007558</v>
      </c>
      <c r="M284" s="73">
        <f>$J$284-EFEITO!$K$284*EFEITO!$Y$284</f>
        <v>0</v>
      </c>
      <c r="N284" s="73">
        <f ca="1">$K$284-EFEITO!$M$284*EFEITO!$Z$284</f>
        <v>0</v>
      </c>
      <c r="O284" s="73">
        <f>$L$284-EFEITO!$O$284*EFEITO!$AA$284</f>
        <v>0</v>
      </c>
      <c r="P284" s="57"/>
      <c r="Q284" s="57"/>
      <c r="R284" s="57"/>
      <c r="S284" s="57"/>
      <c r="T284" s="57"/>
      <c r="U284" s="57"/>
      <c r="V284" s="57"/>
      <c r="W284" s="57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r="285" spans="1:36" ht="11.25" customHeight="1" x14ac:dyDescent="0.2">
      <c r="A285" s="53" t="s">
        <v>21</v>
      </c>
      <c r="B285" s="53" t="s">
        <v>32</v>
      </c>
      <c r="C285" s="53" t="s">
        <v>23</v>
      </c>
      <c r="D285" s="53" t="s">
        <v>33</v>
      </c>
      <c r="E285" s="53" t="s">
        <v>25</v>
      </c>
      <c r="F285" s="53" t="s">
        <v>25</v>
      </c>
      <c r="G285" s="53" t="s">
        <v>25</v>
      </c>
      <c r="H285" s="53" t="s">
        <v>25</v>
      </c>
      <c r="I285" s="72">
        <v>44317</v>
      </c>
      <c r="J285" s="73">
        <f>EFEITO!$J$285*EFEITO!$Y$285</f>
        <v>0</v>
      </c>
      <c r="K285" s="73">
        <f ca="1">EFEITO!$L$285*EFEITO!$Z$285</f>
        <v>230.28228974461345</v>
      </c>
      <c r="L285" s="73">
        <f>EFEITO!$N$285*EFEITO!$AA$285</f>
        <v>89.842257696924776</v>
      </c>
      <c r="M285" s="73">
        <f>$J$285-EFEITO!$K$285*EFEITO!$Y$285</f>
        <v>0</v>
      </c>
      <c r="N285" s="73">
        <f ca="1">$K$285-EFEITO!$M$285*EFEITO!$Z$285</f>
        <v>0</v>
      </c>
      <c r="O285" s="73">
        <f>$L$285-EFEITO!$O$285*EFEITO!$AA$285</f>
        <v>0</v>
      </c>
      <c r="P285" s="57"/>
      <c r="Q285" s="57"/>
      <c r="R285" s="57"/>
      <c r="S285" s="57"/>
      <c r="T285" s="57"/>
      <c r="U285" s="57"/>
      <c r="V285" s="57"/>
      <c r="W285" s="57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r="286" spans="1:36" ht="11.25" customHeight="1" x14ac:dyDescent="0.2">
      <c r="A286" s="53" t="s">
        <v>21</v>
      </c>
      <c r="B286" s="53" t="s">
        <v>32</v>
      </c>
      <c r="C286" s="53" t="s">
        <v>23</v>
      </c>
      <c r="D286" s="53" t="s">
        <v>33</v>
      </c>
      <c r="E286" s="53" t="s">
        <v>25</v>
      </c>
      <c r="F286" s="53" t="s">
        <v>25</v>
      </c>
      <c r="G286" s="53" t="s">
        <v>25</v>
      </c>
      <c r="H286" s="53" t="s">
        <v>25</v>
      </c>
      <c r="I286" s="72">
        <v>44348</v>
      </c>
      <c r="J286" s="73">
        <f>EFEITO!$J$286*EFEITO!$Y$286</f>
        <v>0</v>
      </c>
      <c r="K286" s="73">
        <f ca="1">EFEITO!$L$286*EFEITO!$Z$286</f>
        <v>238.83563193512768</v>
      </c>
      <c r="L286" s="73">
        <f>EFEITO!$N$286*EFEITO!$AA$286</f>
        <v>93.179255839953413</v>
      </c>
      <c r="M286" s="73">
        <f>$J$286-EFEITO!$K$286*EFEITO!$Y$286</f>
        <v>0</v>
      </c>
      <c r="N286" s="73">
        <f ca="1">$K$286-EFEITO!$M$286*EFEITO!$Z$286</f>
        <v>0</v>
      </c>
      <c r="O286" s="73">
        <f>$L$286-EFEITO!$O$286*EFEITO!$AA$286</f>
        <v>0</v>
      </c>
      <c r="P286" s="57"/>
      <c r="Q286" s="57"/>
      <c r="R286" s="57"/>
      <c r="S286" s="57"/>
      <c r="T286" s="57"/>
      <c r="U286" s="57"/>
      <c r="V286" s="57"/>
      <c r="W286" s="57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r="287" spans="1:36" ht="11.25" customHeight="1" x14ac:dyDescent="0.2">
      <c r="A287" s="53" t="s">
        <v>21</v>
      </c>
      <c r="B287" s="53" t="s">
        <v>32</v>
      </c>
      <c r="C287" s="53" t="s">
        <v>23</v>
      </c>
      <c r="D287" s="53" t="s">
        <v>33</v>
      </c>
      <c r="E287" s="53" t="s">
        <v>25</v>
      </c>
      <c r="F287" s="53" t="s">
        <v>25</v>
      </c>
      <c r="G287" s="53" t="s">
        <v>25</v>
      </c>
      <c r="H287" s="53" t="s">
        <v>25</v>
      </c>
      <c r="I287" s="72">
        <v>44378</v>
      </c>
      <c r="J287" s="73">
        <f>EFEITO!$J$287*EFEITO!$Y$287</f>
        <v>0</v>
      </c>
      <c r="K287" s="73">
        <f ca="1">EFEITO!$L$287*EFEITO!$Z$287</f>
        <v>234.88793553950572</v>
      </c>
      <c r="L287" s="73">
        <f>EFEITO!$N$287*EFEITO!$AA$287</f>
        <v>91.639102850863281</v>
      </c>
      <c r="M287" s="73">
        <f>$J$287-EFEITO!$K$287*EFEITO!$Y$287</f>
        <v>0</v>
      </c>
      <c r="N287" s="73">
        <f ca="1">$K$287-EFEITO!$M$287*EFEITO!$Z$287</f>
        <v>0</v>
      </c>
      <c r="O287" s="73">
        <f>$L$287-EFEITO!$O$287*EFEITO!$AA$287</f>
        <v>0</v>
      </c>
      <c r="P287" s="57"/>
      <c r="Q287" s="57"/>
      <c r="R287" s="57"/>
      <c r="S287" s="57"/>
      <c r="T287" s="57"/>
      <c r="U287" s="57"/>
      <c r="V287" s="57"/>
      <c r="W287" s="57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r="288" spans="1:36" ht="11.25" customHeight="1" x14ac:dyDescent="0.2">
      <c r="A288" s="53" t="s">
        <v>21</v>
      </c>
      <c r="B288" s="53" t="s">
        <v>32</v>
      </c>
      <c r="C288" s="53" t="s">
        <v>23</v>
      </c>
      <c r="D288" s="53" t="s">
        <v>33</v>
      </c>
      <c r="E288" s="53" t="s">
        <v>25</v>
      </c>
      <c r="F288" s="53" t="s">
        <v>25</v>
      </c>
      <c r="G288" s="53" t="s">
        <v>25</v>
      </c>
      <c r="H288" s="53" t="s">
        <v>25</v>
      </c>
      <c r="I288" s="72">
        <v>44409</v>
      </c>
      <c r="J288" s="73">
        <f>EFEITO!$J$288*EFEITO!$Y$288</f>
        <v>0</v>
      </c>
      <c r="K288" s="73">
        <f ca="1">EFEITO!$L$288*EFEITO!$Z$288</f>
        <v>256.60026571542642</v>
      </c>
      <c r="L288" s="73">
        <f>EFEITO!$N$288*EFEITO!$AA$288</f>
        <v>100.10994429085905</v>
      </c>
      <c r="M288" s="73">
        <f>$J$288-EFEITO!$K$288*EFEITO!$Y$288</f>
        <v>0</v>
      </c>
      <c r="N288" s="73">
        <f ca="1">$K$288-EFEITO!$M$288*EFEITO!$Z$288</f>
        <v>0</v>
      </c>
      <c r="O288" s="73">
        <f>$L$288-EFEITO!$O$288*EFEITO!$AA$288</f>
        <v>0</v>
      </c>
      <c r="P288" s="57"/>
      <c r="Q288" s="57"/>
      <c r="R288" s="57"/>
      <c r="S288" s="57"/>
      <c r="T288" s="57"/>
      <c r="U288" s="57"/>
      <c r="V288" s="57"/>
      <c r="W288" s="57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r="289" spans="1:36" ht="11.25" customHeight="1" x14ac:dyDescent="0.2">
      <c r="A289" s="53" t="s">
        <v>21</v>
      </c>
      <c r="B289" s="53" t="s">
        <v>32</v>
      </c>
      <c r="C289" s="53" t="s">
        <v>23</v>
      </c>
      <c r="D289" s="53" t="s">
        <v>33</v>
      </c>
      <c r="E289" s="53" t="s">
        <v>25</v>
      </c>
      <c r="F289" s="53" t="s">
        <v>25</v>
      </c>
      <c r="G289" s="53" t="s">
        <v>25</v>
      </c>
      <c r="H289" s="53" t="s">
        <v>25</v>
      </c>
      <c r="I289" s="72">
        <v>44440</v>
      </c>
      <c r="J289" s="73">
        <f>EFEITO!$J$289*EFEITO!$Y$289</f>
        <v>0</v>
      </c>
      <c r="K289" s="73">
        <f ca="1">EFEITO!$L$289*EFEITO!$Z$289</f>
        <v>271.07515249937353</v>
      </c>
      <c r="L289" s="73">
        <f>EFEITO!$N$289*EFEITO!$AA$289</f>
        <v>105.75717191752288</v>
      </c>
      <c r="M289" s="73">
        <f>$J$289-EFEITO!$K$289*EFEITO!$Y$289</f>
        <v>0</v>
      </c>
      <c r="N289" s="73">
        <f ca="1">$K$289-EFEITO!$M$289*EFEITO!$Z$289</f>
        <v>0</v>
      </c>
      <c r="O289" s="73">
        <f>$L$289-EFEITO!$O$289*EFEITO!$AA$289</f>
        <v>0</v>
      </c>
      <c r="P289" s="57"/>
      <c r="Q289" s="57"/>
      <c r="R289" s="57"/>
      <c r="S289" s="57"/>
      <c r="T289" s="57"/>
      <c r="U289" s="57"/>
      <c r="V289" s="57"/>
      <c r="W289" s="57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r="290" spans="1:36" ht="11.25" customHeight="1" x14ac:dyDescent="0.2">
      <c r="A290" s="53" t="s">
        <v>21</v>
      </c>
      <c r="B290" s="53" t="s">
        <v>32</v>
      </c>
      <c r="C290" s="53" t="s">
        <v>23</v>
      </c>
      <c r="D290" s="53" t="s">
        <v>33</v>
      </c>
      <c r="E290" s="53" t="s">
        <v>25</v>
      </c>
      <c r="F290" s="53" t="s">
        <v>25</v>
      </c>
      <c r="G290" s="53" t="s">
        <v>25</v>
      </c>
      <c r="H290" s="53" t="s">
        <v>25</v>
      </c>
      <c r="I290" s="72">
        <v>44470</v>
      </c>
      <c r="J290" s="73">
        <f>EFEITO!$J$290*EFEITO!$Y$290</f>
        <v>0</v>
      </c>
      <c r="K290" s="73">
        <f ca="1">EFEITO!$L$290*EFEITO!$Z$290</f>
        <v>287.52388748113168</v>
      </c>
      <c r="L290" s="73">
        <f>EFEITO!$N$290*EFEITO!$AA$290</f>
        <v>112.1744760387318</v>
      </c>
      <c r="M290" s="73">
        <f>$J$290-EFEITO!$K$290*EFEITO!$Y$290</f>
        <v>0</v>
      </c>
      <c r="N290" s="73">
        <f ca="1">$K$290-EFEITO!$M$290*EFEITO!$Z$290</f>
        <v>0</v>
      </c>
      <c r="O290" s="73">
        <f>$L$290-EFEITO!$O$290*EFEITO!$AA$290</f>
        <v>0</v>
      </c>
      <c r="P290" s="57"/>
      <c r="Q290" s="57"/>
      <c r="R290" s="57"/>
      <c r="S290" s="57"/>
      <c r="T290" s="57"/>
      <c r="U290" s="57"/>
      <c r="V290" s="57"/>
      <c r="W290" s="57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r="291" spans="1:36" ht="11.25" customHeight="1" x14ac:dyDescent="0.2">
      <c r="A291" s="53" t="s">
        <v>21</v>
      </c>
      <c r="B291" s="53" t="s">
        <v>32</v>
      </c>
      <c r="C291" s="53" t="s">
        <v>23</v>
      </c>
      <c r="D291" s="53" t="s">
        <v>33</v>
      </c>
      <c r="E291" s="53" t="s">
        <v>25</v>
      </c>
      <c r="F291" s="53" t="s">
        <v>25</v>
      </c>
      <c r="G291" s="53" t="s">
        <v>25</v>
      </c>
      <c r="H291" s="53" t="s">
        <v>25</v>
      </c>
      <c r="I291" s="72">
        <v>44501</v>
      </c>
      <c r="J291" s="73">
        <f>EFEITO!$J$291*EFEITO!$Y$291</f>
        <v>0</v>
      </c>
      <c r="K291" s="73">
        <f ca="1">EFEITO!$L$291*EFEITO!$Z$291</f>
        <v>293.44543207456462</v>
      </c>
      <c r="L291" s="73">
        <f>EFEITO!$N$291*EFEITO!$AA$291</f>
        <v>114.48470552236701</v>
      </c>
      <c r="M291" s="73">
        <f>$J$291-EFEITO!$K$291*EFEITO!$Y$291</f>
        <v>0</v>
      </c>
      <c r="N291" s="73">
        <f ca="1">$K$291-EFEITO!$M$291*EFEITO!$Z$291</f>
        <v>0</v>
      </c>
      <c r="O291" s="73">
        <f>$L$291-EFEITO!$O$291*EFEITO!$AA$291</f>
        <v>0</v>
      </c>
      <c r="P291" s="57"/>
      <c r="Q291" s="57"/>
      <c r="R291" s="57"/>
      <c r="S291" s="57"/>
      <c r="T291" s="57"/>
      <c r="U291" s="57"/>
      <c r="V291" s="57"/>
      <c r="W291" s="57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r="292" spans="1:36" ht="11.25" customHeight="1" x14ac:dyDescent="0.2">
      <c r="A292" s="53" t="s">
        <v>21</v>
      </c>
      <c r="B292" s="53" t="s">
        <v>32</v>
      </c>
      <c r="C292" s="53" t="s">
        <v>23</v>
      </c>
      <c r="D292" s="53" t="s">
        <v>33</v>
      </c>
      <c r="E292" s="53" t="s">
        <v>25</v>
      </c>
      <c r="F292" s="53" t="s">
        <v>25</v>
      </c>
      <c r="G292" s="53" t="s">
        <v>25</v>
      </c>
      <c r="H292" s="53" t="s">
        <v>25</v>
      </c>
      <c r="I292" s="72">
        <v>44531</v>
      </c>
      <c r="J292" s="73">
        <f>EFEITO!$J$292*EFEITO!$Y$292</f>
        <v>0</v>
      </c>
      <c r="K292" s="73">
        <f ca="1">EFEITO!$L$292*EFEITO!$Z$292</f>
        <v>293.44543207456462</v>
      </c>
      <c r="L292" s="73">
        <f>EFEITO!$N$292*EFEITO!$AA$292</f>
        <v>114.48470552236701</v>
      </c>
      <c r="M292" s="73">
        <f>$J$292-EFEITO!$K$292*EFEITO!$Y$292</f>
        <v>0</v>
      </c>
      <c r="N292" s="73">
        <f ca="1">$K$292-EFEITO!$M$292*EFEITO!$Z$292</f>
        <v>0</v>
      </c>
      <c r="O292" s="73">
        <f>$L$292-EFEITO!$O$292*EFEITO!$AA$292</f>
        <v>0</v>
      </c>
      <c r="P292" s="57"/>
      <c r="Q292" s="57"/>
      <c r="R292" s="57"/>
      <c r="S292" s="57"/>
      <c r="T292" s="57"/>
      <c r="U292" s="57"/>
      <c r="V292" s="57"/>
      <c r="W292" s="57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r="293" spans="1:36" ht="11.25" customHeight="1" x14ac:dyDescent="0.2">
      <c r="A293" s="53" t="s">
        <v>21</v>
      </c>
      <c r="B293" s="53" t="s">
        <v>32</v>
      </c>
      <c r="C293" s="53" t="s">
        <v>23</v>
      </c>
      <c r="D293" s="53" t="s">
        <v>33</v>
      </c>
      <c r="E293" s="53" t="s">
        <v>25</v>
      </c>
      <c r="F293" s="53" t="s">
        <v>25</v>
      </c>
      <c r="G293" s="53" t="s">
        <v>25</v>
      </c>
      <c r="H293" s="53" t="s">
        <v>25</v>
      </c>
      <c r="I293" s="72">
        <v>44562</v>
      </c>
      <c r="J293" s="73">
        <f>EFEITO!$J$293*EFEITO!$Y$293</f>
        <v>0</v>
      </c>
      <c r="K293" s="73">
        <f ca="1">EFEITO!$L$293*EFEITO!$Z$293</f>
        <v>286.20798868259101</v>
      </c>
      <c r="L293" s="73">
        <f>EFEITO!$N$293*EFEITO!$AA$293</f>
        <v>111.66109170903509</v>
      </c>
      <c r="M293" s="73">
        <f>$J$293-EFEITO!$K$293*EFEITO!$Y$293</f>
        <v>0</v>
      </c>
      <c r="N293" s="73">
        <f ca="1">$K$293-EFEITO!$M$293*EFEITO!$Z$293</f>
        <v>0</v>
      </c>
      <c r="O293" s="73">
        <f>$L$293-EFEITO!$O$293*EFEITO!$AA$293</f>
        <v>0</v>
      </c>
      <c r="P293" s="57"/>
      <c r="Q293" s="57"/>
      <c r="R293" s="57"/>
      <c r="S293" s="57"/>
      <c r="T293" s="57"/>
      <c r="U293" s="57"/>
      <c r="V293" s="57"/>
      <c r="W293" s="57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r="294" spans="1:36" ht="11.25" customHeight="1" x14ac:dyDescent="0.2">
      <c r="A294" s="53" t="s">
        <v>21</v>
      </c>
      <c r="B294" s="53" t="s">
        <v>32</v>
      </c>
      <c r="C294" s="53" t="s">
        <v>23</v>
      </c>
      <c r="D294" s="53" t="s">
        <v>33</v>
      </c>
      <c r="E294" s="53" t="s">
        <v>25</v>
      </c>
      <c r="F294" s="53" t="s">
        <v>25</v>
      </c>
      <c r="G294" s="53" t="s">
        <v>25</v>
      </c>
      <c r="H294" s="53" t="s">
        <v>25</v>
      </c>
      <c r="I294" s="72">
        <v>44593</v>
      </c>
      <c r="J294" s="73">
        <f>EFEITO!$J$294*EFEITO!$Y$294</f>
        <v>0</v>
      </c>
      <c r="K294" s="73">
        <f ca="1">EFEITO!$L$294*EFEITO!$Z$294</f>
        <v>259.23206331250776</v>
      </c>
      <c r="L294" s="73">
        <f>EFEITO!$N$294*EFEITO!$AA$294</f>
        <v>101.13671295025247</v>
      </c>
      <c r="M294" s="73">
        <f>$J$294-EFEITO!$K$294*EFEITO!$Y$294</f>
        <v>0</v>
      </c>
      <c r="N294" s="73">
        <f ca="1">$K$294-EFEITO!$M$294*EFEITO!$Z$294</f>
        <v>0</v>
      </c>
      <c r="O294" s="73">
        <f>$L$294-EFEITO!$O$294*EFEITO!$AA$294</f>
        <v>0</v>
      </c>
      <c r="P294" s="57"/>
      <c r="Q294" s="57"/>
      <c r="R294" s="57"/>
      <c r="S294" s="57"/>
      <c r="T294" s="57"/>
      <c r="U294" s="57"/>
      <c r="V294" s="57"/>
      <c r="W294" s="57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r="295" spans="1:36" ht="11.25" customHeight="1" x14ac:dyDescent="0.2">
      <c r="A295" s="53" t="s">
        <v>21</v>
      </c>
      <c r="B295" s="53" t="s">
        <v>32</v>
      </c>
      <c r="C295" s="53" t="s">
        <v>23</v>
      </c>
      <c r="D295" s="53" t="s">
        <v>33</v>
      </c>
      <c r="E295" s="53" t="s">
        <v>25</v>
      </c>
      <c r="F295" s="53" t="s">
        <v>25</v>
      </c>
      <c r="G295" s="53" t="s">
        <v>25</v>
      </c>
      <c r="H295" s="53" t="s">
        <v>25</v>
      </c>
      <c r="I295" s="72">
        <v>44621</v>
      </c>
      <c r="J295" s="73">
        <f>EFEITO!$J$295*EFEITO!$Y$295</f>
        <v>0</v>
      </c>
      <c r="K295" s="73">
        <f ca="1">EFEITO!$L$295*EFEITO!$Z$295</f>
        <v>896.12708180618165</v>
      </c>
      <c r="L295" s="73">
        <f>EFEITO!$N$295*EFEITO!$AA$295</f>
        <v>349.61472852346162</v>
      </c>
      <c r="M295" s="73">
        <f>$J$295-EFEITO!$K$295*EFEITO!$Y$295</f>
        <v>0</v>
      </c>
      <c r="N295" s="73">
        <f ca="1">$K$295-EFEITO!$M$295*EFEITO!$Z$295</f>
        <v>0</v>
      </c>
      <c r="O295" s="73">
        <f>$L$295-EFEITO!$O$295*EFEITO!$AA$295</f>
        <v>0</v>
      </c>
      <c r="P295" s="57"/>
      <c r="Q295" s="57"/>
      <c r="R295" s="57"/>
      <c r="S295" s="57"/>
      <c r="T295" s="57"/>
      <c r="U295" s="57"/>
      <c r="V295" s="57"/>
      <c r="W295" s="57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r="296" spans="1:36" ht="11.25" customHeight="1" x14ac:dyDescent="0.2">
      <c r="A296" s="53" t="s">
        <v>21</v>
      </c>
      <c r="B296" s="53" t="s">
        <v>32</v>
      </c>
      <c r="C296" s="53" t="s">
        <v>23</v>
      </c>
      <c r="D296" s="53" t="s">
        <v>33</v>
      </c>
      <c r="E296" s="53" t="s">
        <v>25</v>
      </c>
      <c r="F296" s="53" t="s">
        <v>25</v>
      </c>
      <c r="G296" s="53" t="s">
        <v>25</v>
      </c>
      <c r="H296" s="53" t="s">
        <v>25</v>
      </c>
      <c r="I296" s="72">
        <v>44652</v>
      </c>
      <c r="J296" s="73">
        <f>EFEITO!$J$296*EFEITO!$Y$296</f>
        <v>0</v>
      </c>
      <c r="K296" s="73">
        <f ca="1">EFEITO!$L$296*EFEITO!$Z$296</f>
        <v>869.15115643609818</v>
      </c>
      <c r="L296" s="73">
        <f>EFEITO!$N$296*EFEITO!$AA$296</f>
        <v>339.09034976467893</v>
      </c>
      <c r="M296" s="73">
        <f>$J$296-EFEITO!$K$296*EFEITO!$Y$296</f>
        <v>0</v>
      </c>
      <c r="N296" s="73">
        <f ca="1">$K$296-EFEITO!$M$296*EFEITO!$Z$296</f>
        <v>0</v>
      </c>
      <c r="O296" s="73">
        <f>$L$296-EFEITO!$O$296*EFEITO!$AA$296</f>
        <v>0</v>
      </c>
      <c r="P296" s="57"/>
      <c r="Q296" s="57"/>
      <c r="R296" s="57"/>
      <c r="S296" s="57"/>
      <c r="T296" s="57"/>
      <c r="U296" s="57"/>
      <c r="V296" s="57"/>
      <c r="W296" s="57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r="297" spans="1:36" ht="11.25" customHeight="1" x14ac:dyDescent="0.2">
      <c r="A297" s="53" t="s">
        <v>21</v>
      </c>
      <c r="B297" s="53" t="s">
        <v>32</v>
      </c>
      <c r="C297" s="53" t="s">
        <v>23</v>
      </c>
      <c r="D297" s="53" t="s">
        <v>43</v>
      </c>
      <c r="E297" s="53" t="s">
        <v>25</v>
      </c>
      <c r="F297" s="53" t="s">
        <v>25</v>
      </c>
      <c r="G297" s="53" t="s">
        <v>25</v>
      </c>
      <c r="H297" s="53" t="s">
        <v>25</v>
      </c>
      <c r="I297" s="72">
        <v>44317</v>
      </c>
      <c r="J297" s="73">
        <f>EFEITO!$J$297*EFEITO!$Y$297</f>
        <v>0</v>
      </c>
      <c r="K297" s="73">
        <f ca="1">EFEITO!$L$297*EFEITO!$Z$297</f>
        <v>10048.203225656391</v>
      </c>
      <c r="L297" s="73">
        <f>EFEITO!$N$297*EFEITO!$AA$297</f>
        <v>3920.202741564101</v>
      </c>
      <c r="M297" s="73">
        <f>$J$297-EFEITO!$K$297*EFEITO!$Y$297</f>
        <v>0</v>
      </c>
      <c r="N297" s="73">
        <f ca="1">$K$297-EFEITO!$M$297*EFEITO!$Z$297</f>
        <v>0</v>
      </c>
      <c r="O297" s="73">
        <f>$L$297-EFEITO!$O$297*EFEITO!$AA$297</f>
        <v>0</v>
      </c>
      <c r="P297" s="57"/>
      <c r="Q297" s="57"/>
      <c r="R297" s="57"/>
      <c r="S297" s="57"/>
      <c r="T297" s="57"/>
      <c r="U297" s="57"/>
      <c r="V297" s="57"/>
      <c r="W297" s="57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r="298" spans="1:36" ht="11.25" customHeight="1" x14ac:dyDescent="0.2">
      <c r="A298" s="53" t="s">
        <v>21</v>
      </c>
      <c r="B298" s="53" t="s">
        <v>32</v>
      </c>
      <c r="C298" s="53" t="s">
        <v>23</v>
      </c>
      <c r="D298" s="53" t="s">
        <v>43</v>
      </c>
      <c r="E298" s="53" t="s">
        <v>25</v>
      </c>
      <c r="F298" s="53" t="s">
        <v>25</v>
      </c>
      <c r="G298" s="53" t="s">
        <v>25</v>
      </c>
      <c r="H298" s="53" t="s">
        <v>25</v>
      </c>
      <c r="I298" s="72">
        <v>44348</v>
      </c>
      <c r="J298" s="73">
        <f>EFEITO!$J$298*EFEITO!$Y$298</f>
        <v>0</v>
      </c>
      <c r="K298" s="73">
        <f ca="1">EFEITO!$L$298*EFEITO!$Z$298</f>
        <v>8592.1612050711628</v>
      </c>
      <c r="L298" s="73">
        <f>EFEITO!$N$298*EFEITO!$AA$298</f>
        <v>3352.1429807546879</v>
      </c>
      <c r="M298" s="73">
        <f>$J$298-EFEITO!$K$298*EFEITO!$Y$298</f>
        <v>0</v>
      </c>
      <c r="N298" s="73">
        <f ca="1">$K$298-EFEITO!$M$298*EFEITO!$Z$298</f>
        <v>0</v>
      </c>
      <c r="O298" s="73">
        <f>$L$298-EFEITO!$O$298*EFEITO!$AA$298</f>
        <v>0</v>
      </c>
      <c r="P298" s="57"/>
      <c r="Q298" s="57"/>
      <c r="R298" s="57"/>
      <c r="S298" s="57"/>
      <c r="T298" s="57"/>
      <c r="U298" s="57"/>
      <c r="V298" s="57"/>
      <c r="W298" s="57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r="299" spans="1:36" ht="11.25" customHeight="1" x14ac:dyDescent="0.2">
      <c r="A299" s="53" t="s">
        <v>21</v>
      </c>
      <c r="B299" s="53" t="s">
        <v>32</v>
      </c>
      <c r="C299" s="53" t="s">
        <v>23</v>
      </c>
      <c r="D299" s="53" t="s">
        <v>43</v>
      </c>
      <c r="E299" s="53" t="s">
        <v>25</v>
      </c>
      <c r="F299" s="53" t="s">
        <v>25</v>
      </c>
      <c r="G299" s="53" t="s">
        <v>25</v>
      </c>
      <c r="H299" s="53" t="s">
        <v>25</v>
      </c>
      <c r="I299" s="72">
        <v>44378</v>
      </c>
      <c r="J299" s="73">
        <f>EFEITO!$J$299*EFEITO!$Y$299</f>
        <v>0</v>
      </c>
      <c r="K299" s="73">
        <f ca="1">EFEITO!$L$299*EFEITO!$Z$299</f>
        <v>8683.6161715697381</v>
      </c>
      <c r="L299" s="73">
        <f>EFEITO!$N$299*EFEITO!$AA$299</f>
        <v>3387.8231916686095</v>
      </c>
      <c r="M299" s="73">
        <f>$J$299-EFEITO!$K$299*EFEITO!$Y$299</f>
        <v>0</v>
      </c>
      <c r="N299" s="73">
        <f ca="1">$K$299-EFEITO!$M$299*EFEITO!$Z$299</f>
        <v>0</v>
      </c>
      <c r="O299" s="73">
        <f>$L$299-EFEITO!$O$299*EFEITO!$AA$299</f>
        <v>0</v>
      </c>
      <c r="P299" s="57"/>
      <c r="Q299" s="57"/>
      <c r="R299" s="57"/>
      <c r="S299" s="57"/>
      <c r="T299" s="57"/>
      <c r="U299" s="57"/>
      <c r="V299" s="57"/>
      <c r="W299" s="57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r="300" spans="1:36" ht="11.25" customHeight="1" x14ac:dyDescent="0.2">
      <c r="A300" s="53" t="s">
        <v>21</v>
      </c>
      <c r="B300" s="53" t="s">
        <v>32</v>
      </c>
      <c r="C300" s="53" t="s">
        <v>23</v>
      </c>
      <c r="D300" s="53" t="s">
        <v>43</v>
      </c>
      <c r="E300" s="53" t="s">
        <v>25</v>
      </c>
      <c r="F300" s="53" t="s">
        <v>25</v>
      </c>
      <c r="G300" s="53" t="s">
        <v>25</v>
      </c>
      <c r="H300" s="53" t="s">
        <v>25</v>
      </c>
      <c r="I300" s="72">
        <v>44409</v>
      </c>
      <c r="J300" s="73">
        <f>EFEITO!$J$300*EFEITO!$Y$300</f>
        <v>0</v>
      </c>
      <c r="K300" s="73">
        <f ca="1">EFEITO!$L$300*EFEITO!$Z$300</f>
        <v>11199.614674379458</v>
      </c>
      <c r="L300" s="73">
        <f>EFEITO!$N$300*EFEITO!$AA$300</f>
        <v>4369.4140300487243</v>
      </c>
      <c r="M300" s="73">
        <f>$J$300-EFEITO!$K$300*EFEITO!$Y$300</f>
        <v>0</v>
      </c>
      <c r="N300" s="73">
        <f ca="1">$K$300-EFEITO!$M$300*EFEITO!$Z$300</f>
        <v>0</v>
      </c>
      <c r="O300" s="73">
        <f>$L$300-EFEITO!$O$300*EFEITO!$AA$300</f>
        <v>0</v>
      </c>
      <c r="P300" s="57"/>
      <c r="Q300" s="57"/>
      <c r="R300" s="57"/>
      <c r="S300" s="57"/>
      <c r="T300" s="57"/>
      <c r="U300" s="57"/>
      <c r="V300" s="57"/>
      <c r="W300" s="57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r="301" spans="1:36" ht="11.25" customHeight="1" x14ac:dyDescent="0.2">
      <c r="A301" s="53" t="s">
        <v>21</v>
      </c>
      <c r="B301" s="53" t="s">
        <v>32</v>
      </c>
      <c r="C301" s="53" t="s">
        <v>23</v>
      </c>
      <c r="D301" s="53" t="s">
        <v>43</v>
      </c>
      <c r="E301" s="53" t="s">
        <v>25</v>
      </c>
      <c r="F301" s="53" t="s">
        <v>25</v>
      </c>
      <c r="G301" s="53" t="s">
        <v>25</v>
      </c>
      <c r="H301" s="53" t="s">
        <v>25</v>
      </c>
      <c r="I301" s="72">
        <v>44440</v>
      </c>
      <c r="J301" s="73">
        <f>EFEITO!$J$301*EFEITO!$Y$301</f>
        <v>0</v>
      </c>
      <c r="K301" s="73">
        <f ca="1">EFEITO!$L$301*EFEITO!$Z$301</f>
        <v>10812.082478209237</v>
      </c>
      <c r="L301" s="73">
        <f>EFEITO!$N$301*EFEITO!$AA$301</f>
        <v>4218.2223449530429</v>
      </c>
      <c r="M301" s="73">
        <f>$J$301-EFEITO!$K$301*EFEITO!$Y$301</f>
        <v>0</v>
      </c>
      <c r="N301" s="73">
        <f ca="1">$K$301-EFEITO!$M$301*EFEITO!$Z$301</f>
        <v>0</v>
      </c>
      <c r="O301" s="73">
        <f>$L$301-EFEITO!$O$301*EFEITO!$AA$301</f>
        <v>0</v>
      </c>
      <c r="P301" s="57"/>
      <c r="Q301" s="57"/>
      <c r="R301" s="57"/>
      <c r="S301" s="57"/>
      <c r="T301" s="57"/>
      <c r="U301" s="57"/>
      <c r="V301" s="57"/>
      <c r="W301" s="57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r="302" spans="1:36" ht="11.25" customHeight="1" x14ac:dyDescent="0.2">
      <c r="A302" s="53" t="s">
        <v>21</v>
      </c>
      <c r="B302" s="53" t="s">
        <v>32</v>
      </c>
      <c r="C302" s="53" t="s">
        <v>23</v>
      </c>
      <c r="D302" s="53" t="s">
        <v>43</v>
      </c>
      <c r="E302" s="53" t="s">
        <v>25</v>
      </c>
      <c r="F302" s="53" t="s">
        <v>25</v>
      </c>
      <c r="G302" s="53" t="s">
        <v>25</v>
      </c>
      <c r="H302" s="53" t="s">
        <v>25</v>
      </c>
      <c r="I302" s="72">
        <v>44470</v>
      </c>
      <c r="J302" s="73">
        <f>EFEITO!$J$302*EFEITO!$Y$302</f>
        <v>0</v>
      </c>
      <c r="K302" s="73">
        <f ca="1">EFEITO!$L$302*EFEITO!$Z$302</f>
        <v>9161.9453848392641</v>
      </c>
      <c r="L302" s="73">
        <f>EFEITO!$N$302*EFEITO!$AA$302</f>
        <v>3574.4383955133649</v>
      </c>
      <c r="M302" s="73">
        <f>$J$302-EFEITO!$K$302*EFEITO!$Y$302</f>
        <v>0</v>
      </c>
      <c r="N302" s="73">
        <f ca="1">$K$302-EFEITO!$M$302*EFEITO!$Z$302</f>
        <v>0</v>
      </c>
      <c r="O302" s="73">
        <f>$L$302-EFEITO!$O$302*EFEITO!$AA$302</f>
        <v>0</v>
      </c>
      <c r="P302" s="57"/>
      <c r="Q302" s="57"/>
      <c r="R302" s="57"/>
      <c r="S302" s="57"/>
      <c r="T302" s="57"/>
      <c r="U302" s="57"/>
      <c r="V302" s="57"/>
      <c r="W302" s="57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r="303" spans="1:36" ht="11.25" customHeight="1" x14ac:dyDescent="0.2">
      <c r="A303" s="53" t="s">
        <v>21</v>
      </c>
      <c r="B303" s="53" t="s">
        <v>32</v>
      </c>
      <c r="C303" s="53" t="s">
        <v>23</v>
      </c>
      <c r="D303" s="53" t="s">
        <v>43</v>
      </c>
      <c r="E303" s="53" t="s">
        <v>25</v>
      </c>
      <c r="F303" s="53" t="s">
        <v>25</v>
      </c>
      <c r="G303" s="53" t="s">
        <v>25</v>
      </c>
      <c r="H303" s="53" t="s">
        <v>25</v>
      </c>
      <c r="I303" s="72">
        <v>44501</v>
      </c>
      <c r="J303" s="73">
        <f>EFEITO!$J$303*EFEITO!$Y$303</f>
        <v>0</v>
      </c>
      <c r="K303" s="73">
        <f ca="1">EFEITO!$L$303*EFEITO!$Z$303</f>
        <v>12194.434166076187</v>
      </c>
      <c r="L303" s="73">
        <f>EFEITO!$N$303*EFEITO!$AA$303</f>
        <v>4757.5325832994395</v>
      </c>
      <c r="M303" s="73">
        <f>$J$303-EFEITO!$K$303*EFEITO!$Y$303</f>
        <v>0</v>
      </c>
      <c r="N303" s="73">
        <f ca="1">$K$303-EFEITO!$M$303*EFEITO!$Z$303</f>
        <v>0</v>
      </c>
      <c r="O303" s="73">
        <f>$L$303-EFEITO!$O$303*EFEITO!$AA$303</f>
        <v>0</v>
      </c>
      <c r="P303" s="57"/>
      <c r="Q303" s="57"/>
      <c r="R303" s="57"/>
      <c r="S303" s="57"/>
      <c r="T303" s="57"/>
      <c r="U303" s="57"/>
      <c r="V303" s="57"/>
      <c r="W303" s="57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r="304" spans="1:36" ht="11.25" customHeight="1" x14ac:dyDescent="0.2">
      <c r="A304" s="53" t="s">
        <v>21</v>
      </c>
      <c r="B304" s="53" t="s">
        <v>32</v>
      </c>
      <c r="C304" s="53" t="s">
        <v>23</v>
      </c>
      <c r="D304" s="53" t="s">
        <v>43</v>
      </c>
      <c r="E304" s="53" t="s">
        <v>25</v>
      </c>
      <c r="F304" s="53" t="s">
        <v>25</v>
      </c>
      <c r="G304" s="53" t="s">
        <v>25</v>
      </c>
      <c r="H304" s="53" t="s">
        <v>25</v>
      </c>
      <c r="I304" s="72">
        <v>44531</v>
      </c>
      <c r="J304" s="73">
        <f>EFEITO!$J$304*EFEITO!$Y$304</f>
        <v>0</v>
      </c>
      <c r="K304" s="73">
        <f ca="1">EFEITO!$L$304*EFEITO!$Z$304</f>
        <v>12958.971368028306</v>
      </c>
      <c r="L304" s="73">
        <f>EFEITO!$N$304*EFEITO!$AA$304</f>
        <v>5055.8088788532305</v>
      </c>
      <c r="M304" s="73">
        <f>$J$304-EFEITO!$K$304*EFEITO!$Y$304</f>
        <v>0</v>
      </c>
      <c r="N304" s="73">
        <f ca="1">$K$304-EFEITO!$M$304*EFEITO!$Z$304</f>
        <v>0</v>
      </c>
      <c r="O304" s="73">
        <f>$L$304-EFEITO!$O$304*EFEITO!$AA$304</f>
        <v>0</v>
      </c>
      <c r="P304" s="57"/>
      <c r="Q304" s="57"/>
      <c r="R304" s="57"/>
      <c r="S304" s="57"/>
      <c r="T304" s="57"/>
      <c r="U304" s="57"/>
      <c r="V304" s="57"/>
      <c r="W304" s="57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r="305" spans="1:36" ht="11.25" customHeight="1" x14ac:dyDescent="0.2">
      <c r="A305" s="53" t="s">
        <v>21</v>
      </c>
      <c r="B305" s="53" t="s">
        <v>32</v>
      </c>
      <c r="C305" s="53" t="s">
        <v>23</v>
      </c>
      <c r="D305" s="53" t="s">
        <v>43</v>
      </c>
      <c r="E305" s="53" t="s">
        <v>25</v>
      </c>
      <c r="F305" s="53" t="s">
        <v>25</v>
      </c>
      <c r="G305" s="53" t="s">
        <v>25</v>
      </c>
      <c r="H305" s="53" t="s">
        <v>25</v>
      </c>
      <c r="I305" s="72">
        <v>44562</v>
      </c>
      <c r="J305" s="73">
        <f>EFEITO!$J$305*EFEITO!$Y$305</f>
        <v>0</v>
      </c>
      <c r="K305" s="73">
        <f ca="1">EFEITO!$L$305*EFEITO!$Z$305</f>
        <v>10839.716352978592</v>
      </c>
      <c r="L305" s="73">
        <f>EFEITO!$N$305*EFEITO!$AA$305</f>
        <v>4229.0034158766739</v>
      </c>
      <c r="M305" s="73">
        <f>$J$305-EFEITO!$K$305*EFEITO!$Y$305</f>
        <v>0</v>
      </c>
      <c r="N305" s="73">
        <f ca="1">$K$305-EFEITO!$M$305*EFEITO!$Z$305</f>
        <v>0</v>
      </c>
      <c r="O305" s="73">
        <f>$L$305-EFEITO!$O$305*EFEITO!$AA$305</f>
        <v>0</v>
      </c>
      <c r="P305" s="57"/>
      <c r="Q305" s="57"/>
      <c r="R305" s="57"/>
      <c r="S305" s="57"/>
      <c r="T305" s="57"/>
      <c r="U305" s="57"/>
      <c r="V305" s="57"/>
      <c r="W305" s="57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r="306" spans="1:36" ht="11.25" customHeight="1" x14ac:dyDescent="0.2">
      <c r="A306" s="53" t="s">
        <v>21</v>
      </c>
      <c r="B306" s="53" t="s">
        <v>32</v>
      </c>
      <c r="C306" s="53" t="s">
        <v>23</v>
      </c>
      <c r="D306" s="53" t="s">
        <v>43</v>
      </c>
      <c r="E306" s="53" t="s">
        <v>25</v>
      </c>
      <c r="F306" s="53" t="s">
        <v>25</v>
      </c>
      <c r="G306" s="53" t="s">
        <v>25</v>
      </c>
      <c r="H306" s="53" t="s">
        <v>25</v>
      </c>
      <c r="I306" s="72">
        <v>44593</v>
      </c>
      <c r="J306" s="73">
        <f>EFEITO!$J$306*EFEITO!$Y$306</f>
        <v>0</v>
      </c>
      <c r="K306" s="73">
        <f ca="1">EFEITO!$L$306*EFEITO!$Z$306</f>
        <v>10756.156779271259</v>
      </c>
      <c r="L306" s="73">
        <f>EFEITO!$N$306*EFEITO!$AA$306</f>
        <v>4196.4035109409324</v>
      </c>
      <c r="M306" s="73">
        <f>$J$306-EFEITO!$K$306*EFEITO!$Y$306</f>
        <v>0</v>
      </c>
      <c r="N306" s="73">
        <f ca="1">$K$306-EFEITO!$M$306*EFEITO!$Z$306</f>
        <v>0</v>
      </c>
      <c r="O306" s="73">
        <f>$L$306-EFEITO!$O$306*EFEITO!$AA$306</f>
        <v>0</v>
      </c>
      <c r="P306" s="57"/>
      <c r="Q306" s="57"/>
      <c r="R306" s="57"/>
      <c r="S306" s="57"/>
      <c r="T306" s="57"/>
      <c r="U306" s="57"/>
      <c r="V306" s="57"/>
      <c r="W306" s="57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r="307" spans="1:36" ht="11.25" customHeight="1" x14ac:dyDescent="0.2">
      <c r="A307" s="53" t="s">
        <v>21</v>
      </c>
      <c r="B307" s="53" t="s">
        <v>32</v>
      </c>
      <c r="C307" s="53" t="s">
        <v>23</v>
      </c>
      <c r="D307" s="53" t="s">
        <v>43</v>
      </c>
      <c r="E307" s="53" t="s">
        <v>25</v>
      </c>
      <c r="F307" s="53" t="s">
        <v>25</v>
      </c>
      <c r="G307" s="53" t="s">
        <v>25</v>
      </c>
      <c r="H307" s="53" t="s">
        <v>25</v>
      </c>
      <c r="I307" s="72">
        <v>44621</v>
      </c>
      <c r="J307" s="73">
        <f>EFEITO!$J$307*EFEITO!$Y$307</f>
        <v>0</v>
      </c>
      <c r="K307" s="73">
        <f ca="1">EFEITO!$L$307*EFEITO!$Z$307</f>
        <v>13218.861380740083</v>
      </c>
      <c r="L307" s="73">
        <f>EFEITO!$N$307*EFEITO!$AA$307</f>
        <v>5157.2022839683314</v>
      </c>
      <c r="M307" s="73">
        <f>$J$307-EFEITO!$K$307*EFEITO!$Y$307</f>
        <v>0</v>
      </c>
      <c r="N307" s="73">
        <f ca="1">$K$307-EFEITO!$M$307*EFEITO!$Z$307</f>
        <v>0</v>
      </c>
      <c r="O307" s="73">
        <f>$L$307-EFEITO!$O$307*EFEITO!$AA$307</f>
        <v>0</v>
      </c>
      <c r="P307" s="57"/>
      <c r="Q307" s="57"/>
      <c r="R307" s="57"/>
      <c r="S307" s="57"/>
      <c r="T307" s="57"/>
      <c r="U307" s="57"/>
      <c r="V307" s="57"/>
      <c r="W307" s="57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r="308" spans="1:36" ht="11.25" customHeight="1" x14ac:dyDescent="0.2">
      <c r="A308" s="53" t="s">
        <v>21</v>
      </c>
      <c r="B308" s="53" t="s">
        <v>32</v>
      </c>
      <c r="C308" s="53" t="s">
        <v>23</v>
      </c>
      <c r="D308" s="53" t="s">
        <v>43</v>
      </c>
      <c r="E308" s="53" t="s">
        <v>25</v>
      </c>
      <c r="F308" s="53" t="s">
        <v>25</v>
      </c>
      <c r="G308" s="53" t="s">
        <v>25</v>
      </c>
      <c r="H308" s="53" t="s">
        <v>25</v>
      </c>
      <c r="I308" s="72">
        <v>44652</v>
      </c>
      <c r="J308" s="73">
        <f>EFEITO!$J$308*EFEITO!$Y$308</f>
        <v>0</v>
      </c>
      <c r="K308" s="73">
        <f ca="1">EFEITO!$L$308*EFEITO!$Z$308</f>
        <v>13272.81323148025</v>
      </c>
      <c r="L308" s="73">
        <f>EFEITO!$N$308*EFEITO!$AA$308</f>
        <v>5178.2510414858962</v>
      </c>
      <c r="M308" s="73">
        <f>$J$308-EFEITO!$K$308*EFEITO!$Y$308</f>
        <v>0</v>
      </c>
      <c r="N308" s="73">
        <f ca="1">$K$308-EFEITO!$M$308*EFEITO!$Z$308</f>
        <v>0</v>
      </c>
      <c r="O308" s="73">
        <f>$L$308-EFEITO!$O$308*EFEITO!$AA$308</f>
        <v>0</v>
      </c>
      <c r="P308" s="57"/>
      <c r="Q308" s="57"/>
      <c r="R308" s="57"/>
      <c r="S308" s="57"/>
      <c r="T308" s="57"/>
      <c r="U308" s="57"/>
      <c r="V308" s="57"/>
      <c r="W308" s="57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r="309" spans="1:36" ht="11.25" customHeight="1" x14ac:dyDescent="0.2">
      <c r="A309" s="53" t="s">
        <v>21</v>
      </c>
      <c r="B309" s="53" t="s">
        <v>32</v>
      </c>
      <c r="C309" s="53" t="s">
        <v>23</v>
      </c>
      <c r="D309" s="53" t="s">
        <v>47</v>
      </c>
      <c r="E309" s="53" t="s">
        <v>48</v>
      </c>
      <c r="F309" s="53" t="s">
        <v>25</v>
      </c>
      <c r="G309" s="53" t="s">
        <v>25</v>
      </c>
      <c r="H309" s="53" t="s">
        <v>25</v>
      </c>
      <c r="I309" s="72">
        <v>44317</v>
      </c>
      <c r="J309" s="73">
        <f>EFEITO!$J$309*EFEITO!$Y$308</f>
        <v>0</v>
      </c>
      <c r="K309" s="73">
        <f ca="1">EFEITO!$L$309*EFEITO!$Z$308</f>
        <v>39720.405233949466</v>
      </c>
      <c r="L309" s="73">
        <f>EFEITO!$N$309*EFEITO!$AA$308</f>
        <v>15496.505991895283</v>
      </c>
      <c r="M309" s="73">
        <f>$J$309-EFEITO!$K$309*EFEITO!$Y$309</f>
        <v>0</v>
      </c>
      <c r="N309" s="73">
        <f ca="1">$K$309-EFEITO!$M$309*EFEITO!$Z$309</f>
        <v>1191.6121570184769</v>
      </c>
      <c r="O309" s="73">
        <f>$L$309-EFEITO!$O$309*EFEITO!$AA$309</f>
        <v>464.89517975685885</v>
      </c>
      <c r="P309" s="57"/>
      <c r="Q309" s="57"/>
      <c r="R309" s="57"/>
      <c r="S309" s="57"/>
      <c r="T309" s="57"/>
      <c r="U309" s="57"/>
      <c r="V309" s="57"/>
      <c r="W309" s="57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r="310" spans="1:36" ht="11.25" customHeight="1" x14ac:dyDescent="0.2">
      <c r="A310" s="53" t="s">
        <v>21</v>
      </c>
      <c r="B310" s="53" t="s">
        <v>32</v>
      </c>
      <c r="C310" s="53" t="s">
        <v>23</v>
      </c>
      <c r="D310" s="53" t="s">
        <v>47</v>
      </c>
      <c r="E310" s="53" t="s">
        <v>48</v>
      </c>
      <c r="F310" s="53" t="s">
        <v>25</v>
      </c>
      <c r="G310" s="53" t="s">
        <v>25</v>
      </c>
      <c r="H310" s="53" t="s">
        <v>25</v>
      </c>
      <c r="I310" s="72">
        <v>44348</v>
      </c>
      <c r="J310" s="73">
        <f>EFEITO!$J$310*EFEITO!$Y$308</f>
        <v>0</v>
      </c>
      <c r="K310" s="73">
        <f ca="1">EFEITO!$L$310*EFEITO!$Z$308</f>
        <v>43493.087089365508</v>
      </c>
      <c r="L310" s="73">
        <f>EFEITO!$N$310*EFEITO!$AA$308</f>
        <v>16968.378865135761</v>
      </c>
      <c r="M310" s="73">
        <f>$J$310-EFEITO!$K$310*EFEITO!$Y$310</f>
        <v>0</v>
      </c>
      <c r="N310" s="73">
        <f ca="1">$K$310-EFEITO!$M$310*EFEITO!$Z$310</f>
        <v>1304.7926126809616</v>
      </c>
      <c r="O310" s="73">
        <f>$L$310-EFEITO!$O$310*EFEITO!$AA$310</f>
        <v>509.05136595407384</v>
      </c>
      <c r="P310" s="57"/>
      <c r="Q310" s="57"/>
      <c r="R310" s="57"/>
      <c r="S310" s="57"/>
      <c r="T310" s="57"/>
      <c r="U310" s="57"/>
      <c r="V310" s="57"/>
      <c r="W310" s="57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r="311" spans="1:36" ht="11.25" customHeight="1" x14ac:dyDescent="0.2">
      <c r="A311" s="53" t="s">
        <v>21</v>
      </c>
      <c r="B311" s="53" t="s">
        <v>32</v>
      </c>
      <c r="C311" s="53" t="s">
        <v>23</v>
      </c>
      <c r="D311" s="53" t="s">
        <v>47</v>
      </c>
      <c r="E311" s="53" t="s">
        <v>48</v>
      </c>
      <c r="F311" s="53" t="s">
        <v>25</v>
      </c>
      <c r="G311" s="53" t="s">
        <v>25</v>
      </c>
      <c r="H311" s="53" t="s">
        <v>25</v>
      </c>
      <c r="I311" s="72">
        <v>44378</v>
      </c>
      <c r="J311" s="73">
        <f>EFEITO!$J$311*EFEITO!$Y$308</f>
        <v>0</v>
      </c>
      <c r="K311" s="73">
        <f ca="1">EFEITO!$L$311*EFEITO!$Z$308</f>
        <v>42233.771939162107</v>
      </c>
      <c r="L311" s="73">
        <f>EFEITO!$N$311*EFEITO!$AA$308</f>
        <v>16477.070061616007</v>
      </c>
      <c r="M311" s="73">
        <f>$J$311-EFEITO!$K$311*EFEITO!$Y$311</f>
        <v>0</v>
      </c>
      <c r="N311" s="73">
        <f ca="1">$K$311-EFEITO!$M$311*EFEITO!$Z$311</f>
        <v>1267.0131581748574</v>
      </c>
      <c r="O311" s="73">
        <f>$L$311-EFEITO!$O$311*EFEITO!$AA$311</f>
        <v>494.31210184848351</v>
      </c>
      <c r="P311" s="57"/>
      <c r="Q311" s="57"/>
      <c r="R311" s="57"/>
      <c r="S311" s="57"/>
      <c r="T311" s="57"/>
      <c r="U311" s="57"/>
      <c r="V311" s="57"/>
      <c r="W311" s="57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r="312" spans="1:36" ht="11.25" customHeight="1" x14ac:dyDescent="0.2">
      <c r="A312" s="53" t="s">
        <v>21</v>
      </c>
      <c r="B312" s="53" t="s">
        <v>32</v>
      </c>
      <c r="C312" s="53" t="s">
        <v>23</v>
      </c>
      <c r="D312" s="53" t="s">
        <v>47</v>
      </c>
      <c r="E312" s="53" t="s">
        <v>48</v>
      </c>
      <c r="F312" s="53" t="s">
        <v>25</v>
      </c>
      <c r="G312" s="53" t="s">
        <v>25</v>
      </c>
      <c r="H312" s="53" t="s">
        <v>25</v>
      </c>
      <c r="I312" s="72">
        <v>44409</v>
      </c>
      <c r="J312" s="73">
        <f>EFEITO!$J$312*EFEITO!$Y$308</f>
        <v>0</v>
      </c>
      <c r="K312" s="73">
        <f ca="1">EFEITO!$L$312*EFEITO!$Z$308</f>
        <v>36617.515866990623</v>
      </c>
      <c r="L312" s="73">
        <f>EFEITO!$N$312*EFEITO!$AA$308</f>
        <v>14285.945742470434</v>
      </c>
      <c r="M312" s="73">
        <f>$J$312-EFEITO!$K$312*EFEITO!$Y$312</f>
        <v>0</v>
      </c>
      <c r="N312" s="73">
        <f ca="1">$K$312-EFEITO!$M$312*EFEITO!$Z$312</f>
        <v>1098.5254760097159</v>
      </c>
      <c r="O312" s="73">
        <f>$L$312-EFEITO!$O$312*EFEITO!$AA$312</f>
        <v>428.57837227411255</v>
      </c>
      <c r="P312" s="57"/>
      <c r="Q312" s="57"/>
      <c r="R312" s="57"/>
      <c r="S312" s="57"/>
      <c r="T312" s="57"/>
      <c r="U312" s="57"/>
      <c r="V312" s="57"/>
      <c r="W312" s="57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r="313" spans="1:36" ht="11.25" customHeight="1" x14ac:dyDescent="0.2">
      <c r="A313" s="53" t="s">
        <v>21</v>
      </c>
      <c r="B313" s="53" t="s">
        <v>32</v>
      </c>
      <c r="C313" s="53" t="s">
        <v>23</v>
      </c>
      <c r="D313" s="53" t="s">
        <v>47</v>
      </c>
      <c r="E313" s="53" t="s">
        <v>48</v>
      </c>
      <c r="F313" s="53" t="s">
        <v>25</v>
      </c>
      <c r="G313" s="53" t="s">
        <v>25</v>
      </c>
      <c r="H313" s="53" t="s">
        <v>25</v>
      </c>
      <c r="I313" s="72">
        <v>44440</v>
      </c>
      <c r="J313" s="73">
        <f>EFEITO!$J$313*EFEITO!$Y$308</f>
        <v>0</v>
      </c>
      <c r="K313" s="73">
        <f ca="1">EFEITO!$L$313*EFEITO!$Z$308</f>
        <v>43097.001551004774</v>
      </c>
      <c r="L313" s="73">
        <f>EFEITO!$N$313*EFEITO!$AA$308</f>
        <v>16813.850181897047</v>
      </c>
      <c r="M313" s="73">
        <f>$J$313-EFEITO!$K$313*EFEITO!$Y$313</f>
        <v>0</v>
      </c>
      <c r="N313" s="73">
        <f ca="1">$K$313-EFEITO!$M$313*EFEITO!$Z$313</f>
        <v>1292.9100465301453</v>
      </c>
      <c r="O313" s="73">
        <f>$L$313-EFEITO!$O$313*EFEITO!$AA$313</f>
        <v>504.41550545691098</v>
      </c>
      <c r="P313" s="57"/>
      <c r="Q313" s="57"/>
      <c r="R313" s="57"/>
      <c r="S313" s="57"/>
      <c r="T313" s="57"/>
      <c r="U313" s="57"/>
      <c r="V313" s="57"/>
      <c r="W313" s="57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r="314" spans="1:36" ht="11.25" customHeight="1" x14ac:dyDescent="0.2">
      <c r="A314" s="53" t="s">
        <v>21</v>
      </c>
      <c r="B314" s="53" t="s">
        <v>32</v>
      </c>
      <c r="C314" s="53" t="s">
        <v>23</v>
      </c>
      <c r="D314" s="53" t="s">
        <v>47</v>
      </c>
      <c r="E314" s="53" t="s">
        <v>48</v>
      </c>
      <c r="F314" s="53" t="s">
        <v>25</v>
      </c>
      <c r="G314" s="53" t="s">
        <v>25</v>
      </c>
      <c r="H314" s="53" t="s">
        <v>25</v>
      </c>
      <c r="I314" s="72">
        <v>44470</v>
      </c>
      <c r="J314" s="73">
        <f>EFEITO!$J$314*EFEITO!$Y$308</f>
        <v>0</v>
      </c>
      <c r="K314" s="73">
        <f ca="1">EFEITO!$L$314*EFEITO!$Z$308</f>
        <v>37963.680337897706</v>
      </c>
      <c r="L314" s="73">
        <f>EFEITO!$N$314*EFEITO!$AA$308</f>
        <v>14811.137911750173</v>
      </c>
      <c r="M314" s="73">
        <f>$J$314-EFEITO!$K$314*EFEITO!$Y$314</f>
        <v>0</v>
      </c>
      <c r="N314" s="73">
        <f ca="1">$K$314-EFEITO!$M$314*EFEITO!$Z$314</f>
        <v>1138.9104101369303</v>
      </c>
      <c r="O314" s="73">
        <f>$L$314-EFEITO!$O$314*EFEITO!$AA$314</f>
        <v>444.33413735250724</v>
      </c>
      <c r="P314" s="57"/>
      <c r="Q314" s="57"/>
      <c r="R314" s="57"/>
      <c r="S314" s="57"/>
      <c r="T314" s="57"/>
      <c r="U314" s="57"/>
      <c r="V314" s="57"/>
      <c r="W314" s="57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r="315" spans="1:36" ht="11.25" customHeight="1" x14ac:dyDescent="0.2">
      <c r="A315" s="53" t="s">
        <v>21</v>
      </c>
      <c r="B315" s="53" t="s">
        <v>32</v>
      </c>
      <c r="C315" s="53" t="s">
        <v>23</v>
      </c>
      <c r="D315" s="53" t="s">
        <v>47</v>
      </c>
      <c r="E315" s="53" t="s">
        <v>48</v>
      </c>
      <c r="F315" s="53" t="s">
        <v>25</v>
      </c>
      <c r="G315" s="53" t="s">
        <v>25</v>
      </c>
      <c r="H315" s="53" t="s">
        <v>25</v>
      </c>
      <c r="I315" s="72">
        <v>44501</v>
      </c>
      <c r="J315" s="73">
        <f>EFEITO!$J$315*EFEITO!$Y$308</f>
        <v>0</v>
      </c>
      <c r="K315" s="73">
        <f ca="1">EFEITO!$L$315*EFEITO!$Z$308</f>
        <v>43968.784505037955</v>
      </c>
      <c r="L315" s="73">
        <f>EFEITO!$N$315*EFEITO!$AA$308</f>
        <v>17153.967300321121</v>
      </c>
      <c r="M315" s="73">
        <f>$J$315-EFEITO!$K$315*EFEITO!$Y$315</f>
        <v>0</v>
      </c>
      <c r="N315" s="73">
        <f ca="1">$K$315-EFEITO!$M$315*EFEITO!$Z$315</f>
        <v>1319.0635351511373</v>
      </c>
      <c r="O315" s="73">
        <f>$L$315-EFEITO!$O$315*EFEITO!$AA$315</f>
        <v>514.61901900963494</v>
      </c>
      <c r="P315" s="57"/>
      <c r="Q315" s="57"/>
      <c r="R315" s="57"/>
      <c r="S315" s="57"/>
      <c r="T315" s="57"/>
      <c r="U315" s="57"/>
      <c r="V315" s="57"/>
      <c r="W315" s="57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r="316" spans="1:36" ht="11.25" customHeight="1" x14ac:dyDescent="0.2">
      <c r="A316" s="53" t="s">
        <v>21</v>
      </c>
      <c r="B316" s="53" t="s">
        <v>32</v>
      </c>
      <c r="C316" s="53" t="s">
        <v>23</v>
      </c>
      <c r="D316" s="53" t="s">
        <v>47</v>
      </c>
      <c r="E316" s="53" t="s">
        <v>48</v>
      </c>
      <c r="F316" s="53" t="s">
        <v>25</v>
      </c>
      <c r="G316" s="53" t="s">
        <v>25</v>
      </c>
      <c r="H316" s="53" t="s">
        <v>25</v>
      </c>
      <c r="I316" s="72">
        <v>44531</v>
      </c>
      <c r="J316" s="73">
        <f>EFEITO!$J$316*EFEITO!$Y$308</f>
        <v>0</v>
      </c>
      <c r="K316" s="73">
        <f ca="1">EFEITO!$L$316*EFEITO!$Z$308</f>
        <v>42838.427437091537</v>
      </c>
      <c r="L316" s="73">
        <f>EFEITO!$N$316*EFEITO!$AA$308</f>
        <v>16712.970161111643</v>
      </c>
      <c r="M316" s="73">
        <f>$J$316-EFEITO!$K$316*EFEITO!$Y$316</f>
        <v>0</v>
      </c>
      <c r="N316" s="73">
        <f ca="1">$K$316-EFEITO!$M$316*EFEITO!$Z$316</f>
        <v>1285.152823112745</v>
      </c>
      <c r="O316" s="73">
        <f>$L$316-EFEITO!$O$316*EFEITO!$AA$316</f>
        <v>501.38910483334985</v>
      </c>
      <c r="P316" s="57"/>
      <c r="Q316" s="57"/>
      <c r="R316" s="57"/>
      <c r="S316" s="57"/>
      <c r="T316" s="57"/>
      <c r="U316" s="57"/>
      <c r="V316" s="57"/>
      <c r="W316" s="57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r="317" spans="1:36" ht="11.25" customHeight="1" x14ac:dyDescent="0.2">
      <c r="A317" s="53" t="s">
        <v>21</v>
      </c>
      <c r="B317" s="53" t="s">
        <v>32</v>
      </c>
      <c r="C317" s="53" t="s">
        <v>23</v>
      </c>
      <c r="D317" s="53" t="s">
        <v>47</v>
      </c>
      <c r="E317" s="53" t="s">
        <v>48</v>
      </c>
      <c r="F317" s="53" t="s">
        <v>25</v>
      </c>
      <c r="G317" s="53" t="s">
        <v>25</v>
      </c>
      <c r="H317" s="53" t="s">
        <v>25</v>
      </c>
      <c r="I317" s="72">
        <v>44562</v>
      </c>
      <c r="J317" s="73">
        <f>EFEITO!$J$317*EFEITO!$Y$308</f>
        <v>0</v>
      </c>
      <c r="K317" s="73">
        <f ca="1">EFEITO!$L$317*EFEITO!$Z$308</f>
        <v>36543.82553427235</v>
      </c>
      <c r="L317" s="73">
        <f>EFEITO!$N$317*EFEITO!$AA$308</f>
        <v>14257.196220007419</v>
      </c>
      <c r="M317" s="73">
        <f>$J$317-EFEITO!$K$317*EFEITO!$Y$317</f>
        <v>0</v>
      </c>
      <c r="N317" s="73">
        <f ca="1">$K$317-EFEITO!$M$317*EFEITO!$Z$317</f>
        <v>1096.3147660281684</v>
      </c>
      <c r="O317" s="73">
        <f>$L$317-EFEITO!$O$317*EFEITO!$AA$317</f>
        <v>427.71588660022462</v>
      </c>
      <c r="P317" s="57"/>
      <c r="Q317" s="57"/>
      <c r="R317" s="57"/>
      <c r="S317" s="57"/>
      <c r="T317" s="57"/>
      <c r="U317" s="57"/>
      <c r="V317" s="57"/>
      <c r="W317" s="57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r="318" spans="1:36" ht="11.25" customHeight="1" x14ac:dyDescent="0.2">
      <c r="A318" s="53" t="s">
        <v>21</v>
      </c>
      <c r="B318" s="53" t="s">
        <v>32</v>
      </c>
      <c r="C318" s="53" t="s">
        <v>23</v>
      </c>
      <c r="D318" s="53" t="s">
        <v>47</v>
      </c>
      <c r="E318" s="53" t="s">
        <v>48</v>
      </c>
      <c r="F318" s="53" t="s">
        <v>25</v>
      </c>
      <c r="G318" s="53" t="s">
        <v>25</v>
      </c>
      <c r="H318" s="53" t="s">
        <v>25</v>
      </c>
      <c r="I318" s="72">
        <v>44593</v>
      </c>
      <c r="J318" s="73">
        <f>EFEITO!$J$318*EFEITO!$Y$308</f>
        <v>0</v>
      </c>
      <c r="K318" s="73">
        <f ca="1">EFEITO!$L$318*EFEITO!$Z$308</f>
        <v>37466.270592049339</v>
      </c>
      <c r="L318" s="73">
        <f>EFEITO!$N$318*EFEITO!$AA$308</f>
        <v>14617.078635124815</v>
      </c>
      <c r="M318" s="73">
        <f>$J$318-EFEITO!$K$318*EFEITO!$Y$318</f>
        <v>0</v>
      </c>
      <c r="N318" s="73">
        <f ca="1">$K$318-EFEITO!$M$318*EFEITO!$Z$318</f>
        <v>1123.9881177614734</v>
      </c>
      <c r="O318" s="73">
        <f>$L$318-EFEITO!$O$318*EFEITO!$AA$318</f>
        <v>438.51235905374597</v>
      </c>
      <c r="P318" s="57"/>
      <c r="Q318" s="57"/>
      <c r="R318" s="57"/>
      <c r="S318" s="57"/>
      <c r="T318" s="57"/>
      <c r="U318" s="57"/>
      <c r="V318" s="57"/>
      <c r="W318" s="57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r="319" spans="1:36" ht="11.25" customHeight="1" x14ac:dyDescent="0.2">
      <c r="A319" s="53" t="s">
        <v>21</v>
      </c>
      <c r="B319" s="53" t="s">
        <v>32</v>
      </c>
      <c r="C319" s="53" t="s">
        <v>23</v>
      </c>
      <c r="D319" s="53" t="s">
        <v>47</v>
      </c>
      <c r="E319" s="53" t="s">
        <v>48</v>
      </c>
      <c r="F319" s="53" t="s">
        <v>25</v>
      </c>
      <c r="G319" s="53" t="s">
        <v>25</v>
      </c>
      <c r="H319" s="53" t="s">
        <v>25</v>
      </c>
      <c r="I319" s="72">
        <v>44621</v>
      </c>
      <c r="J319" s="73">
        <f>EFEITO!$J$319*EFEITO!$Y$308</f>
        <v>0</v>
      </c>
      <c r="K319" s="73">
        <f ca="1">EFEITO!$L$319*EFEITO!$Z$308</f>
        <v>40466.51985272202</v>
      </c>
      <c r="L319" s="73">
        <f>EFEITO!$N$319*EFEITO!$AA$308</f>
        <v>15787.594906833319</v>
      </c>
      <c r="M319" s="73">
        <f>$J$319-EFEITO!$K$319*EFEITO!$Y$319</f>
        <v>0</v>
      </c>
      <c r="N319" s="73">
        <f ca="1">$K$319-EFEITO!$M$319*EFEITO!$Z$319</f>
        <v>1213.9955955816622</v>
      </c>
      <c r="O319" s="73">
        <f>$L$319-EFEITO!$O$319*EFEITO!$AA$319</f>
        <v>473.62784720500167</v>
      </c>
      <c r="P319" s="57"/>
      <c r="Q319" s="57"/>
      <c r="R319" s="57"/>
      <c r="S319" s="57"/>
      <c r="T319" s="57"/>
      <c r="U319" s="57"/>
      <c r="V319" s="57"/>
      <c r="W319" s="57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r="320" spans="1:36" ht="11.25" customHeight="1" x14ac:dyDescent="0.2">
      <c r="A320" s="53" t="s">
        <v>21</v>
      </c>
      <c r="B320" s="53" t="s">
        <v>32</v>
      </c>
      <c r="C320" s="53" t="s">
        <v>23</v>
      </c>
      <c r="D320" s="53" t="s">
        <v>47</v>
      </c>
      <c r="E320" s="53" t="s">
        <v>48</v>
      </c>
      <c r="F320" s="53" t="s">
        <v>25</v>
      </c>
      <c r="G320" s="53" t="s">
        <v>25</v>
      </c>
      <c r="H320" s="53" t="s">
        <v>25</v>
      </c>
      <c r="I320" s="72">
        <v>44652</v>
      </c>
      <c r="J320" s="73">
        <f>EFEITO!$J$320*EFEITO!$Y$308</f>
        <v>0</v>
      </c>
      <c r="K320" s="73">
        <f ca="1">EFEITO!$L$320*EFEITO!$Z$308</f>
        <v>49309.359778915175</v>
      </c>
      <c r="L320" s="73">
        <f>EFEITO!$N$320*EFEITO!$AA$308</f>
        <v>19237.537602395234</v>
      </c>
      <c r="M320" s="73">
        <f>$J$320-EFEITO!$K$320*EFEITO!$Y$320</f>
        <v>0</v>
      </c>
      <c r="N320" s="73">
        <f ca="1">$K$320-EFEITO!$M$320*EFEITO!$Z$320</f>
        <v>1479.2807933674485</v>
      </c>
      <c r="O320" s="73">
        <f>$L$320-EFEITO!$O$320*EFEITO!$AA$320</f>
        <v>577.12612807186088</v>
      </c>
      <c r="P320" s="57"/>
      <c r="Q320" s="57"/>
      <c r="R320" s="57"/>
      <c r="S320" s="57"/>
      <c r="T320" s="57"/>
      <c r="U320" s="57"/>
      <c r="V320" s="57"/>
      <c r="W320" s="57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r="321" spans="1:36" ht="11.25" customHeight="1" x14ac:dyDescent="0.2">
      <c r="A321" s="53" t="s">
        <v>21</v>
      </c>
      <c r="B321" s="53" t="s">
        <v>44</v>
      </c>
      <c r="C321" s="53" t="s">
        <v>23</v>
      </c>
      <c r="D321" s="53" t="s">
        <v>45</v>
      </c>
      <c r="E321" s="53" t="s">
        <v>46</v>
      </c>
      <c r="F321" s="53" t="s">
        <v>25</v>
      </c>
      <c r="G321" s="53" t="s">
        <v>25</v>
      </c>
      <c r="H321" s="53" t="s">
        <v>25</v>
      </c>
      <c r="I321" s="72">
        <v>44317</v>
      </c>
      <c r="J321" s="73">
        <f>EFEITO!$J$321*EFEITO!$Y$321</f>
        <v>0</v>
      </c>
      <c r="K321" s="73">
        <f ca="1">EFEITO!$L$321*EFEITO!$Z$321</f>
        <v>47867.726850173975</v>
      </c>
      <c r="L321" s="73">
        <f>EFEITO!$N$321*EFEITO!$AA$321</f>
        <v>18675.099399995997</v>
      </c>
      <c r="M321" s="73">
        <f>$J$321-EFEITO!$K$321*EFEITO!$Y$321</f>
        <v>0</v>
      </c>
      <c r="N321" s="73">
        <f ca="1">$K$321-EFEITO!$M$321*EFEITO!$Z$321</f>
        <v>0</v>
      </c>
      <c r="O321" s="73">
        <f>$L$321-EFEITO!$O$321*EFEITO!$AA$321</f>
        <v>0</v>
      </c>
      <c r="P321" s="57"/>
      <c r="Q321" s="57"/>
      <c r="R321" s="57"/>
      <c r="S321" s="57"/>
      <c r="T321" s="57"/>
      <c r="U321" s="57"/>
      <c r="V321" s="57"/>
      <c r="W321" s="57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r="322" spans="1:36" ht="11.25" customHeight="1" x14ac:dyDescent="0.2">
      <c r="A322" s="53" t="s">
        <v>21</v>
      </c>
      <c r="B322" s="53" t="s">
        <v>44</v>
      </c>
      <c r="C322" s="53" t="s">
        <v>23</v>
      </c>
      <c r="D322" s="53" t="s">
        <v>45</v>
      </c>
      <c r="E322" s="53" t="s">
        <v>46</v>
      </c>
      <c r="F322" s="53" t="s">
        <v>25</v>
      </c>
      <c r="G322" s="53" t="s">
        <v>25</v>
      </c>
      <c r="H322" s="53" t="s">
        <v>25</v>
      </c>
      <c r="I322" s="72">
        <v>44348</v>
      </c>
      <c r="J322" s="73">
        <f>EFEITO!$J$322*EFEITO!$Y$322</f>
        <v>0</v>
      </c>
      <c r="K322" s="73">
        <f ca="1">EFEITO!$L$322*EFEITO!$Z$322</f>
        <v>45167.074848459044</v>
      </c>
      <c r="L322" s="73">
        <f>EFEITO!$N$322*EFEITO!$AA$322</f>
        <v>17621.467905551192</v>
      </c>
      <c r="M322" s="73">
        <f>$J$322-EFEITO!$K$322*EFEITO!$Y$322</f>
        <v>0</v>
      </c>
      <c r="N322" s="73">
        <f ca="1">$K$322-EFEITO!$M$322*EFEITO!$Z$322</f>
        <v>0</v>
      </c>
      <c r="O322" s="73">
        <f>$L$322-EFEITO!$O$322*EFEITO!$AA$322</f>
        <v>0</v>
      </c>
      <c r="P322" s="57"/>
      <c r="Q322" s="57"/>
      <c r="R322" s="57"/>
      <c r="S322" s="57"/>
      <c r="T322" s="57"/>
      <c r="U322" s="57"/>
      <c r="V322" s="57"/>
      <c r="W322" s="57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r="323" spans="1:36" ht="11.25" customHeight="1" x14ac:dyDescent="0.2">
      <c r="A323" s="53" t="s">
        <v>21</v>
      </c>
      <c r="B323" s="53" t="s">
        <v>44</v>
      </c>
      <c r="C323" s="53" t="s">
        <v>23</v>
      </c>
      <c r="D323" s="53" t="s">
        <v>45</v>
      </c>
      <c r="E323" s="53" t="s">
        <v>46</v>
      </c>
      <c r="F323" s="53" t="s">
        <v>25</v>
      </c>
      <c r="G323" s="53" t="s">
        <v>25</v>
      </c>
      <c r="H323" s="53" t="s">
        <v>25</v>
      </c>
      <c r="I323" s="72">
        <v>44378</v>
      </c>
      <c r="J323" s="73">
        <f>EFEITO!$J$323*EFEITO!$Y$323</f>
        <v>0</v>
      </c>
      <c r="K323" s="73">
        <f ca="1">EFEITO!$L$323*EFEITO!$Z$323</f>
        <v>48928.37417926771</v>
      </c>
      <c r="L323" s="73">
        <f>EFEITO!$N$323*EFEITO!$AA$323</f>
        <v>19088.90000433979</v>
      </c>
      <c r="M323" s="73">
        <f>$J$323-EFEITO!$K$323*EFEITO!$Y$323</f>
        <v>0</v>
      </c>
      <c r="N323" s="73">
        <f ca="1">$K$323-EFEITO!$M$323*EFEITO!$Z$323</f>
        <v>0</v>
      </c>
      <c r="O323" s="73">
        <f>$L$323-EFEITO!$O$323*EFEITO!$AA$323</f>
        <v>0</v>
      </c>
      <c r="P323" s="57"/>
      <c r="Q323" s="57"/>
      <c r="R323" s="57"/>
      <c r="S323" s="57"/>
      <c r="T323" s="57"/>
      <c r="U323" s="57"/>
      <c r="V323" s="57"/>
      <c r="W323" s="57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r="324" spans="1:36" ht="11.25" customHeight="1" x14ac:dyDescent="0.2">
      <c r="A324" s="53" t="s">
        <v>21</v>
      </c>
      <c r="B324" s="53" t="s">
        <v>44</v>
      </c>
      <c r="C324" s="53" t="s">
        <v>23</v>
      </c>
      <c r="D324" s="53" t="s">
        <v>45</v>
      </c>
      <c r="E324" s="53" t="s">
        <v>46</v>
      </c>
      <c r="F324" s="53" t="s">
        <v>25</v>
      </c>
      <c r="G324" s="53" t="s">
        <v>25</v>
      </c>
      <c r="H324" s="53" t="s">
        <v>25</v>
      </c>
      <c r="I324" s="72">
        <v>44409</v>
      </c>
      <c r="J324" s="73">
        <f>EFEITO!$J$324*EFEITO!$Y$324</f>
        <v>0</v>
      </c>
      <c r="K324" s="73">
        <f ca="1">EFEITO!$L$324*EFEITO!$Z$324</f>
        <v>46076.459610660524</v>
      </c>
      <c r="L324" s="73">
        <f>EFEITO!$N$324*EFEITO!$AA$324</f>
        <v>17976.254981196347</v>
      </c>
      <c r="M324" s="73">
        <f>$J$324-EFEITO!$K$324*EFEITO!$Y$324</f>
        <v>0</v>
      </c>
      <c r="N324" s="73">
        <f ca="1">$K$324-EFEITO!$M$324*EFEITO!$Z$324</f>
        <v>0</v>
      </c>
      <c r="O324" s="73">
        <f>$L$324-EFEITO!$O$324*EFEITO!$AA$324</f>
        <v>0</v>
      </c>
      <c r="P324" s="57"/>
      <c r="Q324" s="57"/>
      <c r="R324" s="57"/>
      <c r="S324" s="57"/>
      <c r="T324" s="57"/>
      <c r="U324" s="57"/>
      <c r="V324" s="57"/>
      <c r="W324" s="57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r="325" spans="1:36" ht="11.25" customHeight="1" x14ac:dyDescent="0.2">
      <c r="A325" s="53" t="s">
        <v>21</v>
      </c>
      <c r="B325" s="53" t="s">
        <v>44</v>
      </c>
      <c r="C325" s="53" t="s">
        <v>23</v>
      </c>
      <c r="D325" s="53" t="s">
        <v>45</v>
      </c>
      <c r="E325" s="53" t="s">
        <v>46</v>
      </c>
      <c r="F325" s="53" t="s">
        <v>25</v>
      </c>
      <c r="G325" s="53" t="s">
        <v>25</v>
      </c>
      <c r="H325" s="53" t="s">
        <v>25</v>
      </c>
      <c r="I325" s="72">
        <v>44440</v>
      </c>
      <c r="J325" s="73">
        <f>EFEITO!$J$325*EFEITO!$Y$325</f>
        <v>0</v>
      </c>
      <c r="K325" s="73">
        <f ca="1">EFEITO!$L$325*EFEITO!$Z$325</f>
        <v>46110.475594602794</v>
      </c>
      <c r="L325" s="73">
        <f>EFEITO!$N$325*EFEITO!$AA$325</f>
        <v>17989.525966119007</v>
      </c>
      <c r="M325" s="73">
        <f>$J$325-EFEITO!$K$325*EFEITO!$Y$325</f>
        <v>0</v>
      </c>
      <c r="N325" s="73">
        <f ca="1">$K$325-EFEITO!$M$325*EFEITO!$Z$325</f>
        <v>0</v>
      </c>
      <c r="O325" s="73">
        <f>$L$325-EFEITO!$O$325*EFEITO!$AA$325</f>
        <v>0</v>
      </c>
      <c r="P325" s="57"/>
      <c r="Q325" s="57"/>
      <c r="R325" s="57"/>
      <c r="S325" s="57"/>
      <c r="T325" s="57"/>
      <c r="U325" s="57"/>
      <c r="V325" s="57"/>
      <c r="W325" s="57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r="326" spans="1:36" ht="11.25" customHeight="1" x14ac:dyDescent="0.2">
      <c r="A326" s="53" t="s">
        <v>21</v>
      </c>
      <c r="B326" s="53" t="s">
        <v>44</v>
      </c>
      <c r="C326" s="53" t="s">
        <v>23</v>
      </c>
      <c r="D326" s="53" t="s">
        <v>45</v>
      </c>
      <c r="E326" s="53" t="s">
        <v>46</v>
      </c>
      <c r="F326" s="53" t="s">
        <v>25</v>
      </c>
      <c r="G326" s="53" t="s">
        <v>25</v>
      </c>
      <c r="H326" s="53" t="s">
        <v>25</v>
      </c>
      <c r="I326" s="72">
        <v>44470</v>
      </c>
      <c r="J326" s="73">
        <f>EFEITO!$J$326*EFEITO!$Y$326</f>
        <v>0</v>
      </c>
      <c r="K326" s="73">
        <f ca="1">EFEITO!$L$326*EFEITO!$Z$326</f>
        <v>46752.074951301256</v>
      </c>
      <c r="L326" s="73">
        <f>EFEITO!$N$326*EFEITO!$AA$326</f>
        <v>18239.839330670882</v>
      </c>
      <c r="M326" s="73">
        <f>$J$326-EFEITO!$K$326*EFEITO!$Y$326</f>
        <v>0</v>
      </c>
      <c r="N326" s="73">
        <f ca="1">$K$326-EFEITO!$M$326*EFEITO!$Z$326</f>
        <v>0</v>
      </c>
      <c r="O326" s="73">
        <f>$L$326-EFEITO!$O$326*EFEITO!$AA$326</f>
        <v>0</v>
      </c>
      <c r="P326" s="57"/>
      <c r="Q326" s="57"/>
      <c r="R326" s="57"/>
      <c r="S326" s="57"/>
      <c r="T326" s="57"/>
      <c r="U326" s="57"/>
      <c r="V326" s="57"/>
      <c r="W326" s="57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r="327" spans="1:36" ht="11.25" customHeight="1" x14ac:dyDescent="0.2">
      <c r="A327" s="53" t="s">
        <v>21</v>
      </c>
      <c r="B327" s="53" t="s">
        <v>44</v>
      </c>
      <c r="C327" s="53" t="s">
        <v>23</v>
      </c>
      <c r="D327" s="53" t="s">
        <v>45</v>
      </c>
      <c r="E327" s="53" t="s">
        <v>46</v>
      </c>
      <c r="F327" s="53" t="s">
        <v>25</v>
      </c>
      <c r="G327" s="53" t="s">
        <v>25</v>
      </c>
      <c r="H327" s="53" t="s">
        <v>25</v>
      </c>
      <c r="I327" s="72">
        <v>44501</v>
      </c>
      <c r="J327" s="73">
        <f>EFEITO!$J$327*EFEITO!$Y$327</f>
        <v>0</v>
      </c>
      <c r="K327" s="73">
        <f ca="1">EFEITO!$L$327*EFEITO!$Z$327</f>
        <v>44312.694656036561</v>
      </c>
      <c r="L327" s="73">
        <f>EFEITO!$N$327*EFEITO!$AA$327</f>
        <v>17288.140294887358</v>
      </c>
      <c r="M327" s="73">
        <f>$J$327-EFEITO!$K$327*EFEITO!$Y$327</f>
        <v>0</v>
      </c>
      <c r="N327" s="73">
        <f ca="1">$K$327-EFEITO!$M$327*EFEITO!$Z$327</f>
        <v>0</v>
      </c>
      <c r="O327" s="73">
        <f>$L$327-EFEITO!$O$327*EFEITO!$AA$327</f>
        <v>0</v>
      </c>
      <c r="P327" s="57"/>
      <c r="Q327" s="57"/>
      <c r="R327" s="57"/>
      <c r="S327" s="57"/>
      <c r="T327" s="57"/>
      <c r="U327" s="57"/>
      <c r="V327" s="57"/>
      <c r="W327" s="57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r="328" spans="1:36" ht="11.25" customHeight="1" x14ac:dyDescent="0.2">
      <c r="A328" s="53" t="s">
        <v>21</v>
      </c>
      <c r="B328" s="53" t="s">
        <v>44</v>
      </c>
      <c r="C328" s="53" t="s">
        <v>23</v>
      </c>
      <c r="D328" s="53" t="s">
        <v>45</v>
      </c>
      <c r="E328" s="53" t="s">
        <v>46</v>
      </c>
      <c r="F328" s="53" t="s">
        <v>25</v>
      </c>
      <c r="G328" s="53" t="s">
        <v>25</v>
      </c>
      <c r="H328" s="53" t="s">
        <v>25</v>
      </c>
      <c r="I328" s="72">
        <v>44531</v>
      </c>
      <c r="J328" s="73">
        <f>EFEITO!$J$328*EFEITO!$Y$328</f>
        <v>0</v>
      </c>
      <c r="K328" s="73">
        <f ca="1">EFEITO!$L$328*EFEITO!$Z$328</f>
        <v>46653.283849000814</v>
      </c>
      <c r="L328" s="73">
        <f>EFEITO!$N$328*EFEITO!$AA$328</f>
        <v>18201.297002118899</v>
      </c>
      <c r="M328" s="73">
        <f>$J$328-EFEITO!$K$328*EFEITO!$Y$328</f>
        <v>0</v>
      </c>
      <c r="N328" s="73">
        <f ca="1">$K$328-EFEITO!$M$328*EFEITO!$Z$328</f>
        <v>0</v>
      </c>
      <c r="O328" s="73">
        <f>$L$328-EFEITO!$O$328*EFEITO!$AA$328</f>
        <v>0</v>
      </c>
      <c r="P328" s="57"/>
      <c r="Q328" s="57"/>
      <c r="R328" s="57"/>
      <c r="S328" s="57"/>
      <c r="T328" s="57"/>
      <c r="U328" s="57"/>
      <c r="V328" s="57"/>
      <c r="W328" s="57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r="329" spans="1:36" ht="11.25" customHeight="1" x14ac:dyDescent="0.2">
      <c r="A329" s="53" t="s">
        <v>21</v>
      </c>
      <c r="B329" s="53" t="s">
        <v>44</v>
      </c>
      <c r="C329" s="53" t="s">
        <v>23</v>
      </c>
      <c r="D329" s="53" t="s">
        <v>45</v>
      </c>
      <c r="E329" s="53" t="s">
        <v>46</v>
      </c>
      <c r="F329" s="53" t="s">
        <v>25</v>
      </c>
      <c r="G329" s="53" t="s">
        <v>25</v>
      </c>
      <c r="H329" s="53" t="s">
        <v>25</v>
      </c>
      <c r="I329" s="72">
        <v>44562</v>
      </c>
      <c r="J329" s="73">
        <f>EFEITO!$J$329*EFEITO!$Y$329</f>
        <v>0</v>
      </c>
      <c r="K329" s="73">
        <f ca="1">EFEITO!$L$329*EFEITO!$Z$329</f>
        <v>47801.14237096782</v>
      </c>
      <c r="L329" s="73">
        <f>EFEITO!$N$329*EFEITO!$AA$329</f>
        <v>18649.122152913344</v>
      </c>
      <c r="M329" s="73">
        <f>$J$329-EFEITO!$K$329*EFEITO!$Y$329</f>
        <v>0</v>
      </c>
      <c r="N329" s="73">
        <f ca="1">$K$329-EFEITO!$M$329*EFEITO!$Z$329</f>
        <v>0</v>
      </c>
      <c r="O329" s="73">
        <f>$L$329-EFEITO!$O$329*EFEITO!$AA$329</f>
        <v>0</v>
      </c>
      <c r="P329" s="57"/>
      <c r="Q329" s="57"/>
      <c r="R329" s="57"/>
      <c r="S329" s="57"/>
      <c r="T329" s="57"/>
      <c r="U329" s="57"/>
      <c r="V329" s="57"/>
      <c r="W329" s="57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</row>
    <row r="330" spans="1:36" ht="11.25" customHeight="1" x14ac:dyDescent="0.2">
      <c r="A330" s="53" t="s">
        <v>21</v>
      </c>
      <c r="B330" s="53" t="s">
        <v>44</v>
      </c>
      <c r="C330" s="53" t="s">
        <v>23</v>
      </c>
      <c r="D330" s="53" t="s">
        <v>45</v>
      </c>
      <c r="E330" s="53" t="s">
        <v>46</v>
      </c>
      <c r="F330" s="53" t="s">
        <v>25</v>
      </c>
      <c r="G330" s="53" t="s">
        <v>25</v>
      </c>
      <c r="H330" s="53" t="s">
        <v>25</v>
      </c>
      <c r="I330" s="72">
        <v>44593</v>
      </c>
      <c r="J330" s="73">
        <f>EFEITO!$J$330*EFEITO!$Y$330</f>
        <v>0</v>
      </c>
      <c r="K330" s="73">
        <f ca="1">EFEITO!$L$330*EFEITO!$Z$330</f>
        <v>41481.406801096506</v>
      </c>
      <c r="L330" s="73">
        <f>EFEITO!$N$330*EFEITO!$AA$330</f>
        <v>16183.54257111191</v>
      </c>
      <c r="M330" s="73">
        <f>$J$330-EFEITO!$K$330*EFEITO!$Y$330</f>
        <v>0</v>
      </c>
      <c r="N330" s="73">
        <f ca="1">$K$330-EFEITO!$M$330*EFEITO!$Z$330</f>
        <v>0</v>
      </c>
      <c r="O330" s="73">
        <f>$L$330-EFEITO!$O$330*EFEITO!$AA$330</f>
        <v>0</v>
      </c>
      <c r="P330" s="57"/>
      <c r="Q330" s="57"/>
      <c r="R330" s="57"/>
      <c r="S330" s="57"/>
      <c r="T330" s="57"/>
      <c r="U330" s="57"/>
      <c r="V330" s="57"/>
      <c r="W330" s="57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r="331" spans="1:36" ht="11.25" customHeight="1" x14ac:dyDescent="0.2">
      <c r="A331" s="53" t="s">
        <v>21</v>
      </c>
      <c r="B331" s="53" t="s">
        <v>44</v>
      </c>
      <c r="C331" s="53" t="s">
        <v>23</v>
      </c>
      <c r="D331" s="53" t="s">
        <v>45</v>
      </c>
      <c r="E331" s="53" t="s">
        <v>46</v>
      </c>
      <c r="F331" s="53" t="s">
        <v>25</v>
      </c>
      <c r="G331" s="53" t="s">
        <v>25</v>
      </c>
      <c r="H331" s="53" t="s">
        <v>25</v>
      </c>
      <c r="I331" s="72">
        <v>44621</v>
      </c>
      <c r="J331" s="73">
        <f>EFEITO!$J$331*EFEITO!$Y$331</f>
        <v>0</v>
      </c>
      <c r="K331" s="73">
        <f ca="1">EFEITO!$L$331*EFEITO!$Z$331</f>
        <v>46151.005277597855</v>
      </c>
      <c r="L331" s="73">
        <f>EFEITO!$N$331*EFEITO!$AA$331</f>
        <v>18005.338203473668</v>
      </c>
      <c r="M331" s="73">
        <f>$J$331-EFEITO!$K$331*EFEITO!$Y$331</f>
        <v>0</v>
      </c>
      <c r="N331" s="73">
        <f ca="1">$K$331-EFEITO!$M$331*EFEITO!$Z$331</f>
        <v>0</v>
      </c>
      <c r="O331" s="73">
        <f>$L$331-EFEITO!$O$331*EFEITO!$AA$331</f>
        <v>0</v>
      </c>
      <c r="P331" s="57"/>
      <c r="Q331" s="57"/>
      <c r="R331" s="57"/>
      <c r="S331" s="57"/>
      <c r="T331" s="57"/>
      <c r="U331" s="57"/>
      <c r="V331" s="57"/>
      <c r="W331" s="57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r="332" spans="1:36" ht="11.25" customHeight="1" x14ac:dyDescent="0.2">
      <c r="A332" s="53" t="s">
        <v>21</v>
      </c>
      <c r="B332" s="53" t="s">
        <v>44</v>
      </c>
      <c r="C332" s="53" t="s">
        <v>23</v>
      </c>
      <c r="D332" s="53" t="s">
        <v>45</v>
      </c>
      <c r="E332" s="53" t="s">
        <v>46</v>
      </c>
      <c r="F332" s="53" t="s">
        <v>25</v>
      </c>
      <c r="G332" s="53" t="s">
        <v>25</v>
      </c>
      <c r="H332" s="53" t="s">
        <v>25</v>
      </c>
      <c r="I332" s="72">
        <v>44652</v>
      </c>
      <c r="J332" s="73">
        <f>EFEITO!$J$332*EFEITO!$Y$332</f>
        <v>0</v>
      </c>
      <c r="K332" s="73">
        <f ca="1">EFEITO!$L$332*EFEITO!$Z$332</f>
        <v>42044.841769161649</v>
      </c>
      <c r="L332" s="73">
        <f>EFEITO!$N$332*EFEITO!$AA$332</f>
        <v>16403.3609064798</v>
      </c>
      <c r="M332" s="73">
        <f>$J$332-EFEITO!$K$332*EFEITO!$Y$332</f>
        <v>0</v>
      </c>
      <c r="N332" s="73">
        <f ca="1">$K$332-EFEITO!$M$332*EFEITO!$Z$332</f>
        <v>0</v>
      </c>
      <c r="O332" s="73">
        <f>$L$332-EFEITO!$O$332*EFEITO!$AA$332</f>
        <v>0</v>
      </c>
      <c r="P332" s="57"/>
      <c r="Q332" s="57"/>
      <c r="R332" s="57"/>
      <c r="S332" s="57"/>
      <c r="T332" s="57"/>
      <c r="U332" s="57"/>
      <c r="V332" s="57"/>
      <c r="W332" s="57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</sheetData>
  <mergeCells count="1">
    <mergeCell ref="Q1:AJ1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AF43-9E85-4158-B64B-1401017A02C3}">
  <dimension ref="A1:BD103"/>
  <sheetViews>
    <sheetView showGridLines="0" topLeftCell="D40" workbookViewId="0">
      <selection activeCell="L53" sqref="L53:BD103"/>
    </sheetView>
  </sheetViews>
  <sheetFormatPr defaultRowHeight="11.25" customHeight="1" x14ac:dyDescent="0.25"/>
  <cols>
    <col min="1" max="1" width="9.28515625" style="9" bestFit="1" customWidth="1"/>
    <col min="2" max="2" width="23.42578125" style="9" bestFit="1" customWidth="1"/>
    <col min="3" max="3" width="33" style="9" bestFit="1" customWidth="1"/>
    <col min="4" max="4" width="56.140625" style="9" bestFit="1" customWidth="1"/>
    <col min="5" max="5" width="65.7109375" style="9" bestFit="1" customWidth="1"/>
    <col min="6" max="6" width="75.42578125" style="9" bestFit="1" customWidth="1"/>
    <col min="7" max="7" width="76.28515625" style="9" bestFit="1" customWidth="1"/>
    <col min="8" max="8" width="7.42578125" style="9" bestFit="1" customWidth="1"/>
    <col min="9" max="9" width="7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" style="9" bestFit="1" customWidth="1"/>
    <col min="14" max="15" width="4.140625" style="9" bestFit="1" customWidth="1"/>
    <col min="16" max="16" width="4.42578125" style="9" bestFit="1" customWidth="1"/>
    <col min="17" max="17" width="8.7109375" style="9" bestFit="1" customWidth="1"/>
    <col min="18" max="18" width="7.85546875" style="9" bestFit="1" customWidth="1"/>
    <col min="19" max="19" width="8.7109375" style="9" bestFit="1" customWidth="1"/>
    <col min="20" max="20" width="7.42578125" style="9" bestFit="1" customWidth="1"/>
    <col min="21" max="21" width="7.28515625" style="9" bestFit="1" customWidth="1"/>
    <col min="22" max="23" width="9.85546875" style="9" bestFit="1" customWidth="1"/>
    <col min="24" max="24" width="8.7109375" style="9" bestFit="1" customWidth="1"/>
    <col min="25" max="25" width="7.7109375" style="9" bestFit="1" customWidth="1"/>
    <col min="26" max="26" width="9.85546875" style="9" bestFit="1" customWidth="1"/>
    <col min="27" max="27" width="11.7109375" style="9" bestFit="1" customWidth="1"/>
    <col min="28" max="28" width="8" style="9" bestFit="1" customWidth="1"/>
    <col min="29" max="29" width="7.28515625" style="9" bestFit="1" customWidth="1"/>
    <col min="30" max="30" width="15.28515625" style="9" bestFit="1" customWidth="1"/>
    <col min="31" max="31" width="18" style="9" bestFit="1" customWidth="1"/>
    <col min="32" max="32" width="19.140625" style="9" bestFit="1" customWidth="1"/>
    <col min="33" max="33" width="4" style="9" bestFit="1" customWidth="1"/>
    <col min="34" max="34" width="9.140625" style="9"/>
    <col min="35" max="35" width="13.42578125" style="9" bestFit="1" customWidth="1"/>
    <col min="36" max="36" width="7" style="9" bestFit="1" customWidth="1"/>
    <col min="37" max="38" width="4.140625" style="9" bestFit="1" customWidth="1"/>
    <col min="39" max="39" width="4.42578125" style="9" bestFit="1" customWidth="1"/>
    <col min="40" max="40" width="8.7109375" style="9" bestFit="1" customWidth="1"/>
    <col min="41" max="41" width="7.85546875" style="9" bestFit="1" customWidth="1"/>
    <col min="42" max="42" width="8.7109375" style="9" bestFit="1" customWidth="1"/>
    <col min="43" max="43" width="7.42578125" style="9" bestFit="1" customWidth="1"/>
    <col min="44" max="44" width="7.28515625" style="9" bestFit="1" customWidth="1"/>
    <col min="45" max="46" width="9.85546875" style="9" bestFit="1" customWidth="1"/>
    <col min="47" max="47" width="8.7109375" style="9" bestFit="1" customWidth="1"/>
    <col min="48" max="48" width="7.7109375" style="9" bestFit="1" customWidth="1"/>
    <col min="49" max="49" width="9.85546875" style="9" bestFit="1" customWidth="1"/>
    <col min="50" max="50" width="11.7109375" style="9" bestFit="1" customWidth="1"/>
    <col min="51" max="51" width="8" style="9" bestFit="1" customWidth="1"/>
    <col min="52" max="52" width="7.28515625" style="9" bestFit="1" customWidth="1"/>
    <col min="53" max="53" width="15.28515625" style="9" bestFit="1" customWidth="1"/>
    <col min="54" max="54" width="18" style="9" bestFit="1" customWidth="1"/>
    <col min="55" max="55" width="19.140625" style="9" bestFit="1" customWidth="1"/>
    <col min="56" max="56" width="4" style="9" bestFit="1" customWidth="1"/>
    <col min="57" max="16384" width="9.140625" style="9"/>
  </cols>
  <sheetData>
    <row r="1" spans="1:56" ht="11.25" customHeight="1" x14ac:dyDescent="0.25">
      <c r="A1" s="128" t="s">
        <v>59</v>
      </c>
      <c r="B1" s="128" t="s">
        <v>60</v>
      </c>
      <c r="C1" s="128" t="s">
        <v>61</v>
      </c>
      <c r="D1" s="128" t="s">
        <v>62</v>
      </c>
      <c r="E1" s="128" t="s">
        <v>63</v>
      </c>
      <c r="F1" s="128" t="s">
        <v>15</v>
      </c>
      <c r="G1" s="128" t="s">
        <v>65</v>
      </c>
      <c r="H1" s="128" t="s">
        <v>66</v>
      </c>
      <c r="I1" s="128" t="s">
        <v>608</v>
      </c>
      <c r="J1" s="119"/>
      <c r="L1" s="129" t="s">
        <v>807</v>
      </c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I1" s="129" t="s">
        <v>808</v>
      </c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29"/>
      <c r="AZ1" s="129"/>
      <c r="BA1" s="129"/>
      <c r="BB1" s="129"/>
      <c r="BC1" s="129"/>
      <c r="BD1" s="129"/>
    </row>
    <row r="2" spans="1:56" ht="11.25" customHeight="1" x14ac:dyDescent="0.25">
      <c r="A2" s="128"/>
      <c r="B2" s="128"/>
      <c r="C2" s="128"/>
      <c r="D2" s="128"/>
      <c r="E2" s="128"/>
      <c r="F2" s="128"/>
      <c r="G2" s="128"/>
      <c r="H2" s="128"/>
      <c r="I2" s="128"/>
      <c r="J2" s="119"/>
      <c r="L2" s="129" t="s">
        <v>508</v>
      </c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I2" s="129" t="s">
        <v>508</v>
      </c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  <c r="AY2" s="129"/>
      <c r="AZ2" s="129"/>
      <c r="BA2" s="129"/>
      <c r="BB2" s="129"/>
      <c r="BC2" s="129"/>
      <c r="BD2" s="129"/>
    </row>
    <row r="3" spans="1:56" ht="11.25" customHeight="1" x14ac:dyDescent="0.25">
      <c r="A3" s="128"/>
      <c r="B3" s="128"/>
      <c r="C3" s="128"/>
      <c r="D3" s="128"/>
      <c r="E3" s="128"/>
      <c r="F3" s="128"/>
      <c r="G3" s="128"/>
      <c r="H3" s="128"/>
      <c r="I3" s="128"/>
      <c r="J3" s="119"/>
      <c r="L3" s="129" t="s">
        <v>509</v>
      </c>
      <c r="M3" s="129"/>
      <c r="N3" s="129"/>
      <c r="O3" s="129"/>
      <c r="P3" s="129"/>
      <c r="Q3" s="129"/>
      <c r="R3" s="129"/>
      <c r="S3" s="129"/>
      <c r="T3" s="129" t="s">
        <v>518</v>
      </c>
      <c r="U3" s="129"/>
      <c r="V3" s="129"/>
      <c r="W3" s="129"/>
      <c r="X3" s="129"/>
      <c r="Y3" s="129"/>
      <c r="Z3" s="129"/>
      <c r="AA3" s="85" t="s">
        <v>526</v>
      </c>
      <c r="AB3" s="129" t="s">
        <v>528</v>
      </c>
      <c r="AC3" s="129"/>
      <c r="AD3" s="129" t="s">
        <v>531</v>
      </c>
      <c r="AE3" s="129"/>
      <c r="AF3" s="129"/>
      <c r="AG3" s="129"/>
      <c r="AI3" s="129" t="s">
        <v>509</v>
      </c>
      <c r="AJ3" s="129"/>
      <c r="AK3" s="129"/>
      <c r="AL3" s="129"/>
      <c r="AM3" s="129"/>
      <c r="AN3" s="129"/>
      <c r="AO3" s="129"/>
      <c r="AP3" s="129"/>
      <c r="AQ3" s="129" t="s">
        <v>518</v>
      </c>
      <c r="AR3" s="129"/>
      <c r="AS3" s="129"/>
      <c r="AT3" s="129"/>
      <c r="AU3" s="129"/>
      <c r="AV3" s="129"/>
      <c r="AW3" s="129"/>
      <c r="AX3" s="85" t="s">
        <v>526</v>
      </c>
      <c r="AY3" s="129" t="s">
        <v>528</v>
      </c>
      <c r="AZ3" s="129"/>
      <c r="BA3" s="129" t="s">
        <v>531</v>
      </c>
      <c r="BB3" s="129"/>
      <c r="BC3" s="129"/>
      <c r="BD3" s="129"/>
    </row>
    <row r="4" spans="1:56" ht="11.25" customHeight="1" x14ac:dyDescent="0.25">
      <c r="A4" s="128"/>
      <c r="B4" s="128"/>
      <c r="C4" s="128"/>
      <c r="D4" s="128"/>
      <c r="E4" s="128"/>
      <c r="F4" s="128"/>
      <c r="G4" s="128"/>
      <c r="H4" s="128"/>
      <c r="I4" s="128"/>
      <c r="J4" s="119"/>
      <c r="L4" s="85" t="s">
        <v>593</v>
      </c>
      <c r="M4" s="85" t="s">
        <v>510</v>
      </c>
      <c r="N4" s="85" t="s">
        <v>511</v>
      </c>
      <c r="O4" s="85" t="s">
        <v>512</v>
      </c>
      <c r="P4" s="85" t="s">
        <v>513</v>
      </c>
      <c r="Q4" s="85" t="s">
        <v>514</v>
      </c>
      <c r="R4" s="85" t="s">
        <v>515</v>
      </c>
      <c r="S4" s="85" t="s">
        <v>516</v>
      </c>
      <c r="T4" s="85" t="s">
        <v>519</v>
      </c>
      <c r="U4" s="85" t="s">
        <v>520</v>
      </c>
      <c r="V4" s="85" t="s">
        <v>521</v>
      </c>
      <c r="W4" s="85" t="s">
        <v>522</v>
      </c>
      <c r="X4" s="85" t="s">
        <v>523</v>
      </c>
      <c r="Y4" s="85" t="s">
        <v>524</v>
      </c>
      <c r="Z4" s="85" t="s">
        <v>525</v>
      </c>
      <c r="AA4" s="85" t="s">
        <v>527</v>
      </c>
      <c r="AB4" s="85" t="s">
        <v>529</v>
      </c>
      <c r="AC4" s="85" t="s">
        <v>530</v>
      </c>
      <c r="AD4" s="85" t="s">
        <v>532</v>
      </c>
      <c r="AE4" s="85" t="s">
        <v>533</v>
      </c>
      <c r="AF4" s="85" t="s">
        <v>534</v>
      </c>
      <c r="AG4" s="85" t="s">
        <v>535</v>
      </c>
      <c r="AI4" s="85" t="s">
        <v>593</v>
      </c>
      <c r="AJ4" s="85" t="s">
        <v>510</v>
      </c>
      <c r="AK4" s="85" t="s">
        <v>511</v>
      </c>
      <c r="AL4" s="85" t="s">
        <v>512</v>
      </c>
      <c r="AM4" s="85" t="s">
        <v>513</v>
      </c>
      <c r="AN4" s="85" t="s">
        <v>514</v>
      </c>
      <c r="AO4" s="85" t="s">
        <v>515</v>
      </c>
      <c r="AP4" s="85" t="s">
        <v>516</v>
      </c>
      <c r="AQ4" s="85" t="s">
        <v>519</v>
      </c>
      <c r="AR4" s="85" t="s">
        <v>520</v>
      </c>
      <c r="AS4" s="85" t="s">
        <v>521</v>
      </c>
      <c r="AT4" s="85" t="s">
        <v>522</v>
      </c>
      <c r="AU4" s="85" t="s">
        <v>523</v>
      </c>
      <c r="AV4" s="85" t="s">
        <v>524</v>
      </c>
      <c r="AW4" s="85" t="s">
        <v>525</v>
      </c>
      <c r="AX4" s="85" t="s">
        <v>527</v>
      </c>
      <c r="AY4" s="85" t="s">
        <v>529</v>
      </c>
      <c r="AZ4" s="85" t="s">
        <v>530</v>
      </c>
      <c r="BA4" s="85" t="s">
        <v>532</v>
      </c>
      <c r="BB4" s="85" t="s">
        <v>533</v>
      </c>
      <c r="BC4" s="85" t="s">
        <v>534</v>
      </c>
      <c r="BD4" s="85" t="s">
        <v>535</v>
      </c>
    </row>
    <row r="5" spans="1:56" ht="11.25" customHeight="1" x14ac:dyDescent="0.25">
      <c r="A5" s="132" t="s">
        <v>34</v>
      </c>
      <c r="B5" s="132" t="s">
        <v>74</v>
      </c>
      <c r="C5" s="132" t="s">
        <v>25</v>
      </c>
      <c r="D5" s="132" t="s">
        <v>25</v>
      </c>
      <c r="E5" s="132" t="s">
        <v>25</v>
      </c>
      <c r="F5" s="132" t="s">
        <v>25</v>
      </c>
      <c r="G5" s="21" t="s">
        <v>76</v>
      </c>
      <c r="H5" s="21" t="s">
        <v>75</v>
      </c>
      <c r="I5" s="21">
        <f>'MERCADO TUSD'!$U$2</f>
        <v>0</v>
      </c>
      <c r="J5" s="17"/>
      <c r="L5" s="84">
        <f>('TUSD BE'!$L$5+'TUSD BF'!$L$5+'TUSD CVA'!$L$5)*1</f>
        <v>0</v>
      </c>
      <c r="M5" s="84">
        <f>('TUSD BE'!$M$5+'TUSD BF'!$M$5+'TUSD CVA'!$M$5)*1</f>
        <v>0</v>
      </c>
      <c r="N5" s="84">
        <f ca="1">('TUSD BE'!$N$5+'TUSD BF'!$N$5+'TUSD CVA'!$N$5)*1</f>
        <v>0</v>
      </c>
      <c r="O5" s="84">
        <f>('TUSD BE'!$O$5+'TUSD BF'!$O$5+'TUSD CVA'!$O$5)*1</f>
        <v>0</v>
      </c>
      <c r="P5" s="84">
        <f>('TUSD BE'!$P$5+'TUSD BF'!$P$5+'TUSD CVA'!$P$5)*1</f>
        <v>0</v>
      </c>
      <c r="Q5" s="84">
        <f>('TUSD BE'!$Q$5+'TUSD BF'!$Q$5+'TUSD CVA'!$Q$5)*1</f>
        <v>0</v>
      </c>
      <c r="R5" s="84">
        <f>('TUSD BE'!$R$5+'TUSD BF'!$R$5+'TUSD CVA'!$R$5)*1</f>
        <v>0</v>
      </c>
      <c r="S5" s="84">
        <f>('TUSD BE'!$S$5+'TUSD BF'!$S$5+'TUSD CVA'!$S$5)*1</f>
        <v>0</v>
      </c>
      <c r="T5" s="84">
        <f>('TUSD BE'!$U$5+'TUSD BF'!$U$5+'TUSD CVA'!$U$5)*1</f>
        <v>0</v>
      </c>
      <c r="U5" s="84">
        <f>('TUSD BE'!$V$5+'TUSD BF'!$V$5+'TUSD CVA'!$V$5)*1</f>
        <v>0</v>
      </c>
      <c r="V5" s="84">
        <f>('TUSD BE'!$W$5+'TUSD BF'!$W$5+'TUSD CVA'!$W$5)*1</f>
        <v>0</v>
      </c>
      <c r="W5" s="84">
        <f>('TUSD BE'!$X$5+'TUSD BF'!$X$5+'TUSD CVA'!$X$5)*1</f>
        <v>0</v>
      </c>
      <c r="X5" s="84">
        <f>('TUSD BE'!$Y$5+'TUSD BF'!$Y$5+'TUSD CVA'!$Y$5)*1</f>
        <v>92.416708661309102</v>
      </c>
      <c r="Y5" s="84">
        <f>('TUSD BE'!$Z$5+'TUSD BF'!$Z$5+'TUSD CVA'!$Z$5)*1</f>
        <v>0</v>
      </c>
      <c r="Z5" s="84">
        <f>('TUSD BE'!$AA$5+'TUSD BF'!$AA$5+'TUSD CVA'!$AA$5)*1</f>
        <v>0</v>
      </c>
      <c r="AA5" s="84">
        <f>('TUSD BE'!$AC$5+'TUSD BF'!$AC$5+'TUSD CVA'!$AC$5)*1</f>
        <v>85.623483444201327</v>
      </c>
      <c r="AB5" s="84">
        <f ca="1">('TUSD BE'!$AE$5+'TUSD BF'!$AE$5+'TUSD CVA'!$AE$5)*1</f>
        <v>-0.23389946198514142</v>
      </c>
      <c r="AC5" s="84">
        <f ca="1">('TUSD BE'!$AF$5+'TUSD BF'!$AF$5+'TUSD CVA'!$AF$5)*1</f>
        <v>0</v>
      </c>
      <c r="AD5" s="84">
        <f>('TUSD BE'!$AH$5+'TUSD BF'!$AH$5+'TUSD CVA'!$AH$5)*1</f>
        <v>0</v>
      </c>
      <c r="AE5" s="84">
        <f>('TUSD BE'!$AI$5+'TUSD BF'!$AI$5+'TUSD CVA'!$AI$5)*1</f>
        <v>0</v>
      </c>
      <c r="AF5" s="84">
        <f ca="1">('TUSD BE'!$AJ$5+'TUSD BF'!$AJ$5+'TUSD CVA'!$AJ$5)*1</f>
        <v>0</v>
      </c>
      <c r="AG5" s="84">
        <f ca="1">('TUSD BE'!$AK$5+'TUSD BF'!$AK$5+'TUSD CVA'!$AK$5)*1</f>
        <v>0</v>
      </c>
      <c r="AI5" s="84">
        <v>0</v>
      </c>
      <c r="AJ5" s="84">
        <v>0</v>
      </c>
      <c r="AK5" s="84">
        <v>0</v>
      </c>
      <c r="AL5" s="84">
        <v>0</v>
      </c>
      <c r="AM5" s="84">
        <v>0</v>
      </c>
      <c r="AN5" s="84">
        <v>0</v>
      </c>
      <c r="AO5" s="84">
        <v>0</v>
      </c>
      <c r="AP5" s="84">
        <v>0</v>
      </c>
      <c r="AQ5" s="84">
        <v>0</v>
      </c>
      <c r="AR5" s="84">
        <v>0</v>
      </c>
      <c r="AS5" s="84">
        <v>0</v>
      </c>
      <c r="AT5" s="84">
        <v>0</v>
      </c>
      <c r="AU5" s="84">
        <v>78.810273953972995</v>
      </c>
      <c r="AV5" s="84">
        <v>0</v>
      </c>
      <c r="AW5" s="84">
        <v>0</v>
      </c>
      <c r="AX5" s="84">
        <v>64.281860252323298</v>
      </c>
      <c r="AY5" s="84">
        <v>0.22497783148240699</v>
      </c>
      <c r="AZ5" s="84">
        <v>0</v>
      </c>
      <c r="BA5" s="84">
        <v>0</v>
      </c>
      <c r="BB5" s="84">
        <v>0</v>
      </c>
      <c r="BC5" s="84">
        <v>0</v>
      </c>
      <c r="BD5" s="84">
        <v>0</v>
      </c>
    </row>
    <row r="6" spans="1:56" ht="11.25" customHeight="1" x14ac:dyDescent="0.25">
      <c r="A6" s="132"/>
      <c r="B6" s="132"/>
      <c r="C6" s="132"/>
      <c r="D6" s="132"/>
      <c r="E6" s="132"/>
      <c r="F6" s="132"/>
      <c r="G6" s="21" t="s">
        <v>77</v>
      </c>
      <c r="H6" s="21" t="s">
        <v>75</v>
      </c>
      <c r="I6" s="21">
        <f>'MERCADO TUSD'!$U$3</f>
        <v>0</v>
      </c>
      <c r="J6" s="17"/>
      <c r="L6" s="84">
        <f>('TUSD BE'!$L$6+'TUSD BF'!$L$6+'TUSD CVA'!$L$6)*1</f>
        <v>0</v>
      </c>
      <c r="M6" s="84">
        <f>('TUSD BE'!$M$6+'TUSD BF'!$M$6+'TUSD CVA'!$M$6)*1</f>
        <v>0</v>
      </c>
      <c r="N6" s="84">
        <f ca="1">('TUSD BE'!$N$6+'TUSD BF'!$N$6+'TUSD CVA'!$N$6)*1</f>
        <v>0</v>
      </c>
      <c r="O6" s="84">
        <f>('TUSD BE'!$O$6+'TUSD BF'!$O$6+'TUSD CVA'!$O$6)*1</f>
        <v>0</v>
      </c>
      <c r="P6" s="84">
        <f>('TUSD BE'!$P$6+'TUSD BF'!$P$6+'TUSD CVA'!$P$6)*1</f>
        <v>0</v>
      </c>
      <c r="Q6" s="84">
        <f>('TUSD BE'!$Q$6+'TUSD BF'!$Q$6+'TUSD CVA'!$Q$6)*1</f>
        <v>0</v>
      </c>
      <c r="R6" s="84">
        <f>('TUSD BE'!$R$6+'TUSD BF'!$R$6+'TUSD CVA'!$R$6)*1</f>
        <v>0</v>
      </c>
      <c r="S6" s="84">
        <f>('TUSD BE'!$S$6+'TUSD BF'!$S$6+'TUSD CVA'!$S$6)*1</f>
        <v>0</v>
      </c>
      <c r="T6" s="84">
        <f>('TUSD BE'!$U$6+'TUSD BF'!$U$6+'TUSD CVA'!$U$6)*1</f>
        <v>0</v>
      </c>
      <c r="U6" s="84">
        <f>('TUSD BE'!$V$6+'TUSD BF'!$V$6+'TUSD CVA'!$V$6)*1</f>
        <v>0</v>
      </c>
      <c r="V6" s="84">
        <f>('TUSD BE'!$W$6+'TUSD BF'!$W$6+'TUSD CVA'!$W$6)*1</f>
        <v>0</v>
      </c>
      <c r="W6" s="84">
        <f>('TUSD BE'!$X$6+'TUSD BF'!$X$6+'TUSD CVA'!$X$6)*1</f>
        <v>0</v>
      </c>
      <c r="X6" s="84">
        <f>('TUSD BE'!$Y$6+'TUSD BF'!$Y$6+'TUSD CVA'!$Y$6)*1</f>
        <v>29.149883335098679</v>
      </c>
      <c r="Y6" s="84">
        <f>('TUSD BE'!$Z$6+'TUSD BF'!$Z$6+'TUSD CVA'!$Z$6)*1</f>
        <v>0</v>
      </c>
      <c r="Z6" s="84">
        <f>('TUSD BE'!$AA$6+'TUSD BF'!$AA$6+'TUSD CVA'!$AA$6)*1</f>
        <v>0</v>
      </c>
      <c r="AA6" s="84">
        <f>('TUSD BE'!$AC$6+'TUSD BF'!$AC$6+'TUSD CVA'!$AC$6)*1</f>
        <v>27.007205664127518</v>
      </c>
      <c r="AB6" s="84">
        <f ca="1">('TUSD BE'!$AE$6+'TUSD BF'!$AE$6+'TUSD CVA'!$AE$6)*1</f>
        <v>-7.377611519235204E-2</v>
      </c>
      <c r="AC6" s="84">
        <f ca="1">('TUSD BE'!$AF$6+'TUSD BF'!$AF$6+'TUSD CVA'!$AF$6)*1</f>
        <v>0</v>
      </c>
      <c r="AD6" s="84">
        <f>('TUSD BE'!$AH$6+'TUSD BF'!$AH$6+'TUSD CVA'!$AH$6)*1</f>
        <v>0</v>
      </c>
      <c r="AE6" s="84">
        <f>('TUSD BE'!$AI$6+'TUSD BF'!$AI$6+'TUSD CVA'!$AI$6)*1</f>
        <v>0</v>
      </c>
      <c r="AF6" s="84">
        <f ca="1">('TUSD BE'!$AJ$6+'TUSD BF'!$AJ$6+'TUSD CVA'!$AJ$6)*1</f>
        <v>0</v>
      </c>
      <c r="AG6" s="84">
        <f ca="1">('TUSD BE'!$AK$6+'TUSD BF'!$AK$6+'TUSD CVA'!$AK$6)*1</f>
        <v>0</v>
      </c>
      <c r="AI6" s="84">
        <v>0</v>
      </c>
      <c r="AJ6" s="84">
        <v>0</v>
      </c>
      <c r="AK6" s="84">
        <v>0</v>
      </c>
      <c r="AL6" s="84">
        <v>0</v>
      </c>
      <c r="AM6" s="84">
        <v>0</v>
      </c>
      <c r="AN6" s="84">
        <v>0</v>
      </c>
      <c r="AO6" s="84">
        <v>0</v>
      </c>
      <c r="AP6" s="84">
        <v>0</v>
      </c>
      <c r="AQ6" s="84">
        <v>0</v>
      </c>
      <c r="AR6" s="84">
        <v>0</v>
      </c>
      <c r="AS6" s="84">
        <v>0</v>
      </c>
      <c r="AT6" s="84">
        <v>0</v>
      </c>
      <c r="AU6" s="84">
        <v>24.858205883984301</v>
      </c>
      <c r="AV6" s="84">
        <v>0</v>
      </c>
      <c r="AW6" s="84">
        <v>0</v>
      </c>
      <c r="AX6" s="84">
        <v>20.275670633004999</v>
      </c>
      <c r="AY6" s="84">
        <v>7.0962121419402405E-2</v>
      </c>
      <c r="AZ6" s="84">
        <v>0</v>
      </c>
      <c r="BA6" s="84">
        <v>0</v>
      </c>
      <c r="BB6" s="84">
        <v>0</v>
      </c>
      <c r="BC6" s="84">
        <v>0</v>
      </c>
      <c r="BD6" s="84">
        <v>0</v>
      </c>
    </row>
    <row r="7" spans="1:56" ht="11.25" customHeight="1" x14ac:dyDescent="0.25">
      <c r="A7" s="132"/>
      <c r="B7" s="132"/>
      <c r="C7" s="132"/>
      <c r="D7" s="132"/>
      <c r="E7" s="132"/>
      <c r="F7" s="132"/>
      <c r="G7" s="21" t="s">
        <v>73</v>
      </c>
      <c r="H7" s="21" t="s">
        <v>69</v>
      </c>
      <c r="I7" s="21">
        <f>'MERCADO TUSD'!$U$4</f>
        <v>0</v>
      </c>
      <c r="J7" s="17"/>
      <c r="L7" s="84">
        <f>('TUSD BE'!$L$7+'TUSD BF'!$L$7+'TUSD CVA'!$L$7)*1</f>
        <v>0</v>
      </c>
      <c r="M7" s="84">
        <f>('TUSD BE'!$M$7+'TUSD BF'!$M$7+'TUSD CVA'!$M$7)*1</f>
        <v>0.68928913140797887</v>
      </c>
      <c r="N7" s="84">
        <f ca="1">('TUSD BE'!$N$7+'TUSD BF'!$N$7+'TUSD CVA'!$N$7)*1</f>
        <v>0</v>
      </c>
      <c r="O7" s="84">
        <f>('TUSD BE'!$O$7+'TUSD BF'!$O$7+'TUSD CVA'!$O$7)*1</f>
        <v>0</v>
      </c>
      <c r="P7" s="84">
        <f>('TUSD BE'!$P$7+'TUSD BF'!$P$7+'TUSD CVA'!$P$7)*1</f>
        <v>0</v>
      </c>
      <c r="Q7" s="84">
        <f>('TUSD BE'!$Q$7+'TUSD BF'!$Q$7+'TUSD CVA'!$Q$7)*1</f>
        <v>34.094763633987135</v>
      </c>
      <c r="R7" s="84">
        <f>('TUSD BE'!$R$7+'TUSD BF'!$R$7+'TUSD CVA'!$R$7)*1</f>
        <v>15.185312481265115</v>
      </c>
      <c r="S7" s="84">
        <f>('TUSD BE'!$S$7+'TUSD BF'!$S$7+'TUSD CVA'!$S$7)*1</f>
        <v>0</v>
      </c>
      <c r="T7" s="84">
        <f>('TUSD BE'!$U$7+'TUSD BF'!$U$7+'TUSD CVA'!$U$7)*1</f>
        <v>0</v>
      </c>
      <c r="U7" s="84">
        <f>('TUSD BE'!$V$7+'TUSD BF'!$V$7+'TUSD CVA'!$V$7)*1</f>
        <v>0</v>
      </c>
      <c r="V7" s="84">
        <f>('TUSD BE'!$W$7+'TUSD BF'!$W$7+'TUSD CVA'!$W$7)*1</f>
        <v>0</v>
      </c>
      <c r="W7" s="84">
        <f>('TUSD BE'!$X$7+'TUSD BF'!$X$7+'TUSD CVA'!$X$7)*1</f>
        <v>0</v>
      </c>
      <c r="X7" s="84">
        <f>('TUSD BE'!$Y$7+'TUSD BF'!$Y$7+'TUSD CVA'!$Y$7)*1</f>
        <v>0</v>
      </c>
      <c r="Y7" s="84">
        <f>('TUSD BE'!$Z$7+'TUSD BF'!$Z$7+'TUSD CVA'!$Z$7)*1</f>
        <v>0</v>
      </c>
      <c r="Z7" s="84">
        <f>('TUSD BE'!$AA$7+'TUSD BF'!$AA$7+'TUSD CVA'!$AA$7)*1</f>
        <v>0</v>
      </c>
      <c r="AA7" s="84">
        <f>('TUSD BE'!$AC$7+'TUSD BF'!$AC$7+'TUSD CVA'!$AC$7)*1</f>
        <v>0</v>
      </c>
      <c r="AB7" s="84">
        <f ca="1">('TUSD BE'!$AE$7+'TUSD BF'!$AE$7+'TUSD CVA'!$AE$7)*1</f>
        <v>-8.2127914963144949E-2</v>
      </c>
      <c r="AC7" s="84">
        <f ca="1">('TUSD BE'!$AF$7+'TUSD BF'!$AF$7+'TUSD CVA'!$AF$7)*1</f>
        <v>0</v>
      </c>
      <c r="AD7" s="84">
        <f>('TUSD BE'!$AH$7+'TUSD BF'!$AH$7+'TUSD CVA'!$AH$7)*1</f>
        <v>17.197043216270803</v>
      </c>
      <c r="AE7" s="84">
        <f>('TUSD BE'!$AI$7+'TUSD BF'!$AI$7+'TUSD CVA'!$AI$7)*1</f>
        <v>0</v>
      </c>
      <c r="AF7" s="84">
        <f ca="1">('TUSD BE'!$AJ$7+'TUSD BF'!$AJ$7+'TUSD CVA'!$AJ$7)*1</f>
        <v>0</v>
      </c>
      <c r="AG7" s="84">
        <f ca="1">('TUSD BE'!$AK$7+'TUSD BF'!$AK$7+'TUSD CVA'!$AK$7)*1</f>
        <v>0</v>
      </c>
      <c r="AI7" s="84">
        <v>0</v>
      </c>
      <c r="AJ7" s="84">
        <v>0.65281853546888202</v>
      </c>
      <c r="AK7" s="84">
        <v>0</v>
      </c>
      <c r="AL7" s="84">
        <v>0</v>
      </c>
      <c r="AM7" s="84">
        <v>0</v>
      </c>
      <c r="AN7" s="84">
        <v>21.490744551924301</v>
      </c>
      <c r="AO7" s="84">
        <v>10.102108970403799</v>
      </c>
      <c r="AP7" s="84">
        <v>0</v>
      </c>
      <c r="AQ7" s="84">
        <v>0</v>
      </c>
      <c r="AR7" s="84">
        <v>0</v>
      </c>
      <c r="AS7" s="84">
        <v>0</v>
      </c>
      <c r="AT7" s="84">
        <v>0</v>
      </c>
      <c r="AU7" s="84">
        <v>0</v>
      </c>
      <c r="AV7" s="84">
        <v>0</v>
      </c>
      <c r="AW7" s="84">
        <v>0</v>
      </c>
      <c r="AX7" s="84">
        <v>0</v>
      </c>
      <c r="AY7" s="84">
        <v>6.7284628804578306E-2</v>
      </c>
      <c r="AZ7" s="84">
        <v>0</v>
      </c>
      <c r="BA7" s="84">
        <v>15.8535672139221</v>
      </c>
      <c r="BB7" s="84">
        <v>0</v>
      </c>
      <c r="BC7" s="84">
        <v>0</v>
      </c>
      <c r="BD7" s="84">
        <v>0</v>
      </c>
    </row>
    <row r="8" spans="1:56" ht="11.25" customHeight="1" x14ac:dyDescent="0.25">
      <c r="A8" s="132"/>
      <c r="B8" s="132"/>
      <c r="C8" s="132"/>
      <c r="D8" s="132"/>
      <c r="E8" s="86" t="s">
        <v>78</v>
      </c>
      <c r="F8" s="86" t="s">
        <v>25</v>
      </c>
      <c r="G8" s="21" t="s">
        <v>73</v>
      </c>
      <c r="H8" s="21" t="s">
        <v>69</v>
      </c>
      <c r="I8" s="21">
        <f>'MERCADO TUSD'!$U$5</f>
        <v>0</v>
      </c>
      <c r="J8" s="17"/>
      <c r="L8" s="84">
        <f>('TUSD BE'!$L$8+'TUSD BF'!$L$8+'TUSD CVA'!$L$8)*1</f>
        <v>0</v>
      </c>
      <c r="M8" s="84">
        <f>('TUSD BE'!$M$8+'TUSD BF'!$M$8+'TUSD CVA'!$M$8)*1</f>
        <v>0.68928913140797887</v>
      </c>
      <c r="N8" s="84">
        <f ca="1">('TUSD BE'!$N$8+'TUSD BF'!$N$8+'TUSD CVA'!$N$8)*1</f>
        <v>0</v>
      </c>
      <c r="O8" s="84">
        <f>('TUSD BE'!$O$8+'TUSD BF'!$O$8+'TUSD CVA'!$O$8)*1</f>
        <v>0</v>
      </c>
      <c r="P8" s="84">
        <f>('TUSD BE'!$P$8+'TUSD BF'!$P$8+'TUSD CVA'!$P$8)*1</f>
        <v>0</v>
      </c>
      <c r="Q8" s="84">
        <f>('TUSD BE'!$Q$8+'TUSD BF'!$Q$8+'TUSD CVA'!$Q$8)*1</f>
        <v>0</v>
      </c>
      <c r="R8" s="84">
        <f>('TUSD BE'!$R$8+'TUSD BF'!$R$8+'TUSD CVA'!$R$8)*1</f>
        <v>0</v>
      </c>
      <c r="S8" s="84">
        <f>('TUSD BE'!$S$8+'TUSD BF'!$S$8+'TUSD CVA'!$S$8)*1</f>
        <v>0</v>
      </c>
      <c r="T8" s="84">
        <f>('TUSD BE'!$U$8+'TUSD BF'!$U$8+'TUSD CVA'!$U$8)*1</f>
        <v>0</v>
      </c>
      <c r="U8" s="84">
        <f>('TUSD BE'!$V$8+'TUSD BF'!$V$8+'TUSD CVA'!$V$8)*1</f>
        <v>0</v>
      </c>
      <c r="V8" s="84">
        <f>('TUSD BE'!$W$8+'TUSD BF'!$W$8+'TUSD CVA'!$W$8)*1</f>
        <v>0</v>
      </c>
      <c r="W8" s="84">
        <f>('TUSD BE'!$X$8+'TUSD BF'!$X$8+'TUSD CVA'!$X$8)*1</f>
        <v>0</v>
      </c>
      <c r="X8" s="84">
        <f>('TUSD BE'!$Y$8+'TUSD BF'!$Y$8+'TUSD CVA'!$Y$8)*1</f>
        <v>0</v>
      </c>
      <c r="Y8" s="84">
        <f>('TUSD BE'!$Z$8+'TUSD BF'!$Z$8+'TUSD CVA'!$Z$8)*1</f>
        <v>0</v>
      </c>
      <c r="Z8" s="84">
        <f>('TUSD BE'!$AA$8+'TUSD BF'!$AA$8+'TUSD CVA'!$AA$8)*1</f>
        <v>0</v>
      </c>
      <c r="AA8" s="84">
        <f>('TUSD BE'!$AC$8+'TUSD BF'!$AC$8+'TUSD CVA'!$AC$8)*1</f>
        <v>0</v>
      </c>
      <c r="AB8" s="84">
        <f ca="1">('TUSD BE'!$AE$8+'TUSD BF'!$AE$8+'TUSD CVA'!$AE$8)*1</f>
        <v>-2.2523640045526934E-2</v>
      </c>
      <c r="AC8" s="84">
        <f ca="1">('TUSD BE'!$AF$8+'TUSD BF'!$AF$8+'TUSD CVA'!$AF$8)*1</f>
        <v>0</v>
      </c>
      <c r="AD8" s="84">
        <f>('TUSD BE'!$AH$8+'TUSD BF'!$AH$8+'TUSD CVA'!$AH$8)*1</f>
        <v>17.197043216270803</v>
      </c>
      <c r="AE8" s="84">
        <f>('TUSD BE'!$AI$8+'TUSD BF'!$AI$8+'TUSD CVA'!$AI$8)*1</f>
        <v>0</v>
      </c>
      <c r="AF8" s="84">
        <f ca="1">('TUSD BE'!$AJ$8+'TUSD BF'!$AJ$8+'TUSD CVA'!$AJ$8)*1</f>
        <v>0</v>
      </c>
      <c r="AG8" s="84">
        <f ca="1">('TUSD BE'!$AK$8+'TUSD BF'!$AK$8+'TUSD CVA'!$AK$8)*1</f>
        <v>0</v>
      </c>
      <c r="AI8" s="84">
        <v>0</v>
      </c>
      <c r="AJ8" s="84">
        <v>0.65281853546888202</v>
      </c>
      <c r="AK8" s="84">
        <v>0</v>
      </c>
      <c r="AL8" s="84">
        <v>0</v>
      </c>
      <c r="AM8" s="84">
        <v>0</v>
      </c>
      <c r="AN8" s="84">
        <v>0</v>
      </c>
      <c r="AO8" s="84">
        <v>0</v>
      </c>
      <c r="AP8" s="84">
        <v>0</v>
      </c>
      <c r="AQ8" s="84">
        <v>0</v>
      </c>
      <c r="AR8" s="84">
        <v>0</v>
      </c>
      <c r="AS8" s="84">
        <v>0</v>
      </c>
      <c r="AT8" s="84">
        <v>0</v>
      </c>
      <c r="AU8" s="84">
        <v>0</v>
      </c>
      <c r="AV8" s="84">
        <v>0</v>
      </c>
      <c r="AW8" s="84">
        <v>0</v>
      </c>
      <c r="AX8" s="84">
        <v>0</v>
      </c>
      <c r="AY8" s="84">
        <v>2.2380162506717399E-2</v>
      </c>
      <c r="AZ8" s="84">
        <v>0</v>
      </c>
      <c r="BA8" s="84">
        <v>15.8535672139221</v>
      </c>
      <c r="BB8" s="84">
        <v>0</v>
      </c>
      <c r="BC8" s="84">
        <v>0</v>
      </c>
      <c r="BD8" s="84">
        <v>0</v>
      </c>
    </row>
    <row r="9" spans="1:56" ht="11.25" customHeight="1" x14ac:dyDescent="0.25">
      <c r="A9" s="132"/>
      <c r="B9" s="86" t="s">
        <v>79</v>
      </c>
      <c r="C9" s="86" t="s">
        <v>25</v>
      </c>
      <c r="D9" s="86" t="s">
        <v>25</v>
      </c>
      <c r="E9" s="86" t="s">
        <v>25</v>
      </c>
      <c r="F9" s="86" t="s">
        <v>25</v>
      </c>
      <c r="G9" s="21" t="s">
        <v>9</v>
      </c>
      <c r="H9" s="21" t="s">
        <v>75</v>
      </c>
      <c r="I9" s="21">
        <f>'MERCADO TUSD'!$U$6</f>
        <v>0</v>
      </c>
      <c r="J9" s="17"/>
      <c r="L9" s="84">
        <f>('TUSD BE'!$L$9+'TUSD BF'!$L$9+'TUSD CVA'!$L$9)*1</f>
        <v>0</v>
      </c>
      <c r="M9" s="84">
        <f>('TUSD BE'!$M$9+'TUSD BF'!$M$9+'TUSD CVA'!$M$9)*1</f>
        <v>4.4651637014476352E-2</v>
      </c>
      <c r="N9" s="84">
        <f ca="1">('TUSD BE'!$N$9+'TUSD BF'!$N$9+'TUSD CVA'!$N$9)*1</f>
        <v>0</v>
      </c>
      <c r="O9" s="84">
        <f>('TUSD BE'!$O$9+'TUSD BF'!$O$9+'TUSD CVA'!$O$9)*1</f>
        <v>0</v>
      </c>
      <c r="P9" s="84">
        <f>('TUSD BE'!$P$9+'TUSD BF'!$P$9+'TUSD CVA'!$P$9)*1</f>
        <v>0</v>
      </c>
      <c r="Q9" s="84">
        <f>('TUSD BE'!$Q$9+'TUSD BF'!$Q$9+'TUSD CVA'!$Q$9)*1</f>
        <v>0</v>
      </c>
      <c r="R9" s="84">
        <f>('TUSD BE'!$R$9+'TUSD BF'!$R$9+'TUSD CVA'!$R$9)*1</f>
        <v>0</v>
      </c>
      <c r="S9" s="84">
        <f>('TUSD BE'!$S$9+'TUSD BF'!$S$9+'TUSD CVA'!$S$9)*1</f>
        <v>0</v>
      </c>
      <c r="T9" s="84">
        <f>('TUSD BE'!$U$9+'TUSD BF'!$U$9+'TUSD CVA'!$U$9)*1</f>
        <v>0</v>
      </c>
      <c r="U9" s="84">
        <f>('TUSD BE'!$V$9+'TUSD BF'!$V$9+'TUSD CVA'!$V$9)*1</f>
        <v>0</v>
      </c>
      <c r="V9" s="84">
        <f>('TUSD BE'!$W$9+'TUSD BF'!$W$9+'TUSD CVA'!$W$9)*1</f>
        <v>0</v>
      </c>
      <c r="W9" s="84">
        <f>('TUSD BE'!$X$9+'TUSD BF'!$X$9+'TUSD CVA'!$X$9)*1</f>
        <v>0</v>
      </c>
      <c r="X9" s="84">
        <f>('TUSD BE'!$Y$9+'TUSD BF'!$Y$9+'TUSD CVA'!$Y$9)*1</f>
        <v>0</v>
      </c>
      <c r="Y9" s="84">
        <f>('TUSD BE'!$Z$9+'TUSD BF'!$Z$9+'TUSD CVA'!$Z$9)*1</f>
        <v>0</v>
      </c>
      <c r="Z9" s="84">
        <f>('TUSD BE'!$AA$9+'TUSD BF'!$AA$9+'TUSD CVA'!$AA$9)*1</f>
        <v>0</v>
      </c>
      <c r="AA9" s="84">
        <f>('TUSD BE'!$AC$9+'TUSD BF'!$AC$9+'TUSD CVA'!$AC$9)*1</f>
        <v>10.377633379065252</v>
      </c>
      <c r="AB9" s="84">
        <f ca="1">('TUSD BE'!$AE$9+'TUSD BF'!$AE$9+'TUSD CVA'!$AE$9)*1</f>
        <v>-1.5448873768521072E-2</v>
      </c>
      <c r="AC9" s="84">
        <f ca="1">('TUSD BE'!$AF$9+'TUSD BF'!$AF$9+'TUSD CVA'!$AF$9)*1</f>
        <v>0</v>
      </c>
      <c r="AD9" s="84">
        <f>('TUSD BE'!$AH$9+'TUSD BF'!$AH$9+'TUSD CVA'!$AH$9)*1</f>
        <v>0</v>
      </c>
      <c r="AE9" s="84">
        <f>('TUSD BE'!$AI$9+'TUSD BF'!$AI$9+'TUSD CVA'!$AI$9)*1</f>
        <v>0</v>
      </c>
      <c r="AF9" s="84">
        <f ca="1">('TUSD BE'!$AJ$9+'TUSD BF'!$AJ$9+'TUSD CVA'!$AJ$9)*1</f>
        <v>0</v>
      </c>
      <c r="AG9" s="84">
        <f ca="1">('TUSD BE'!$AK$9+'TUSD BF'!$AK$9+'TUSD CVA'!$AK$9)*1</f>
        <v>0</v>
      </c>
      <c r="AI9" s="84">
        <v>0</v>
      </c>
      <c r="AJ9" s="84">
        <v>4.1072910474212E-2</v>
      </c>
      <c r="AK9" s="84">
        <v>0</v>
      </c>
      <c r="AL9" s="84">
        <v>0</v>
      </c>
      <c r="AM9" s="84">
        <v>0</v>
      </c>
      <c r="AN9" s="84">
        <v>0</v>
      </c>
      <c r="AO9" s="84">
        <v>0</v>
      </c>
      <c r="AP9" s="84">
        <v>0</v>
      </c>
      <c r="AQ9" s="84">
        <v>0</v>
      </c>
      <c r="AR9" s="84">
        <v>0</v>
      </c>
      <c r="AS9" s="84">
        <v>0</v>
      </c>
      <c r="AT9" s="84">
        <v>0</v>
      </c>
      <c r="AU9" s="84">
        <v>0</v>
      </c>
      <c r="AV9" s="84">
        <v>0</v>
      </c>
      <c r="AW9" s="84">
        <v>0</v>
      </c>
      <c r="AX9" s="84">
        <v>7.7910245105829103</v>
      </c>
      <c r="AY9" s="84">
        <v>1.43315872789793E-2</v>
      </c>
      <c r="AZ9" s="84">
        <v>0</v>
      </c>
      <c r="BA9" s="84">
        <v>0</v>
      </c>
      <c r="BB9" s="84">
        <v>0</v>
      </c>
      <c r="BC9" s="84">
        <v>0</v>
      </c>
      <c r="BD9" s="84">
        <v>0</v>
      </c>
    </row>
    <row r="10" spans="1:56" ht="11.25" customHeight="1" x14ac:dyDescent="0.25">
      <c r="A10" s="132"/>
      <c r="B10" s="132" t="s">
        <v>35</v>
      </c>
      <c r="C10" s="132" t="s">
        <v>25</v>
      </c>
      <c r="D10" s="132" t="s">
        <v>25</v>
      </c>
      <c r="E10" s="132" t="s">
        <v>25</v>
      </c>
      <c r="F10" s="132" t="s">
        <v>25</v>
      </c>
      <c r="G10" s="21" t="s">
        <v>9</v>
      </c>
      <c r="H10" s="21" t="s">
        <v>75</v>
      </c>
      <c r="I10" s="21">
        <f>'MERCADO TUSD'!$U$7</f>
        <v>1445</v>
      </c>
      <c r="J10" s="17"/>
      <c r="L10" s="84">
        <f>('TUSD BE'!$L$10+'TUSD BF'!$L$10+'TUSD CVA'!$L$10)*1</f>
        <v>0</v>
      </c>
      <c r="M10" s="84">
        <f>('TUSD BE'!$M$10+'TUSD BF'!$M$10+'TUSD CVA'!$M$10)*1</f>
        <v>0</v>
      </c>
      <c r="N10" s="84">
        <f ca="1">('TUSD BE'!$N$10+'TUSD BF'!$N$10+'TUSD CVA'!$N$10)*1</f>
        <v>0</v>
      </c>
      <c r="O10" s="84">
        <f>('TUSD BE'!$O$10+'TUSD BF'!$O$10+'TUSD CVA'!$O$10)*1</f>
        <v>0</v>
      </c>
      <c r="P10" s="84">
        <f>('TUSD BE'!$P$10+'TUSD BF'!$P$10+'TUSD CVA'!$P$10)*1</f>
        <v>0</v>
      </c>
      <c r="Q10" s="84">
        <f>('TUSD BE'!$Q$10+'TUSD BF'!$Q$10+'TUSD CVA'!$Q$10)*1</f>
        <v>0</v>
      </c>
      <c r="R10" s="84">
        <f>('TUSD BE'!$R$10+'TUSD BF'!$R$10+'TUSD CVA'!$R$10)*1</f>
        <v>0</v>
      </c>
      <c r="S10" s="84">
        <f>('TUSD BE'!$S$10+'TUSD BF'!$S$10+'TUSD CVA'!$S$10)*1</f>
        <v>0</v>
      </c>
      <c r="T10" s="84">
        <f>('TUSD BE'!$U$10+'TUSD BF'!$U$10+'TUSD CVA'!$U$10)*1</f>
        <v>0</v>
      </c>
      <c r="U10" s="84">
        <f>('TUSD BE'!$V$10+'TUSD BF'!$V$10+'TUSD CVA'!$V$10)*1</f>
        <v>0</v>
      </c>
      <c r="V10" s="84">
        <f>('TUSD BE'!$W$10+'TUSD BF'!$W$10+'TUSD CVA'!$W$10)*1</f>
        <v>0</v>
      </c>
      <c r="W10" s="84">
        <f>('TUSD BE'!$X$10+'TUSD BF'!$X$10+'TUSD CVA'!$X$10)*1</f>
        <v>0</v>
      </c>
      <c r="X10" s="84">
        <f>('TUSD BE'!$Y$10+'TUSD BF'!$Y$10+'TUSD CVA'!$Y$10)*1</f>
        <v>29.149883335098679</v>
      </c>
      <c r="Y10" s="84">
        <f>('TUSD BE'!$Z$10+'TUSD BF'!$Z$10+'TUSD CVA'!$Z$10)*1</f>
        <v>0</v>
      </c>
      <c r="Z10" s="84">
        <f>('TUSD BE'!$AA$10+'TUSD BF'!$AA$10+'TUSD CVA'!$AA$10)*1</f>
        <v>0</v>
      </c>
      <c r="AA10" s="84">
        <f>('TUSD BE'!$AC$10+'TUSD BF'!$AC$10+'TUSD CVA'!$AC$10)*1</f>
        <v>27.007205664127518</v>
      </c>
      <c r="AB10" s="84">
        <f ca="1">('TUSD BE'!$AE$10+'TUSD BF'!$AE$10+'TUSD CVA'!$AE$10)*1</f>
        <v>-7.377611519235204E-2</v>
      </c>
      <c r="AC10" s="84">
        <f ca="1">('TUSD BE'!$AF$10+'TUSD BF'!$AF$10+'TUSD CVA'!$AF$10)*1</f>
        <v>0</v>
      </c>
      <c r="AD10" s="84">
        <f>('TUSD BE'!$AH$10+'TUSD BF'!$AH$10+'TUSD CVA'!$AH$10)*1</f>
        <v>0</v>
      </c>
      <c r="AE10" s="84">
        <f>('TUSD BE'!$AI$10+'TUSD BF'!$AI$10+'TUSD CVA'!$AI$10)*1</f>
        <v>0</v>
      </c>
      <c r="AF10" s="84">
        <f ca="1">('TUSD BE'!$AJ$10+'TUSD BF'!$AJ$10+'TUSD CVA'!$AJ$10)*1</f>
        <v>0</v>
      </c>
      <c r="AG10" s="84">
        <f ca="1">('TUSD BE'!$AK$10+'TUSD BF'!$AK$10+'TUSD CVA'!$AK$10)*1</f>
        <v>0</v>
      </c>
      <c r="AI10" s="84">
        <v>0</v>
      </c>
      <c r="AJ10" s="84">
        <v>0</v>
      </c>
      <c r="AK10" s="84">
        <v>0</v>
      </c>
      <c r="AL10" s="84">
        <v>0</v>
      </c>
      <c r="AM10" s="84">
        <v>0</v>
      </c>
      <c r="AN10" s="84">
        <v>0</v>
      </c>
      <c r="AO10" s="84">
        <v>0</v>
      </c>
      <c r="AP10" s="84">
        <v>0</v>
      </c>
      <c r="AQ10" s="84">
        <v>0</v>
      </c>
      <c r="AR10" s="84">
        <v>0</v>
      </c>
      <c r="AS10" s="84">
        <v>0</v>
      </c>
      <c r="AT10" s="84">
        <v>0</v>
      </c>
      <c r="AU10" s="84">
        <v>24.858205883984301</v>
      </c>
      <c r="AV10" s="84">
        <v>0</v>
      </c>
      <c r="AW10" s="84">
        <v>0</v>
      </c>
      <c r="AX10" s="84">
        <v>20.275670633004999</v>
      </c>
      <c r="AY10" s="84">
        <v>7.0962121419402405E-2</v>
      </c>
      <c r="AZ10" s="84">
        <v>0</v>
      </c>
      <c r="BA10" s="84">
        <v>0</v>
      </c>
      <c r="BB10" s="84">
        <v>0</v>
      </c>
      <c r="BC10" s="84">
        <v>0</v>
      </c>
      <c r="BD10" s="84">
        <v>0</v>
      </c>
    </row>
    <row r="11" spans="1:56" ht="11.25" customHeight="1" x14ac:dyDescent="0.25">
      <c r="A11" s="132"/>
      <c r="B11" s="132"/>
      <c r="C11" s="132"/>
      <c r="D11" s="132"/>
      <c r="E11" s="132"/>
      <c r="F11" s="132"/>
      <c r="G11" s="21" t="s">
        <v>70</v>
      </c>
      <c r="H11" s="21" t="s">
        <v>69</v>
      </c>
      <c r="I11" s="21">
        <f>'MERCADO TUSD'!$U$8</f>
        <v>2.2919999999999998</v>
      </c>
      <c r="J11" s="17"/>
      <c r="L11" s="84">
        <f>('TUSD BE'!$L$11+'TUSD BF'!$L$11+'TUSD CVA'!$L$11)*1</f>
        <v>0</v>
      </c>
      <c r="M11" s="84">
        <f>('TUSD BE'!$M$11+'TUSD BF'!$M$11+'TUSD CVA'!$M$11)*1</f>
        <v>0.68928913140797887</v>
      </c>
      <c r="N11" s="84">
        <f ca="1">('TUSD BE'!$N$11+'TUSD BF'!$N$11+'TUSD CVA'!$N$11)*1</f>
        <v>0</v>
      </c>
      <c r="O11" s="84">
        <f>('TUSD BE'!$O$11+'TUSD BF'!$O$11+'TUSD CVA'!$O$11)*1</f>
        <v>0</v>
      </c>
      <c r="P11" s="84">
        <f>('TUSD BE'!$P$11+'TUSD BF'!$P$11+'TUSD CVA'!$P$11)*1</f>
        <v>0</v>
      </c>
      <c r="Q11" s="84">
        <f>('TUSD BE'!$Q$11+'TUSD BF'!$Q$11+'TUSD CVA'!$Q$11)*1</f>
        <v>34.094763633987135</v>
      </c>
      <c r="R11" s="84">
        <f>('TUSD BE'!$R$11+'TUSD BF'!$R$11+'TUSD CVA'!$R$11)*1</f>
        <v>15.185312481265115</v>
      </c>
      <c r="S11" s="84">
        <f>('TUSD BE'!$S$11+'TUSD BF'!$S$11+'TUSD CVA'!$S$11)*1</f>
        <v>0</v>
      </c>
      <c r="T11" s="84">
        <f>('TUSD BE'!$U$11+'TUSD BF'!$U$11+'TUSD CVA'!$U$11)*1</f>
        <v>0</v>
      </c>
      <c r="U11" s="84">
        <f>('TUSD BE'!$V$11+'TUSD BF'!$V$11+'TUSD CVA'!$V$11)*1</f>
        <v>0</v>
      </c>
      <c r="V11" s="84">
        <f>('TUSD BE'!$W$11+'TUSD BF'!$W$11+'TUSD CVA'!$W$11)*1</f>
        <v>0</v>
      </c>
      <c r="W11" s="84">
        <f>('TUSD BE'!$X$11+'TUSD BF'!$X$11+'TUSD CVA'!$X$11)*1</f>
        <v>0</v>
      </c>
      <c r="X11" s="84">
        <f>('TUSD BE'!$Y$11+'TUSD BF'!$Y$11+'TUSD CVA'!$Y$11)*1</f>
        <v>876.57751355655125</v>
      </c>
      <c r="Y11" s="84">
        <f>('TUSD BE'!$Z$11+'TUSD BF'!$Z$11+'TUSD CVA'!$Z$11)*1</f>
        <v>0</v>
      </c>
      <c r="Z11" s="84">
        <f>('TUSD BE'!$AA$11+'TUSD BF'!$AA$11+'TUSD CVA'!$AA$11)*1</f>
        <v>0</v>
      </c>
      <c r="AA11" s="84">
        <f>('TUSD BE'!$AC$11+'TUSD BF'!$AC$11+'TUSD CVA'!$AC$11)*1</f>
        <v>2059.2493558046358</v>
      </c>
      <c r="AB11" s="84">
        <f ca="1">('TUSD BE'!$AE$11+'TUSD BF'!$AE$11+'TUSD CVA'!$AE$11)*1</f>
        <v>-4.1505085707926739</v>
      </c>
      <c r="AC11" s="84">
        <f ca="1">('TUSD BE'!$AF$11+'TUSD BF'!$AF$11+'TUSD CVA'!$AF$11)*1</f>
        <v>0</v>
      </c>
      <c r="AD11" s="84">
        <f>('TUSD BE'!$AH$11+'TUSD BF'!$AH$11+'TUSD CVA'!$AH$11)*1</f>
        <v>17.197043216270803</v>
      </c>
      <c r="AE11" s="84">
        <f>('TUSD BE'!$AI$11+'TUSD BF'!$AI$11+'TUSD CVA'!$AI$11)*1</f>
        <v>0</v>
      </c>
      <c r="AF11" s="84">
        <f ca="1">('TUSD BE'!$AJ$11+'TUSD BF'!$AJ$11+'TUSD CVA'!$AJ$11)*1</f>
        <v>0</v>
      </c>
      <c r="AG11" s="84">
        <f ca="1">('TUSD BE'!$AK$11+'TUSD BF'!$AK$11+'TUSD CVA'!$AK$11)*1</f>
        <v>0</v>
      </c>
      <c r="AI11" s="84">
        <v>0</v>
      </c>
      <c r="AJ11" s="84">
        <v>0.65281853546888202</v>
      </c>
      <c r="AK11" s="84">
        <v>0</v>
      </c>
      <c r="AL11" s="84">
        <v>0</v>
      </c>
      <c r="AM11" s="84">
        <v>0</v>
      </c>
      <c r="AN11" s="84">
        <v>21.490744551924301</v>
      </c>
      <c r="AO11" s="84">
        <v>10.102108970403799</v>
      </c>
      <c r="AP11" s="84">
        <v>0</v>
      </c>
      <c r="AQ11" s="84">
        <v>0</v>
      </c>
      <c r="AR11" s="84">
        <v>0</v>
      </c>
      <c r="AS11" s="84">
        <v>0</v>
      </c>
      <c r="AT11" s="84">
        <v>0</v>
      </c>
      <c r="AU11" s="84">
        <v>747.51979160883104</v>
      </c>
      <c r="AV11" s="84">
        <v>0</v>
      </c>
      <c r="AW11" s="84">
        <v>0</v>
      </c>
      <c r="AX11" s="84">
        <v>1545.98158287724</v>
      </c>
      <c r="AY11" s="84">
        <v>3.9160659340199202</v>
      </c>
      <c r="AZ11" s="84">
        <v>0</v>
      </c>
      <c r="BA11" s="84">
        <v>15.8535672139221</v>
      </c>
      <c r="BB11" s="84">
        <v>0</v>
      </c>
      <c r="BC11" s="84">
        <v>0</v>
      </c>
      <c r="BD11" s="84">
        <v>0</v>
      </c>
    </row>
    <row r="12" spans="1:56" ht="11.25" customHeight="1" x14ac:dyDescent="0.25">
      <c r="A12" s="132"/>
      <c r="B12" s="132"/>
      <c r="C12" s="132"/>
      <c r="D12" s="132"/>
      <c r="E12" s="132"/>
      <c r="F12" s="132"/>
      <c r="G12" s="21" t="s">
        <v>71</v>
      </c>
      <c r="H12" s="21" t="s">
        <v>69</v>
      </c>
      <c r="I12" s="21">
        <f>'MERCADO TUSD'!$U$9</f>
        <v>310.52600000000001</v>
      </c>
      <c r="J12" s="17"/>
      <c r="L12" s="84">
        <f>('TUSD BE'!$L$12+'TUSD BF'!$L$12+'TUSD CVA'!$L$12)*1</f>
        <v>0</v>
      </c>
      <c r="M12" s="84">
        <f>('TUSD BE'!$M$12+'TUSD BF'!$M$12+'TUSD CVA'!$M$12)*1</f>
        <v>0.68928913140797887</v>
      </c>
      <c r="N12" s="84">
        <f ca="1">('TUSD BE'!$N$12+'TUSD BF'!$N$12+'TUSD CVA'!$N$12)*1</f>
        <v>0</v>
      </c>
      <c r="O12" s="84">
        <f>('TUSD BE'!$O$12+'TUSD BF'!$O$12+'TUSD CVA'!$O$12)*1</f>
        <v>0</v>
      </c>
      <c r="P12" s="84">
        <f>('TUSD BE'!$P$12+'TUSD BF'!$P$12+'TUSD CVA'!$P$12)*1</f>
        <v>0</v>
      </c>
      <c r="Q12" s="84">
        <f>('TUSD BE'!$Q$12+'TUSD BF'!$Q$12+'TUSD CVA'!$Q$12)*1</f>
        <v>34.094763633987135</v>
      </c>
      <c r="R12" s="84">
        <f>('TUSD BE'!$R$12+'TUSD BF'!$R$12+'TUSD CVA'!$R$12)*1</f>
        <v>15.185312481265115</v>
      </c>
      <c r="S12" s="84">
        <f>('TUSD BE'!$S$12+'TUSD BF'!$S$12+'TUSD CVA'!$S$12)*1</f>
        <v>0</v>
      </c>
      <c r="T12" s="84">
        <f>('TUSD BE'!$U$12+'TUSD BF'!$U$12+'TUSD CVA'!$U$12)*1</f>
        <v>0</v>
      </c>
      <c r="U12" s="84">
        <f>('TUSD BE'!$V$12+'TUSD BF'!$V$12+'TUSD CVA'!$V$12)*1</f>
        <v>0</v>
      </c>
      <c r="V12" s="84">
        <f>('TUSD BE'!$W$12+'TUSD BF'!$W$12+'TUSD CVA'!$W$12)*1</f>
        <v>0</v>
      </c>
      <c r="W12" s="84">
        <f>('TUSD BE'!$X$12+'TUSD BF'!$X$12+'TUSD CVA'!$X$12)*1</f>
        <v>0</v>
      </c>
      <c r="X12" s="84">
        <f>('TUSD BE'!$Y$12+'TUSD BF'!$Y$12+'TUSD CVA'!$Y$12)*1</f>
        <v>0</v>
      </c>
      <c r="Y12" s="84">
        <f>('TUSD BE'!$Z$12+'TUSD BF'!$Z$12+'TUSD CVA'!$Z$12)*1</f>
        <v>0</v>
      </c>
      <c r="Z12" s="84">
        <f>('TUSD BE'!$AA$12+'TUSD BF'!$AA$12+'TUSD CVA'!$AA$12)*1</f>
        <v>0</v>
      </c>
      <c r="AA12" s="84">
        <f>('TUSD BE'!$AC$12+'TUSD BF'!$AC$12+'TUSD CVA'!$AC$12)*1</f>
        <v>0</v>
      </c>
      <c r="AB12" s="84">
        <f ca="1">('TUSD BE'!$AE$12+'TUSD BF'!$AE$12+'TUSD CVA'!$AE$12)*1</f>
        <v>-8.2127914963144949E-2</v>
      </c>
      <c r="AC12" s="84">
        <f ca="1">('TUSD BE'!$AF$12+'TUSD BF'!$AF$12+'TUSD CVA'!$AF$12)*1</f>
        <v>0</v>
      </c>
      <c r="AD12" s="84">
        <f>('TUSD BE'!$AH$12+'TUSD BF'!$AH$12+'TUSD CVA'!$AH$12)*1</f>
        <v>17.197043216270803</v>
      </c>
      <c r="AE12" s="84">
        <f>('TUSD BE'!$AI$12+'TUSD BF'!$AI$12+'TUSD CVA'!$AI$12)*1</f>
        <v>0</v>
      </c>
      <c r="AF12" s="84">
        <f ca="1">('TUSD BE'!$AJ$12+'TUSD BF'!$AJ$12+'TUSD CVA'!$AJ$12)*1</f>
        <v>0</v>
      </c>
      <c r="AG12" s="84">
        <f ca="1">('TUSD BE'!$AK$12+'TUSD BF'!$AK$12+'TUSD CVA'!$AK$12)*1</f>
        <v>0</v>
      </c>
      <c r="AI12" s="84">
        <v>0</v>
      </c>
      <c r="AJ12" s="84">
        <v>0.65281853546888202</v>
      </c>
      <c r="AK12" s="84">
        <v>0</v>
      </c>
      <c r="AL12" s="84">
        <v>0</v>
      </c>
      <c r="AM12" s="84">
        <v>0</v>
      </c>
      <c r="AN12" s="84">
        <v>21.490744551924301</v>
      </c>
      <c r="AO12" s="84">
        <v>10.102108970403799</v>
      </c>
      <c r="AP12" s="84">
        <v>0</v>
      </c>
      <c r="AQ12" s="84">
        <v>0</v>
      </c>
      <c r="AR12" s="84">
        <v>0</v>
      </c>
      <c r="AS12" s="84">
        <v>0</v>
      </c>
      <c r="AT12" s="84">
        <v>0</v>
      </c>
      <c r="AU12" s="84">
        <v>0</v>
      </c>
      <c r="AV12" s="84">
        <v>0</v>
      </c>
      <c r="AW12" s="84">
        <v>0</v>
      </c>
      <c r="AX12" s="84">
        <v>0</v>
      </c>
      <c r="AY12" s="84">
        <v>6.7284628804578306E-2</v>
      </c>
      <c r="AZ12" s="84">
        <v>0</v>
      </c>
      <c r="BA12" s="84">
        <v>15.8535672139221</v>
      </c>
      <c r="BB12" s="84">
        <v>0</v>
      </c>
      <c r="BC12" s="84">
        <v>0</v>
      </c>
      <c r="BD12" s="84">
        <v>0</v>
      </c>
    </row>
    <row r="13" spans="1:56" ht="11.25" customHeight="1" x14ac:dyDescent="0.25">
      <c r="A13" s="132"/>
      <c r="B13" s="132"/>
      <c r="C13" s="132"/>
      <c r="D13" s="132"/>
      <c r="E13" s="132" t="s">
        <v>78</v>
      </c>
      <c r="F13" s="132" t="s">
        <v>25</v>
      </c>
      <c r="G13" s="21" t="s">
        <v>70</v>
      </c>
      <c r="H13" s="21" t="s">
        <v>69</v>
      </c>
      <c r="I13" s="21">
        <f>'MERCADO TUSD'!$U$10</f>
        <v>0</v>
      </c>
      <c r="J13" s="17"/>
      <c r="L13" s="84">
        <f>('TUSD BE'!$L$13+'TUSD BF'!$L$13+'TUSD CVA'!$L$13)*1</f>
        <v>0</v>
      </c>
      <c r="M13" s="84">
        <f>('TUSD BE'!$M$13+'TUSD BF'!$M$13+'TUSD CVA'!$M$13)*1</f>
        <v>0.68928913140797887</v>
      </c>
      <c r="N13" s="84">
        <f ca="1">('TUSD BE'!$N$13+'TUSD BF'!$N$13+'TUSD CVA'!$N$13)*1</f>
        <v>0</v>
      </c>
      <c r="O13" s="84">
        <f>('TUSD BE'!$O$13+'TUSD BF'!$O$13+'TUSD CVA'!$O$13)*1</f>
        <v>0</v>
      </c>
      <c r="P13" s="84">
        <f>('TUSD BE'!$P$13+'TUSD BF'!$P$13+'TUSD CVA'!$P$13)*1</f>
        <v>0</v>
      </c>
      <c r="Q13" s="84">
        <f>('TUSD BE'!$Q$13+'TUSD BF'!$Q$13+'TUSD CVA'!$Q$13)*1</f>
        <v>0</v>
      </c>
      <c r="R13" s="84">
        <f>('TUSD BE'!$R$13+'TUSD BF'!$R$13+'TUSD CVA'!$R$13)*1</f>
        <v>0</v>
      </c>
      <c r="S13" s="84">
        <f>('TUSD BE'!$S$13+'TUSD BF'!$S$13+'TUSD CVA'!$S$13)*1</f>
        <v>0</v>
      </c>
      <c r="T13" s="84">
        <f>('TUSD BE'!$U$13+'TUSD BF'!$U$13+'TUSD CVA'!$U$13)*1</f>
        <v>0</v>
      </c>
      <c r="U13" s="84">
        <f>('TUSD BE'!$V$13+'TUSD BF'!$V$13+'TUSD CVA'!$V$13)*1</f>
        <v>0</v>
      </c>
      <c r="V13" s="84">
        <f>('TUSD BE'!$W$13+'TUSD BF'!$W$13+'TUSD CVA'!$W$13)*1</f>
        <v>0</v>
      </c>
      <c r="W13" s="84">
        <f>('TUSD BE'!$X$13+'TUSD BF'!$X$13+'TUSD CVA'!$X$13)*1</f>
        <v>0</v>
      </c>
      <c r="X13" s="84">
        <f>('TUSD BE'!$Y$13+'TUSD BF'!$Y$13+'TUSD CVA'!$Y$13)*1</f>
        <v>876.57751355655125</v>
      </c>
      <c r="Y13" s="84">
        <f>('TUSD BE'!$Z$13+'TUSD BF'!$Z$13+'TUSD CVA'!$Z$13)*1</f>
        <v>0</v>
      </c>
      <c r="Z13" s="84">
        <f>('TUSD BE'!$AA$13+'TUSD BF'!$AA$13+'TUSD CVA'!$AA$13)*1</f>
        <v>0</v>
      </c>
      <c r="AA13" s="84">
        <f>('TUSD BE'!$AC$13+'TUSD BF'!$AC$13+'TUSD CVA'!$AC$13)*1</f>
        <v>2059.2493558046358</v>
      </c>
      <c r="AB13" s="84">
        <f ca="1">('TUSD BE'!$AE$13+'TUSD BF'!$AE$13+'TUSD CVA'!$AE$13)*1</f>
        <v>-4.0909042958750561</v>
      </c>
      <c r="AC13" s="84">
        <f ca="1">('TUSD BE'!$AF$13+'TUSD BF'!$AF$13+'TUSD CVA'!$AF$13)*1</f>
        <v>0</v>
      </c>
      <c r="AD13" s="84">
        <f>('TUSD BE'!$AH$13+'TUSD BF'!$AH$13+'TUSD CVA'!$AH$13)*1</f>
        <v>17.197043216270803</v>
      </c>
      <c r="AE13" s="84">
        <f>('TUSD BE'!$AI$13+'TUSD BF'!$AI$13+'TUSD CVA'!$AI$13)*1</f>
        <v>0</v>
      </c>
      <c r="AF13" s="84">
        <f ca="1">('TUSD BE'!$AJ$13+'TUSD BF'!$AJ$13+'TUSD CVA'!$AJ$13)*1</f>
        <v>0</v>
      </c>
      <c r="AG13" s="84">
        <f ca="1">('TUSD BE'!$AK$13+'TUSD BF'!$AK$13+'TUSD CVA'!$AK$13)*1</f>
        <v>0</v>
      </c>
      <c r="AI13" s="84">
        <v>0</v>
      </c>
      <c r="AJ13" s="84">
        <v>0.65281853546888202</v>
      </c>
      <c r="AK13" s="84">
        <v>0</v>
      </c>
      <c r="AL13" s="84">
        <v>0</v>
      </c>
      <c r="AM13" s="84">
        <v>0</v>
      </c>
      <c r="AN13" s="84">
        <v>0</v>
      </c>
      <c r="AO13" s="84">
        <v>0</v>
      </c>
      <c r="AP13" s="84">
        <v>0</v>
      </c>
      <c r="AQ13" s="84">
        <v>0</v>
      </c>
      <c r="AR13" s="84">
        <v>0</v>
      </c>
      <c r="AS13" s="84">
        <v>0</v>
      </c>
      <c r="AT13" s="84">
        <v>0</v>
      </c>
      <c r="AU13" s="84">
        <v>747.51979160883104</v>
      </c>
      <c r="AV13" s="84">
        <v>0</v>
      </c>
      <c r="AW13" s="84">
        <v>0</v>
      </c>
      <c r="AX13" s="84">
        <v>1545.98158287724</v>
      </c>
      <c r="AY13" s="84">
        <v>3.87116146772206</v>
      </c>
      <c r="AZ13" s="84">
        <v>0</v>
      </c>
      <c r="BA13" s="84">
        <v>15.8535672139221</v>
      </c>
      <c r="BB13" s="84">
        <v>0</v>
      </c>
      <c r="BC13" s="84">
        <v>0</v>
      </c>
      <c r="BD13" s="84">
        <v>0</v>
      </c>
    </row>
    <row r="14" spans="1:56" ht="11.25" customHeight="1" x14ac:dyDescent="0.25">
      <c r="A14" s="132"/>
      <c r="B14" s="132"/>
      <c r="C14" s="132"/>
      <c r="D14" s="132"/>
      <c r="E14" s="132"/>
      <c r="F14" s="132"/>
      <c r="G14" s="21" t="s">
        <v>71</v>
      </c>
      <c r="H14" s="21" t="s">
        <v>69</v>
      </c>
      <c r="I14" s="21">
        <f>'MERCADO TUSD'!$U$11</f>
        <v>0</v>
      </c>
      <c r="J14" s="17"/>
      <c r="L14" s="84">
        <f>('TUSD BE'!$L$14+'TUSD BF'!$L$14+'TUSD CVA'!$L$14)*1</f>
        <v>0</v>
      </c>
      <c r="M14" s="84">
        <f>('TUSD BE'!$M$14+'TUSD BF'!$M$14+'TUSD CVA'!$M$14)*1</f>
        <v>0.68928913140797887</v>
      </c>
      <c r="N14" s="84">
        <f ca="1">('TUSD BE'!$N$14+'TUSD BF'!$N$14+'TUSD CVA'!$N$14)*1</f>
        <v>0</v>
      </c>
      <c r="O14" s="84">
        <f>('TUSD BE'!$O$14+'TUSD BF'!$O$14+'TUSD CVA'!$O$14)*1</f>
        <v>0</v>
      </c>
      <c r="P14" s="84">
        <f>('TUSD BE'!$P$14+'TUSD BF'!$P$14+'TUSD CVA'!$P$14)*1</f>
        <v>0</v>
      </c>
      <c r="Q14" s="84">
        <f>('TUSD BE'!$Q$14+'TUSD BF'!$Q$14+'TUSD CVA'!$Q$14)*1</f>
        <v>0</v>
      </c>
      <c r="R14" s="84">
        <f>('TUSD BE'!$R$14+'TUSD BF'!$R$14+'TUSD CVA'!$R$14)*1</f>
        <v>0</v>
      </c>
      <c r="S14" s="84">
        <f>('TUSD BE'!$S$14+'TUSD BF'!$S$14+'TUSD CVA'!$S$14)*1</f>
        <v>0</v>
      </c>
      <c r="T14" s="84">
        <f>('TUSD BE'!$U$14+'TUSD BF'!$U$14+'TUSD CVA'!$U$14)*1</f>
        <v>0</v>
      </c>
      <c r="U14" s="84">
        <f>('TUSD BE'!$V$14+'TUSD BF'!$V$14+'TUSD CVA'!$V$14)*1</f>
        <v>0</v>
      </c>
      <c r="V14" s="84">
        <f>('TUSD BE'!$W$14+'TUSD BF'!$W$14+'TUSD CVA'!$W$14)*1</f>
        <v>0</v>
      </c>
      <c r="W14" s="84">
        <f>('TUSD BE'!$X$14+'TUSD BF'!$X$14+'TUSD CVA'!$X$14)*1</f>
        <v>0</v>
      </c>
      <c r="X14" s="84">
        <f>('TUSD BE'!$Y$14+'TUSD BF'!$Y$14+'TUSD CVA'!$Y$14)*1</f>
        <v>0</v>
      </c>
      <c r="Y14" s="84">
        <f>('TUSD BE'!$Z$14+'TUSD BF'!$Z$14+'TUSD CVA'!$Z$14)*1</f>
        <v>0</v>
      </c>
      <c r="Z14" s="84">
        <f>('TUSD BE'!$AA$14+'TUSD BF'!$AA$14+'TUSD CVA'!$AA$14)*1</f>
        <v>0</v>
      </c>
      <c r="AA14" s="84">
        <f>('TUSD BE'!$AC$14+'TUSD BF'!$AC$14+'TUSD CVA'!$AC$14)*1</f>
        <v>0</v>
      </c>
      <c r="AB14" s="84">
        <f ca="1">('TUSD BE'!$AE$14+'TUSD BF'!$AE$14+'TUSD CVA'!$AE$14)*1</f>
        <v>-2.2523640045526934E-2</v>
      </c>
      <c r="AC14" s="84">
        <f ca="1">('TUSD BE'!$AF$14+'TUSD BF'!$AF$14+'TUSD CVA'!$AF$14)*1</f>
        <v>0</v>
      </c>
      <c r="AD14" s="84">
        <f>('TUSD BE'!$AH$14+'TUSD BF'!$AH$14+'TUSD CVA'!$AH$14)*1</f>
        <v>17.197043216270803</v>
      </c>
      <c r="AE14" s="84">
        <f>('TUSD BE'!$AI$14+'TUSD BF'!$AI$14+'TUSD CVA'!$AI$14)*1</f>
        <v>0</v>
      </c>
      <c r="AF14" s="84">
        <f ca="1">('TUSD BE'!$AJ$14+'TUSD BF'!$AJ$14+'TUSD CVA'!$AJ$14)*1</f>
        <v>0</v>
      </c>
      <c r="AG14" s="84">
        <f ca="1">('TUSD BE'!$AK$14+'TUSD BF'!$AK$14+'TUSD CVA'!$AK$14)*1</f>
        <v>0</v>
      </c>
      <c r="AI14" s="84">
        <v>0</v>
      </c>
      <c r="AJ14" s="84">
        <v>0.65281853546888202</v>
      </c>
      <c r="AK14" s="84">
        <v>0</v>
      </c>
      <c r="AL14" s="84">
        <v>0</v>
      </c>
      <c r="AM14" s="84">
        <v>0</v>
      </c>
      <c r="AN14" s="84">
        <v>0</v>
      </c>
      <c r="AO14" s="84">
        <v>0</v>
      </c>
      <c r="AP14" s="84">
        <v>0</v>
      </c>
      <c r="AQ14" s="84">
        <v>0</v>
      </c>
      <c r="AR14" s="84">
        <v>0</v>
      </c>
      <c r="AS14" s="84">
        <v>0</v>
      </c>
      <c r="AT14" s="84">
        <v>0</v>
      </c>
      <c r="AU14" s="84">
        <v>0</v>
      </c>
      <c r="AV14" s="84">
        <v>0</v>
      </c>
      <c r="AW14" s="84">
        <v>0</v>
      </c>
      <c r="AX14" s="84">
        <v>0</v>
      </c>
      <c r="AY14" s="84">
        <v>2.2380162506717399E-2</v>
      </c>
      <c r="AZ14" s="84">
        <v>0</v>
      </c>
      <c r="BA14" s="84">
        <v>15.8535672139221</v>
      </c>
      <c r="BB14" s="84">
        <v>0</v>
      </c>
      <c r="BC14" s="84">
        <v>0</v>
      </c>
      <c r="BD14" s="84">
        <v>0</v>
      </c>
    </row>
    <row r="15" spans="1:56" ht="11.25" customHeight="1" x14ac:dyDescent="0.25">
      <c r="A15" s="132" t="s">
        <v>80</v>
      </c>
      <c r="B15" s="132" t="s">
        <v>79</v>
      </c>
      <c r="C15" s="132" t="s">
        <v>25</v>
      </c>
      <c r="D15" s="132" t="s">
        <v>25</v>
      </c>
      <c r="E15" s="86" t="s">
        <v>81</v>
      </c>
      <c r="F15" s="86" t="s">
        <v>25</v>
      </c>
      <c r="G15" s="21" t="s">
        <v>9</v>
      </c>
      <c r="H15" s="21" t="s">
        <v>75</v>
      </c>
      <c r="I15" s="21">
        <f>'MERCADO TUSD'!$U$12+0.00000001</f>
        <v>1E-8</v>
      </c>
      <c r="J15" s="17"/>
      <c r="L15" s="84">
        <f>('TUSD BE'!$L$15+'TUSD BF'!$L$15+'TUSD CVA'!$L$15)*1</f>
        <v>0</v>
      </c>
      <c r="M15" s="84">
        <f>('TUSD BE'!$M$15+'TUSD BF'!$M$15+'TUSD CVA'!$M$15)*1</f>
        <v>2.1813758449732715E-2</v>
      </c>
      <c r="N15" s="84">
        <f ca="1">('TUSD BE'!$N$15+'TUSD BF'!$N$15+'TUSD CVA'!$N$15)*1</f>
        <v>0</v>
      </c>
      <c r="O15" s="84">
        <f>('TUSD BE'!$O$15+'TUSD BF'!$O$15+'TUSD CVA'!$O$15)*1</f>
        <v>0</v>
      </c>
      <c r="P15" s="84">
        <f>('TUSD BE'!$P$15+'TUSD BF'!$P$15+'TUSD CVA'!$P$15)*1</f>
        <v>0</v>
      </c>
      <c r="Q15" s="84">
        <f>('TUSD BE'!$Q$15+'TUSD BF'!$Q$15+'TUSD CVA'!$Q$15)*1</f>
        <v>0</v>
      </c>
      <c r="R15" s="84">
        <f>('TUSD BE'!$R$15+'TUSD BF'!$R$15+'TUSD CVA'!$R$15)*1</f>
        <v>0</v>
      </c>
      <c r="S15" s="84">
        <f>('TUSD BE'!$S$15+'TUSD BF'!$S$15+'TUSD CVA'!$S$15)*1</f>
        <v>0</v>
      </c>
      <c r="T15" s="84">
        <f>('TUSD BE'!$U$15+'TUSD BF'!$U$15+'TUSD CVA'!$U$15)*1</f>
        <v>0</v>
      </c>
      <c r="U15" s="84">
        <f>('TUSD BE'!$V$15+'TUSD BF'!$V$15+'TUSD CVA'!$V$15)*1</f>
        <v>0</v>
      </c>
      <c r="V15" s="84">
        <f>('TUSD BE'!$W$15+'TUSD BF'!$W$15+'TUSD CVA'!$W$15)*1</f>
        <v>0</v>
      </c>
      <c r="W15" s="84">
        <f>('TUSD BE'!$X$15+'TUSD BF'!$X$15+'TUSD CVA'!$X$15)*1</f>
        <v>0</v>
      </c>
      <c r="X15" s="84">
        <f>('TUSD BE'!$Y$15+'TUSD BF'!$Y$15+'TUSD CVA'!$Y$15)*1</f>
        <v>0</v>
      </c>
      <c r="Y15" s="84">
        <f>('TUSD BE'!$Z$15+'TUSD BF'!$Z$15+'TUSD CVA'!$Z$15)*1</f>
        <v>0</v>
      </c>
      <c r="Z15" s="84">
        <f>('TUSD BE'!$AA$15+'TUSD BF'!$AA$15+'TUSD CVA'!$AA$15)*1</f>
        <v>0</v>
      </c>
      <c r="AA15" s="84">
        <f>('TUSD BE'!$AC$15+'TUSD BF'!$AC$15+'TUSD CVA'!$AC$15)*1</f>
        <v>5.0851224897615932</v>
      </c>
      <c r="AB15" s="84">
        <f ca="1">('TUSD BE'!$AE$15+'TUSD BF'!$AE$15+'TUSD CVA'!$AE$15)*1</f>
        <v>-7.5699881611508207E-3</v>
      </c>
      <c r="AC15" s="84">
        <f ca="1">('TUSD BE'!$AF$15+'TUSD BF'!$AF$15+'TUSD CVA'!$AF$15)*1</f>
        <v>0</v>
      </c>
      <c r="AD15" s="84">
        <f>('TUSD BE'!$AH$15+'TUSD BF'!$AH$15+'TUSD CVA'!$AH$15)*1</f>
        <v>0</v>
      </c>
      <c r="AE15" s="84">
        <f>('TUSD BE'!$AI$15+'TUSD BF'!$AI$15+'TUSD CVA'!$AI$15)*1</f>
        <v>0</v>
      </c>
      <c r="AF15" s="84">
        <f ca="1">('TUSD BE'!$AJ$15+'TUSD BF'!$AJ$15+'TUSD CVA'!$AJ$15)*1</f>
        <v>0</v>
      </c>
      <c r="AG15" s="84">
        <f ca="1">('TUSD BE'!$AK$15+'TUSD BF'!$AK$15+'TUSD CVA'!$AK$15)*1</f>
        <v>0</v>
      </c>
      <c r="AI15" s="84">
        <v>0</v>
      </c>
      <c r="AJ15" s="84">
        <v>2.0082332148324802E-2</v>
      </c>
      <c r="AK15" s="84">
        <v>0</v>
      </c>
      <c r="AL15" s="84">
        <v>0</v>
      </c>
      <c r="AM15" s="84">
        <v>0</v>
      </c>
      <c r="AN15" s="84">
        <v>0</v>
      </c>
      <c r="AO15" s="84">
        <v>0</v>
      </c>
      <c r="AP15" s="84">
        <v>0</v>
      </c>
      <c r="AQ15" s="84">
        <v>0</v>
      </c>
      <c r="AR15" s="84">
        <v>0</v>
      </c>
      <c r="AS15" s="84">
        <v>0</v>
      </c>
      <c r="AT15" s="84">
        <v>0</v>
      </c>
      <c r="AU15" s="84">
        <v>0</v>
      </c>
      <c r="AV15" s="84">
        <v>0</v>
      </c>
      <c r="AW15" s="84">
        <v>0</v>
      </c>
      <c r="AX15" s="84">
        <v>3.8176417584670701</v>
      </c>
      <c r="AY15" s="84">
        <v>7.0224854736033E-3</v>
      </c>
      <c r="AZ15" s="84">
        <v>0</v>
      </c>
      <c r="BA15" s="84">
        <v>0</v>
      </c>
      <c r="BB15" s="84">
        <v>0</v>
      </c>
      <c r="BC15" s="84">
        <v>0</v>
      </c>
      <c r="BD15" s="84">
        <v>0</v>
      </c>
    </row>
    <row r="16" spans="1:56" ht="11.25" customHeight="1" x14ac:dyDescent="0.25">
      <c r="A16" s="132"/>
      <c r="B16" s="132"/>
      <c r="C16" s="132"/>
      <c r="D16" s="132"/>
      <c r="E16" s="86" t="s">
        <v>82</v>
      </c>
      <c r="F16" s="86" t="s">
        <v>25</v>
      </c>
      <c r="G16" s="21" t="s">
        <v>9</v>
      </c>
      <c r="H16" s="21" t="s">
        <v>75</v>
      </c>
      <c r="I16" s="21">
        <f>'MERCADO TUSD'!$U$13+0.00000001</f>
        <v>1E-8</v>
      </c>
      <c r="J16" s="17"/>
      <c r="L16" s="84">
        <f>('TUSD BE'!$L$16+'TUSD BF'!$L$16+'TUSD CVA'!$L$16)*1</f>
        <v>0</v>
      </c>
      <c r="M16" s="84">
        <f>('TUSD BE'!$M$16+'TUSD BF'!$M$16+'TUSD CVA'!$M$16)*1</f>
        <v>2.1813758449732715E-2</v>
      </c>
      <c r="N16" s="84">
        <f ca="1">('TUSD BE'!$N$16+'TUSD BF'!$N$16+'TUSD CVA'!$N$16)*1</f>
        <v>0</v>
      </c>
      <c r="O16" s="84">
        <f>('TUSD BE'!$O$16+'TUSD BF'!$O$16+'TUSD CVA'!$O$16)*1</f>
        <v>0</v>
      </c>
      <c r="P16" s="84">
        <f>('TUSD BE'!$P$16+'TUSD BF'!$P$16+'TUSD CVA'!$P$16)*1</f>
        <v>0</v>
      </c>
      <c r="Q16" s="84">
        <f>('TUSD BE'!$Q$16+'TUSD BF'!$Q$16+'TUSD CVA'!$Q$16)*1</f>
        <v>0</v>
      </c>
      <c r="R16" s="84">
        <f>('TUSD BE'!$R$16+'TUSD BF'!$R$16+'TUSD CVA'!$R$16)*1</f>
        <v>0</v>
      </c>
      <c r="S16" s="84">
        <f>('TUSD BE'!$S$16+'TUSD BF'!$S$16+'TUSD CVA'!$S$16)*1</f>
        <v>0</v>
      </c>
      <c r="T16" s="84">
        <f>('TUSD BE'!$U$16+'TUSD BF'!$U$16+'TUSD CVA'!$U$16)*1</f>
        <v>0</v>
      </c>
      <c r="U16" s="84">
        <f>('TUSD BE'!$V$16+'TUSD BF'!$V$16+'TUSD CVA'!$V$16)*1</f>
        <v>0</v>
      </c>
      <c r="V16" s="84">
        <f>('TUSD BE'!$W$16+'TUSD BF'!$W$16+'TUSD CVA'!$W$16)*1</f>
        <v>0</v>
      </c>
      <c r="W16" s="84">
        <f>('TUSD BE'!$X$16+'TUSD BF'!$X$16+'TUSD CVA'!$X$16)*1</f>
        <v>0</v>
      </c>
      <c r="X16" s="84">
        <f>('TUSD BE'!$Y$16+'TUSD BF'!$Y$16+'TUSD CVA'!$Y$16)*1</f>
        <v>0</v>
      </c>
      <c r="Y16" s="84">
        <f>('TUSD BE'!$Z$16+'TUSD BF'!$Z$16+'TUSD CVA'!$Z$16)*1</f>
        <v>0</v>
      </c>
      <c r="Z16" s="84">
        <f>('TUSD BE'!$AA$16+'TUSD BF'!$AA$16+'TUSD CVA'!$AA$16)*1</f>
        <v>0</v>
      </c>
      <c r="AA16" s="84">
        <f>('TUSD BE'!$AC$16+'TUSD BF'!$AC$16+'TUSD CVA'!$AC$16)*1</f>
        <v>15.355981643320039</v>
      </c>
      <c r="AB16" s="84">
        <f ca="1">('TUSD BE'!$AE$16+'TUSD BF'!$AE$16+'TUSD CVA'!$AE$16)*1</f>
        <v>-2.2804747473876213E-2</v>
      </c>
      <c r="AC16" s="84">
        <f ca="1">('TUSD BE'!$AF$16+'TUSD BF'!$AF$16+'TUSD CVA'!$AF$16)*1</f>
        <v>0</v>
      </c>
      <c r="AD16" s="84">
        <f>('TUSD BE'!$AH$16+'TUSD BF'!$AH$16+'TUSD CVA'!$AH$16)*1</f>
        <v>0</v>
      </c>
      <c r="AE16" s="84">
        <f>('TUSD BE'!$AI$16+'TUSD BF'!$AI$16+'TUSD CVA'!$AI$16)*1</f>
        <v>0</v>
      </c>
      <c r="AF16" s="84">
        <f ca="1">('TUSD BE'!$AJ$16+'TUSD BF'!$AJ$16+'TUSD CVA'!$AJ$16)*1</f>
        <v>0</v>
      </c>
      <c r="AG16" s="84">
        <f ca="1">('TUSD BE'!$AK$16+'TUSD BF'!$AK$16+'TUSD CVA'!$AK$16)*1</f>
        <v>0</v>
      </c>
      <c r="AI16" s="84">
        <v>0</v>
      </c>
      <c r="AJ16" s="84">
        <v>2.0082332148324802E-2</v>
      </c>
      <c r="AK16" s="84">
        <v>0</v>
      </c>
      <c r="AL16" s="84">
        <v>0</v>
      </c>
      <c r="AM16" s="84">
        <v>0</v>
      </c>
      <c r="AN16" s="84">
        <v>0</v>
      </c>
      <c r="AO16" s="84">
        <v>0</v>
      </c>
      <c r="AP16" s="84">
        <v>0</v>
      </c>
      <c r="AQ16" s="84">
        <v>0</v>
      </c>
      <c r="AR16" s="84">
        <v>0</v>
      </c>
      <c r="AS16" s="84">
        <v>0</v>
      </c>
      <c r="AT16" s="84">
        <v>0</v>
      </c>
      <c r="AU16" s="84">
        <v>0</v>
      </c>
      <c r="AV16" s="84">
        <v>0</v>
      </c>
      <c r="AW16" s="84">
        <v>0</v>
      </c>
      <c r="AX16" s="84">
        <v>11.528519279743</v>
      </c>
      <c r="AY16" s="84">
        <v>2.11456623734422E-2</v>
      </c>
      <c r="AZ16" s="84">
        <v>0</v>
      </c>
      <c r="BA16" s="84">
        <v>0</v>
      </c>
      <c r="BB16" s="84">
        <v>0</v>
      </c>
      <c r="BC16" s="84">
        <v>0</v>
      </c>
      <c r="BD16" s="84">
        <v>0</v>
      </c>
    </row>
    <row r="17" spans="1:56" ht="11.25" customHeight="1" x14ac:dyDescent="0.25">
      <c r="A17" s="132" t="s">
        <v>22</v>
      </c>
      <c r="B17" s="132" t="s">
        <v>39</v>
      </c>
      <c r="C17" s="132" t="s">
        <v>24</v>
      </c>
      <c r="D17" s="132" t="s">
        <v>24</v>
      </c>
      <c r="E17" s="132" t="s">
        <v>25</v>
      </c>
      <c r="F17" s="132" t="s">
        <v>25</v>
      </c>
      <c r="G17" s="21" t="s">
        <v>70</v>
      </c>
      <c r="H17" s="21" t="s">
        <v>69</v>
      </c>
      <c r="I17" s="21">
        <f>'MERCADO TUSD'!$U$14</f>
        <v>0</v>
      </c>
      <c r="J17" s="17"/>
      <c r="L17" s="84">
        <f>('TUSD BE'!$L$17+'TUSD BF'!$L$17+'TUSD CVA'!$L$17)*1</f>
        <v>0</v>
      </c>
      <c r="M17" s="84">
        <f>('TUSD BE'!$M$17+'TUSD BF'!$M$17+'TUSD CVA'!$M$17)*1</f>
        <v>2.0733889524506908</v>
      </c>
      <c r="N17" s="84">
        <f ca="1">('TUSD BE'!$N$17+'TUSD BF'!$N$17+'TUSD CVA'!$N$17)*1</f>
        <v>0</v>
      </c>
      <c r="O17" s="84">
        <f>('TUSD BE'!$O$17+'TUSD BF'!$O$17+'TUSD CVA'!$O$17)*1</f>
        <v>0</v>
      </c>
      <c r="P17" s="84">
        <f>('TUSD BE'!$P$17+'TUSD BF'!$P$17+'TUSD CVA'!$P$17)*1</f>
        <v>0</v>
      </c>
      <c r="Q17" s="84">
        <f>('TUSD BE'!$Q$17+'TUSD BF'!$Q$17+'TUSD CVA'!$Q$17)*1</f>
        <v>40.589004326175157</v>
      </c>
      <c r="R17" s="84">
        <f>('TUSD BE'!$R$17+'TUSD BF'!$R$17+'TUSD CVA'!$R$17)*1</f>
        <v>15.185312481265115</v>
      </c>
      <c r="S17" s="84">
        <f>('TUSD BE'!$S$17+'TUSD BF'!$S$17+'TUSD CVA'!$S$17)*1</f>
        <v>0</v>
      </c>
      <c r="T17" s="84">
        <f>('TUSD BE'!$U$17+'TUSD BF'!$U$17+'TUSD CVA'!$U$17)*1</f>
        <v>0</v>
      </c>
      <c r="U17" s="84">
        <f>('TUSD BE'!$V$17+'TUSD BF'!$V$17+'TUSD CVA'!$V$17)*1</f>
        <v>0</v>
      </c>
      <c r="V17" s="84">
        <f>('TUSD BE'!$W$17+'TUSD BF'!$W$17+'TUSD CVA'!$W$17)*1</f>
        <v>0</v>
      </c>
      <c r="W17" s="84">
        <f>('TUSD BE'!$X$17+'TUSD BF'!$X$17+'TUSD CVA'!$X$17)*1</f>
        <v>0</v>
      </c>
      <c r="X17" s="84">
        <f>('TUSD BE'!$Y$17+'TUSD BF'!$Y$17+'TUSD CVA'!$Y$17)*1</f>
        <v>427.7226707644428</v>
      </c>
      <c r="Y17" s="84">
        <f>('TUSD BE'!$Z$17+'TUSD BF'!$Z$17+'TUSD CVA'!$Z$17)*1</f>
        <v>0</v>
      </c>
      <c r="Z17" s="84">
        <f>('TUSD BE'!$AA$17+'TUSD BF'!$AA$17+'TUSD CVA'!$AA$17)*1</f>
        <v>0</v>
      </c>
      <c r="AA17" s="84">
        <f>('TUSD BE'!$AC$17+'TUSD BF'!$AC$17+'TUSD CVA'!$AC$17)*1</f>
        <v>1262.9297486629964</v>
      </c>
      <c r="AB17" s="84">
        <f ca="1">('TUSD BE'!$AE$17+'TUSD BF'!$AE$17+'TUSD CVA'!$AE$17)*1</f>
        <v>-2.4852607732988732</v>
      </c>
      <c r="AC17" s="84">
        <f ca="1">('TUSD BE'!$AF$17+'TUSD BF'!$AF$17+'TUSD CVA'!$AF$17)*1</f>
        <v>0</v>
      </c>
      <c r="AD17" s="84">
        <f>('TUSD BE'!$AH$17+'TUSD BF'!$AH$17+'TUSD CVA'!$AH$17)*1</f>
        <v>37.458314086654909</v>
      </c>
      <c r="AE17" s="84">
        <f>('TUSD BE'!$AI$17+'TUSD BF'!$AI$17+'TUSD CVA'!$AI$17)*1</f>
        <v>0</v>
      </c>
      <c r="AF17" s="84">
        <f ca="1">('TUSD BE'!$AJ$17+'TUSD BF'!$AJ$17+'TUSD CVA'!$AJ$17)*1</f>
        <v>0</v>
      </c>
      <c r="AG17" s="84">
        <f ca="1">('TUSD BE'!$AK$17+'TUSD BF'!$AK$17+'TUSD CVA'!$AK$17)*1</f>
        <v>0</v>
      </c>
      <c r="AI17" s="84">
        <v>0</v>
      </c>
      <c r="AJ17" s="84">
        <v>1.61574194917057</v>
      </c>
      <c r="AK17" s="84">
        <v>0</v>
      </c>
      <c r="AL17" s="84">
        <v>0</v>
      </c>
      <c r="AM17" s="84">
        <v>0</v>
      </c>
      <c r="AN17" s="84">
        <v>24.702005232096901</v>
      </c>
      <c r="AO17" s="84">
        <v>10.102108970403799</v>
      </c>
      <c r="AP17" s="84">
        <v>0</v>
      </c>
      <c r="AQ17" s="84">
        <v>0</v>
      </c>
      <c r="AR17" s="84">
        <v>0</v>
      </c>
      <c r="AS17" s="84">
        <v>0</v>
      </c>
      <c r="AT17" s="84">
        <v>0</v>
      </c>
      <c r="AU17" s="84">
        <v>364.74946804081401</v>
      </c>
      <c r="AV17" s="84">
        <v>0</v>
      </c>
      <c r="AW17" s="84">
        <v>0</v>
      </c>
      <c r="AX17" s="84">
        <v>948.14459279990297</v>
      </c>
      <c r="AY17" s="84">
        <v>2.3314500705903898</v>
      </c>
      <c r="AZ17" s="84">
        <v>0</v>
      </c>
      <c r="BA17" s="84">
        <v>34.531941736163702</v>
      </c>
      <c r="BB17" s="84">
        <v>0</v>
      </c>
      <c r="BC17" s="84">
        <v>0</v>
      </c>
      <c r="BD17" s="84">
        <v>0</v>
      </c>
    </row>
    <row r="18" spans="1:56" ht="11.25" customHeight="1" x14ac:dyDescent="0.25">
      <c r="A18" s="132"/>
      <c r="B18" s="132"/>
      <c r="C18" s="132"/>
      <c r="D18" s="132"/>
      <c r="E18" s="132"/>
      <c r="F18" s="132"/>
      <c r="G18" s="21" t="s">
        <v>83</v>
      </c>
      <c r="H18" s="21" t="s">
        <v>69</v>
      </c>
      <c r="I18" s="21">
        <f>'MERCADO TUSD'!$U$15</f>
        <v>5.0000000000000001E-3</v>
      </c>
      <c r="J18" s="17"/>
      <c r="L18" s="84">
        <f>('TUSD BE'!$L$18+'TUSD BF'!$L$18+'TUSD CVA'!$L$18)*1</f>
        <v>0</v>
      </c>
      <c r="M18" s="84">
        <f>('TUSD BE'!$M$18+'TUSD BF'!$M$18+'TUSD CVA'!$M$18)*1</f>
        <v>2.0733889524506908</v>
      </c>
      <c r="N18" s="84">
        <f ca="1">('TUSD BE'!$N$18+'TUSD BF'!$N$18+'TUSD CVA'!$N$18)*1</f>
        <v>0</v>
      </c>
      <c r="O18" s="84">
        <f>('TUSD BE'!$O$18+'TUSD BF'!$O$18+'TUSD CVA'!$O$18)*1</f>
        <v>0</v>
      </c>
      <c r="P18" s="84">
        <f>('TUSD BE'!$P$18+'TUSD BF'!$P$18+'TUSD CVA'!$P$18)*1</f>
        <v>0</v>
      </c>
      <c r="Q18" s="84">
        <f>('TUSD BE'!$Q$18+'TUSD BF'!$Q$18+'TUSD CVA'!$Q$18)*1</f>
        <v>40.589004326175157</v>
      </c>
      <c r="R18" s="84">
        <f>('TUSD BE'!$R$18+'TUSD BF'!$R$18+'TUSD CVA'!$R$18)*1</f>
        <v>15.185312481265115</v>
      </c>
      <c r="S18" s="84">
        <f>('TUSD BE'!$S$18+'TUSD BF'!$S$18+'TUSD CVA'!$S$18)*1</f>
        <v>0</v>
      </c>
      <c r="T18" s="84">
        <f>('TUSD BE'!$U$18+'TUSD BF'!$U$18+'TUSD CVA'!$U$18)*1</f>
        <v>0</v>
      </c>
      <c r="U18" s="84">
        <f>('TUSD BE'!$V$18+'TUSD BF'!$V$18+'TUSD CVA'!$V$18)*1</f>
        <v>0</v>
      </c>
      <c r="V18" s="84">
        <f>('TUSD BE'!$W$18+'TUSD BF'!$W$18+'TUSD CVA'!$W$18)*1</f>
        <v>0</v>
      </c>
      <c r="W18" s="84">
        <f>('TUSD BE'!$X$18+'TUSD BF'!$X$18+'TUSD CVA'!$X$18)*1</f>
        <v>0</v>
      </c>
      <c r="X18" s="84">
        <f>('TUSD BE'!$Y$18+'TUSD BF'!$Y$18+'TUSD CVA'!$Y$18)*1</f>
        <v>256.63136389400825</v>
      </c>
      <c r="Y18" s="84">
        <f>('TUSD BE'!$Z$18+'TUSD BF'!$Z$18+'TUSD CVA'!$Z$18)*1</f>
        <v>0</v>
      </c>
      <c r="Z18" s="84">
        <f>('TUSD BE'!$AA$18+'TUSD BF'!$AA$18+'TUSD CVA'!$AA$18)*1</f>
        <v>0</v>
      </c>
      <c r="AA18" s="84">
        <f>('TUSD BE'!$AC$18+'TUSD BF'!$AC$18+'TUSD CVA'!$AC$18)*1</f>
        <v>757.757582262234</v>
      </c>
      <c r="AB18" s="84">
        <f ca="1">('TUSD BE'!$AE$18+'TUSD BF'!$AE$18+'TUSD CVA'!$AE$18)*1</f>
        <v>-1.538045671774777</v>
      </c>
      <c r="AC18" s="84">
        <f ca="1">('TUSD BE'!$AF$18+'TUSD BF'!$AF$18+'TUSD CVA'!$AF$18)*1</f>
        <v>0</v>
      </c>
      <c r="AD18" s="84">
        <f>('TUSD BE'!$AH$18+'TUSD BF'!$AH$18+'TUSD CVA'!$AH$18)*1</f>
        <v>37.458314086654909</v>
      </c>
      <c r="AE18" s="84">
        <f>('TUSD BE'!$AI$18+'TUSD BF'!$AI$18+'TUSD CVA'!$AI$18)*1</f>
        <v>0</v>
      </c>
      <c r="AF18" s="84">
        <f ca="1">('TUSD BE'!$AJ$18+'TUSD BF'!$AJ$18+'TUSD CVA'!$AJ$18)*1</f>
        <v>0</v>
      </c>
      <c r="AG18" s="84">
        <f ca="1">('TUSD BE'!$AK$18+'TUSD BF'!$AK$18+'TUSD CVA'!$AK$18)*1</f>
        <v>0</v>
      </c>
      <c r="AI18" s="84">
        <v>0</v>
      </c>
      <c r="AJ18" s="84">
        <v>1.61574194917057</v>
      </c>
      <c r="AK18" s="84">
        <v>0</v>
      </c>
      <c r="AL18" s="84">
        <v>0</v>
      </c>
      <c r="AM18" s="84">
        <v>0</v>
      </c>
      <c r="AN18" s="84">
        <v>24.702005232096901</v>
      </c>
      <c r="AO18" s="84">
        <v>10.102108970403799</v>
      </c>
      <c r="AP18" s="84">
        <v>0</v>
      </c>
      <c r="AQ18" s="84">
        <v>0</v>
      </c>
      <c r="AR18" s="84">
        <v>0</v>
      </c>
      <c r="AS18" s="84">
        <v>0</v>
      </c>
      <c r="AT18" s="84">
        <v>0</v>
      </c>
      <c r="AU18" s="84">
        <v>218.847761197794</v>
      </c>
      <c r="AV18" s="84">
        <v>0</v>
      </c>
      <c r="AW18" s="84">
        <v>0</v>
      </c>
      <c r="AX18" s="84">
        <v>568.88650996329295</v>
      </c>
      <c r="AY18" s="84">
        <v>1.4382709834498399</v>
      </c>
      <c r="AZ18" s="84">
        <v>0</v>
      </c>
      <c r="BA18" s="84">
        <v>34.531941736163702</v>
      </c>
      <c r="BB18" s="84">
        <v>0</v>
      </c>
      <c r="BC18" s="84">
        <v>0</v>
      </c>
      <c r="BD18" s="84">
        <v>0</v>
      </c>
    </row>
    <row r="19" spans="1:56" ht="11.25" customHeight="1" x14ac:dyDescent="0.25">
      <c r="A19" s="132"/>
      <c r="B19" s="132"/>
      <c r="C19" s="132"/>
      <c r="D19" s="132"/>
      <c r="E19" s="132"/>
      <c r="F19" s="132"/>
      <c r="G19" s="21" t="s">
        <v>71</v>
      </c>
      <c r="H19" s="21" t="s">
        <v>69</v>
      </c>
      <c r="I19" s="21">
        <f>'MERCADO TUSD'!$U$16</f>
        <v>0.96600000000000008</v>
      </c>
      <c r="J19" s="17"/>
      <c r="L19" s="84">
        <f>('TUSD BE'!$L$19+'TUSD BF'!$L$19+'TUSD CVA'!$L$19)*1</f>
        <v>0</v>
      </c>
      <c r="M19" s="84">
        <f>('TUSD BE'!$M$19+'TUSD BF'!$M$19+'TUSD CVA'!$M$19)*1</f>
        <v>2.0733889524506908</v>
      </c>
      <c r="N19" s="84">
        <f ca="1">('TUSD BE'!$N$19+'TUSD BF'!$N$19+'TUSD CVA'!$N$19)*1</f>
        <v>0</v>
      </c>
      <c r="O19" s="84">
        <f>('TUSD BE'!$O$19+'TUSD BF'!$O$19+'TUSD CVA'!$O$19)*1</f>
        <v>0</v>
      </c>
      <c r="P19" s="84">
        <f>('TUSD BE'!$P$19+'TUSD BF'!$P$19+'TUSD CVA'!$P$19)*1</f>
        <v>0</v>
      </c>
      <c r="Q19" s="84">
        <f>('TUSD BE'!$Q$19+'TUSD BF'!$Q$19+'TUSD CVA'!$Q$19)*1</f>
        <v>40.589004326175157</v>
      </c>
      <c r="R19" s="84">
        <f>('TUSD BE'!$R$19+'TUSD BF'!$R$19+'TUSD CVA'!$R$19)*1</f>
        <v>15.185312481265115</v>
      </c>
      <c r="S19" s="84">
        <f>('TUSD BE'!$S$19+'TUSD BF'!$S$19+'TUSD CVA'!$S$19)*1</f>
        <v>0</v>
      </c>
      <c r="T19" s="84">
        <f>('TUSD BE'!$U$19+'TUSD BF'!$U$19+'TUSD CVA'!$U$19)*1</f>
        <v>0</v>
      </c>
      <c r="U19" s="84">
        <f>('TUSD BE'!$V$19+'TUSD BF'!$V$19+'TUSD CVA'!$V$19)*1</f>
        <v>0</v>
      </c>
      <c r="V19" s="84">
        <f>('TUSD BE'!$W$19+'TUSD BF'!$W$19+'TUSD CVA'!$W$19)*1</f>
        <v>0</v>
      </c>
      <c r="W19" s="84">
        <f>('TUSD BE'!$X$19+'TUSD BF'!$X$19+'TUSD CVA'!$X$19)*1</f>
        <v>0</v>
      </c>
      <c r="X19" s="84">
        <f>('TUSD BE'!$Y$19+'TUSD BF'!$Y$19+'TUSD CVA'!$Y$19)*1</f>
        <v>85.542976890518162</v>
      </c>
      <c r="Y19" s="84">
        <f>('TUSD BE'!$Z$19+'TUSD BF'!$Z$19+'TUSD CVA'!$Z$19)*1</f>
        <v>0</v>
      </c>
      <c r="Z19" s="84">
        <f>('TUSD BE'!$AA$19+'TUSD BF'!$AA$19+'TUSD CVA'!$AA$19)*1</f>
        <v>0</v>
      </c>
      <c r="AA19" s="84">
        <f>('TUSD BE'!$AC$19+'TUSD BF'!$AC$19+'TUSD CVA'!$AC$19)*1</f>
        <v>252.58592919909435</v>
      </c>
      <c r="AB19" s="84">
        <f ca="1">('TUSD BE'!$AE$19+'TUSD BF'!$AE$19+'TUSD CVA'!$AE$19)*1</f>
        <v>-0.59083470896123902</v>
      </c>
      <c r="AC19" s="84">
        <f ca="1">('TUSD BE'!$AF$19+'TUSD BF'!$AF$19+'TUSD CVA'!$AF$19)*1</f>
        <v>0</v>
      </c>
      <c r="AD19" s="84">
        <f>('TUSD BE'!$AH$19+'TUSD BF'!$AH$19+'TUSD CVA'!$AH$19)*1</f>
        <v>37.458314086654909</v>
      </c>
      <c r="AE19" s="84">
        <f>('TUSD BE'!$AI$19+'TUSD BF'!$AI$19+'TUSD CVA'!$AI$19)*1</f>
        <v>0</v>
      </c>
      <c r="AF19" s="84">
        <f ca="1">('TUSD BE'!$AJ$19+'TUSD BF'!$AJ$19+'TUSD CVA'!$AJ$19)*1</f>
        <v>0</v>
      </c>
      <c r="AG19" s="84">
        <f ca="1">('TUSD BE'!$AK$19+'TUSD BF'!$AK$19+'TUSD CVA'!$AK$19)*1</f>
        <v>0</v>
      </c>
      <c r="AI19" s="84">
        <v>0</v>
      </c>
      <c r="AJ19" s="84">
        <v>1.61574194917057</v>
      </c>
      <c r="AK19" s="84">
        <v>0</v>
      </c>
      <c r="AL19" s="84">
        <v>0</v>
      </c>
      <c r="AM19" s="84">
        <v>0</v>
      </c>
      <c r="AN19" s="84">
        <v>24.702005232096901</v>
      </c>
      <c r="AO19" s="84">
        <v>10.102108970403799</v>
      </c>
      <c r="AP19" s="84">
        <v>0</v>
      </c>
      <c r="AQ19" s="84">
        <v>0</v>
      </c>
      <c r="AR19" s="84">
        <v>0</v>
      </c>
      <c r="AS19" s="84">
        <v>0</v>
      </c>
      <c r="AT19" s="84">
        <v>0</v>
      </c>
      <c r="AU19" s="84">
        <v>72.9485738648102</v>
      </c>
      <c r="AV19" s="84">
        <v>0</v>
      </c>
      <c r="AW19" s="84">
        <v>0</v>
      </c>
      <c r="AX19" s="84">
        <v>189.62886074429801</v>
      </c>
      <c r="AY19" s="84">
        <v>0.545096118899694</v>
      </c>
      <c r="AZ19" s="84">
        <v>0</v>
      </c>
      <c r="BA19" s="84">
        <v>34.531941736163702</v>
      </c>
      <c r="BB19" s="84">
        <v>0</v>
      </c>
      <c r="BC19" s="84">
        <v>0</v>
      </c>
      <c r="BD19" s="84">
        <v>0</v>
      </c>
    </row>
    <row r="20" spans="1:56" ht="11.25" customHeight="1" x14ac:dyDescent="0.25">
      <c r="A20" s="132"/>
      <c r="B20" s="132" t="s">
        <v>23</v>
      </c>
      <c r="C20" s="132" t="s">
        <v>24</v>
      </c>
      <c r="D20" s="86" t="s">
        <v>24</v>
      </c>
      <c r="E20" s="86" t="s">
        <v>25</v>
      </c>
      <c r="F20" s="86" t="s">
        <v>25</v>
      </c>
      <c r="G20" s="21" t="s">
        <v>73</v>
      </c>
      <c r="H20" s="21" t="s">
        <v>69</v>
      </c>
      <c r="I20" s="21">
        <f>'MERCADO TUSD'!$U$17</f>
        <v>2520.6710000000003</v>
      </c>
      <c r="J20" s="17"/>
      <c r="L20" s="84">
        <f>('TUSD BE'!$L$20+'TUSD BF'!$L$20+'TUSD CVA'!$L$20)*1</f>
        <v>0</v>
      </c>
      <c r="M20" s="84">
        <f>('TUSD BE'!$M$20+'TUSD BF'!$M$20+'TUSD CVA'!$M$20)*1</f>
        <v>2.0733889524506908</v>
      </c>
      <c r="N20" s="84">
        <f ca="1">('TUSD BE'!$N$20+'TUSD BF'!$N$20+'TUSD CVA'!$N$20)*1</f>
        <v>0</v>
      </c>
      <c r="O20" s="84">
        <f>('TUSD BE'!$O$20+'TUSD BF'!$O$20+'TUSD CVA'!$O$20)*1</f>
        <v>0</v>
      </c>
      <c r="P20" s="84">
        <f>('TUSD BE'!$P$20+'TUSD BF'!$P$20+'TUSD CVA'!$P$20)*1</f>
        <v>0</v>
      </c>
      <c r="Q20" s="84">
        <f>('TUSD BE'!$Q$20+'TUSD BF'!$Q$20+'TUSD CVA'!$Q$20)*1</f>
        <v>40.589004326175157</v>
      </c>
      <c r="R20" s="84">
        <f>('TUSD BE'!$R$20+'TUSD BF'!$R$20+'TUSD CVA'!$R$20)*1</f>
        <v>15.185312481265115</v>
      </c>
      <c r="S20" s="84">
        <f>('TUSD BE'!$S$20+'TUSD BF'!$S$20+'TUSD CVA'!$S$20)*1</f>
        <v>0</v>
      </c>
      <c r="T20" s="84">
        <f>('TUSD BE'!$U$20+'TUSD BF'!$U$20+'TUSD CVA'!$U$20)*1</f>
        <v>0</v>
      </c>
      <c r="U20" s="84">
        <f>('TUSD BE'!$V$20+'TUSD BF'!$V$20+'TUSD CVA'!$V$20)*1</f>
        <v>0</v>
      </c>
      <c r="V20" s="84">
        <f>('TUSD BE'!$W$20+'TUSD BF'!$W$20+'TUSD CVA'!$W$20)*1</f>
        <v>0</v>
      </c>
      <c r="W20" s="84">
        <f>('TUSD BE'!$X$20+'TUSD BF'!$X$20+'TUSD CVA'!$X$20)*1</f>
        <v>0</v>
      </c>
      <c r="X20" s="84">
        <f>('TUSD BE'!$Y$20+'TUSD BF'!$Y$20+'TUSD CVA'!$Y$20)*1</f>
        <v>142.5735747288266</v>
      </c>
      <c r="Y20" s="84">
        <f>('TUSD BE'!$Z$20+'TUSD BF'!$Z$20+'TUSD CVA'!$Z$20)*1</f>
        <v>0</v>
      </c>
      <c r="Z20" s="84">
        <f>('TUSD BE'!$AA$20+'TUSD BF'!$AA$20+'TUSD CVA'!$AA$20)*1</f>
        <v>0</v>
      </c>
      <c r="AA20" s="84">
        <f>('TUSD BE'!$AC$20+'TUSD BF'!$AC$20+'TUSD CVA'!$AC$20)*1</f>
        <v>420.97637755261638</v>
      </c>
      <c r="AB20" s="84">
        <f ca="1">('TUSD BE'!$AE$20+'TUSD BF'!$AE$20+'TUSD CVA'!$AE$20)*1</f>
        <v>-0.9065728576646378</v>
      </c>
      <c r="AC20" s="84">
        <f ca="1">('TUSD BE'!$AF$20+'TUSD BF'!$AF$20+'TUSD CVA'!$AF$20)*1</f>
        <v>0</v>
      </c>
      <c r="AD20" s="84">
        <f>('TUSD BE'!$AH$20+'TUSD BF'!$AH$20+'TUSD CVA'!$AH$20)*1</f>
        <v>37.458314086654909</v>
      </c>
      <c r="AE20" s="84">
        <f>('TUSD BE'!$AI$20+'TUSD BF'!$AI$20+'TUSD CVA'!$AI$20)*1</f>
        <v>0</v>
      </c>
      <c r="AF20" s="84">
        <f ca="1">('TUSD BE'!$AJ$20+'TUSD BF'!$AJ$20+'TUSD CVA'!$AJ$20)*1</f>
        <v>0</v>
      </c>
      <c r="AG20" s="84">
        <f ca="1">('TUSD BE'!$AK$20+'TUSD BF'!$AK$20+'TUSD CVA'!$AK$20)*1</f>
        <v>0</v>
      </c>
      <c r="AI20" s="84">
        <v>0</v>
      </c>
      <c r="AJ20" s="84">
        <v>1.61574194917057</v>
      </c>
      <c r="AK20" s="84">
        <v>0</v>
      </c>
      <c r="AL20" s="84">
        <v>0</v>
      </c>
      <c r="AM20" s="84">
        <v>0</v>
      </c>
      <c r="AN20" s="84">
        <v>24.702005232096901</v>
      </c>
      <c r="AO20" s="84">
        <v>10.102108970403799</v>
      </c>
      <c r="AP20" s="84">
        <v>0</v>
      </c>
      <c r="AQ20" s="84">
        <v>0</v>
      </c>
      <c r="AR20" s="84">
        <v>0</v>
      </c>
      <c r="AS20" s="84">
        <v>0</v>
      </c>
      <c r="AT20" s="84">
        <v>0</v>
      </c>
      <c r="AU20" s="84">
        <v>121.582556130263</v>
      </c>
      <c r="AV20" s="84">
        <v>0</v>
      </c>
      <c r="AW20" s="84">
        <v>0</v>
      </c>
      <c r="AX20" s="84">
        <v>316.04805306076202</v>
      </c>
      <c r="AY20" s="84">
        <v>0.84282228125778003</v>
      </c>
      <c r="AZ20" s="84">
        <v>0</v>
      </c>
      <c r="BA20" s="84">
        <v>34.531941736163702</v>
      </c>
      <c r="BB20" s="84">
        <v>0</v>
      </c>
      <c r="BC20" s="84">
        <v>0</v>
      </c>
      <c r="BD20" s="84">
        <v>0</v>
      </c>
    </row>
    <row r="21" spans="1:56" ht="11.25" customHeight="1" x14ac:dyDescent="0.25">
      <c r="A21" s="132"/>
      <c r="B21" s="132"/>
      <c r="C21" s="132"/>
      <c r="D21" s="86" t="s">
        <v>28</v>
      </c>
      <c r="E21" s="86" t="s">
        <v>25</v>
      </c>
      <c r="F21" s="86" t="s">
        <v>25</v>
      </c>
      <c r="G21" s="21" t="s">
        <v>73</v>
      </c>
      <c r="H21" s="21" t="s">
        <v>69</v>
      </c>
      <c r="I21" s="21">
        <f>'MERCADO TUSD'!$U$18</f>
        <v>782.16</v>
      </c>
      <c r="J21" s="17"/>
      <c r="L21" s="84">
        <f>('TUSD BE'!$L$21+'TUSD BF'!$L$21+'TUSD CVA'!$L$21)*(1 - 0.65)</f>
        <v>0</v>
      </c>
      <c r="M21" s="84">
        <f>('TUSD BE'!$M$21+'TUSD BF'!$M$21+'TUSD CVA'!$M$21)*(1 - 0.65)</f>
        <v>0.72568613335774168</v>
      </c>
      <c r="N21" s="84">
        <f ca="1">('TUSD BE'!$N$21+'TUSD BF'!$N$21+'TUSD CVA'!$N$21)*(1 - 0.65)</f>
        <v>0</v>
      </c>
      <c r="O21" s="84">
        <f>('TUSD BE'!$O$21+'TUSD BF'!$O$21+'TUSD CVA'!$O$21)*(1 - 0.65)</f>
        <v>0</v>
      </c>
      <c r="P21" s="84">
        <v>0</v>
      </c>
      <c r="Q21" s="84">
        <f>('TUSD BE'!$Q$21+'TUSD BF'!$Q$21+'TUSD CVA'!$Q$21)*(1 - 0.65)</f>
        <v>0</v>
      </c>
      <c r="R21" s="84">
        <v>0</v>
      </c>
      <c r="S21" s="84">
        <f>('TUSD BE'!$S$21+'TUSD BF'!$S$21+'TUSD CVA'!$S$21)*(1 - 0.65)</f>
        <v>0</v>
      </c>
      <c r="T21" s="84">
        <f>('TUSD BE'!$U$21+'TUSD BF'!$U$21+'TUSD CVA'!$U$21)*(1 - 0.65)</f>
        <v>0</v>
      </c>
      <c r="U21" s="84">
        <f>('TUSD BE'!$V$21+'TUSD BF'!$V$21+'TUSD CVA'!$V$21)*(1 - 0.65)</f>
        <v>0</v>
      </c>
      <c r="V21" s="84">
        <f>('TUSD BE'!$W$21+'TUSD BF'!$W$21+'TUSD CVA'!$W$21)*(1 - 0.65)</f>
        <v>0</v>
      </c>
      <c r="W21" s="84">
        <f>('TUSD BE'!$X$21+'TUSD BF'!$X$21+'TUSD CVA'!$X$21)*(1 - 0.65)</f>
        <v>0</v>
      </c>
      <c r="X21" s="84">
        <f>('TUSD BE'!$Y$21+'TUSD BF'!$Y$21+'TUSD CVA'!$Y$21)*(1 - 0.65)</f>
        <v>49.90075115508931</v>
      </c>
      <c r="Y21" s="84">
        <f>('TUSD BE'!$Z$21+'TUSD BF'!$Z$21+'TUSD CVA'!$Z$21)*(1 - 0.65)</f>
        <v>0</v>
      </c>
      <c r="Z21" s="84">
        <f>('TUSD BE'!$AA$21+'TUSD BF'!$AA$21+'TUSD CVA'!$AA$21)*(1 - 0.65)</f>
        <v>0</v>
      </c>
      <c r="AA21" s="84">
        <f>('TUSD BE'!$AC$21+'TUSD BF'!$AC$21+'TUSD CVA'!$AC$21)*(1 - 0.65)</f>
        <v>147.34173214341573</v>
      </c>
      <c r="AB21" s="84">
        <f ca="1">('TUSD BE'!$AE$21+'TUSD BF'!$AE$21+'TUSD CVA'!$AE$21)*(1 - 0.65)</f>
        <v>-0.2936909431343212</v>
      </c>
      <c r="AC21" s="84">
        <f ca="1">('TUSD BE'!$AF$21+'TUSD BF'!$AF$21+'TUSD CVA'!$AF$21)*(1 - 0.65)</f>
        <v>0</v>
      </c>
      <c r="AD21" s="84">
        <f>('TUSD BE'!$AH$21+'TUSD BF'!$AH$21+'TUSD CVA'!$AH$21)*(1 - 0.65)</f>
        <v>13.110409930329217</v>
      </c>
      <c r="AE21" s="84">
        <f>('TUSD BE'!$AI$21+'TUSD BF'!$AI$21+'TUSD CVA'!$AI$21)*(1 - 0.65)</f>
        <v>0</v>
      </c>
      <c r="AF21" s="84">
        <f ca="1">('TUSD BE'!$AJ$21+'TUSD BF'!$AJ$21+'TUSD CVA'!$AJ$21)*(1 - 0.65)</f>
        <v>0</v>
      </c>
      <c r="AG21" s="84">
        <f ca="1">('TUSD BE'!$AK$21+'TUSD BF'!$AK$21+'TUSD CVA'!$AK$21)*(1 - 0.65)</f>
        <v>0</v>
      </c>
      <c r="AI21" s="84">
        <v>0</v>
      </c>
      <c r="AJ21" s="84">
        <v>0.56550968220969999</v>
      </c>
      <c r="AK21" s="84">
        <v>0</v>
      </c>
      <c r="AL21" s="84">
        <v>0</v>
      </c>
      <c r="AM21" s="84">
        <v>0</v>
      </c>
      <c r="AN21" s="84">
        <v>0</v>
      </c>
      <c r="AO21" s="84">
        <v>0</v>
      </c>
      <c r="AP21" s="84">
        <v>0</v>
      </c>
      <c r="AQ21" s="84">
        <v>0</v>
      </c>
      <c r="AR21" s="84">
        <v>0</v>
      </c>
      <c r="AS21" s="84">
        <v>0</v>
      </c>
      <c r="AT21" s="84">
        <v>0</v>
      </c>
      <c r="AU21" s="84">
        <v>42.553894645591903</v>
      </c>
      <c r="AV21" s="84">
        <v>0</v>
      </c>
      <c r="AW21" s="84">
        <v>0</v>
      </c>
      <c r="AX21" s="84">
        <v>110.616818571267</v>
      </c>
      <c r="AY21" s="84">
        <v>0.27767285713582202</v>
      </c>
      <c r="AZ21" s="84">
        <v>0</v>
      </c>
      <c r="BA21" s="84">
        <v>12.0861796076573</v>
      </c>
      <c r="BB21" s="84">
        <v>0</v>
      </c>
      <c r="BC21" s="84">
        <v>0</v>
      </c>
      <c r="BD21" s="84">
        <v>0</v>
      </c>
    </row>
    <row r="22" spans="1:56" ht="11.25" customHeight="1" x14ac:dyDescent="0.25">
      <c r="A22" s="132"/>
      <c r="B22" s="132"/>
      <c r="C22" s="132"/>
      <c r="D22" s="86" t="s">
        <v>29</v>
      </c>
      <c r="E22" s="86" t="s">
        <v>25</v>
      </c>
      <c r="F22" s="86" t="s">
        <v>25</v>
      </c>
      <c r="G22" s="21" t="s">
        <v>73</v>
      </c>
      <c r="H22" s="21" t="s">
        <v>69</v>
      </c>
      <c r="I22" s="21">
        <f>'MERCADO TUSD'!$U$19</f>
        <v>1214.3559999999998</v>
      </c>
      <c r="J22" s="17"/>
      <c r="L22" s="84">
        <f>('TUSD BE'!$L$22+'TUSD BF'!$L$22+'TUSD CVA'!$L$22)*(1 - 0.4)</f>
        <v>0</v>
      </c>
      <c r="M22" s="84">
        <f>('TUSD BE'!$M$22+'TUSD BF'!$M$22+'TUSD CVA'!$M$22)*(1 - 0.4)</f>
        <v>1.2440333714704144</v>
      </c>
      <c r="N22" s="84">
        <f ca="1">('TUSD BE'!$N$22+'TUSD BF'!$N$22+'TUSD CVA'!$N$22)*(1 - 0.4)</f>
        <v>0</v>
      </c>
      <c r="O22" s="84">
        <f>('TUSD BE'!$O$22+'TUSD BF'!$O$22+'TUSD CVA'!$O$22)*(1 - 0.4)</f>
        <v>0</v>
      </c>
      <c r="P22" s="84">
        <v>0</v>
      </c>
      <c r="Q22" s="84">
        <f>('TUSD BE'!$Q$22+'TUSD BF'!$Q$22+'TUSD CVA'!$Q$22)*(1 - 0.4)</f>
        <v>0</v>
      </c>
      <c r="R22" s="84">
        <v>0</v>
      </c>
      <c r="S22" s="84">
        <f>('TUSD BE'!$S$22+'TUSD BF'!$S$22+'TUSD CVA'!$S$22)*(1 - 0.4)</f>
        <v>0</v>
      </c>
      <c r="T22" s="84">
        <f>('TUSD BE'!$U$22+'TUSD BF'!$U$22+'TUSD CVA'!$U$22)*(1 - 0.4)</f>
        <v>0</v>
      </c>
      <c r="U22" s="84">
        <f>('TUSD BE'!$V$22+'TUSD BF'!$V$22+'TUSD CVA'!$V$22)*(1 - 0.4)</f>
        <v>0</v>
      </c>
      <c r="V22" s="84">
        <f>('TUSD BE'!$W$22+'TUSD BF'!$W$22+'TUSD CVA'!$W$22)*(1 - 0.4)</f>
        <v>0</v>
      </c>
      <c r="W22" s="84">
        <f>('TUSD BE'!$X$22+'TUSD BF'!$X$22+'TUSD CVA'!$X$22)*(1 - 0.4)</f>
        <v>0</v>
      </c>
      <c r="X22" s="84">
        <f>('TUSD BE'!$Y$22+'TUSD BF'!$Y$22+'TUSD CVA'!$Y$22)*(1 - 0.4)</f>
        <v>85.54414483729596</v>
      </c>
      <c r="Y22" s="84">
        <f>('TUSD BE'!$Z$22+'TUSD BF'!$Z$22+'TUSD CVA'!$Z$22)*(1 - 0.4)</f>
        <v>0</v>
      </c>
      <c r="Z22" s="84">
        <f>('TUSD BE'!$AA$22+'TUSD BF'!$AA$22+'TUSD CVA'!$AA$22)*(1 - 0.4)</f>
        <v>0</v>
      </c>
      <c r="AA22" s="84">
        <f>('TUSD BE'!$AC$22+'TUSD BF'!$AC$22+'TUSD CVA'!$AC$22)*(1 - 0.4)</f>
        <v>252.58582653156981</v>
      </c>
      <c r="AB22" s="84">
        <f ca="1">('TUSD BE'!$AE$22+'TUSD BF'!$AE$22+'TUSD CVA'!$AE$22)*(1 - 0.4)</f>
        <v>-0.5034701882302649</v>
      </c>
      <c r="AC22" s="84">
        <f ca="1">('TUSD BE'!$AF$22+'TUSD BF'!$AF$22+'TUSD CVA'!$AF$22)*(1 - 0.4)</f>
        <v>0</v>
      </c>
      <c r="AD22" s="84">
        <f>('TUSD BE'!$AH$22+'TUSD BF'!$AH$22+'TUSD CVA'!$AH$22)*(1 - 0.4)</f>
        <v>22.474988451992946</v>
      </c>
      <c r="AE22" s="84">
        <f>('TUSD BE'!$AI$22+'TUSD BF'!$AI$22+'TUSD CVA'!$AI$22)*(1 - 0.4)</f>
        <v>0</v>
      </c>
      <c r="AF22" s="84">
        <f ca="1">('TUSD BE'!$AJ$22+'TUSD BF'!$AJ$22+'TUSD CVA'!$AJ$22)*(1 - 0.4)</f>
        <v>0</v>
      </c>
      <c r="AG22" s="84">
        <f ca="1">('TUSD BE'!$AK$22+'TUSD BF'!$AK$22+'TUSD CVA'!$AK$22)*(1 - 0.4)</f>
        <v>0</v>
      </c>
      <c r="AI22" s="84">
        <v>0</v>
      </c>
      <c r="AJ22" s="84">
        <v>0.96944516950234205</v>
      </c>
      <c r="AK22" s="84">
        <v>0</v>
      </c>
      <c r="AL22" s="84">
        <v>0</v>
      </c>
      <c r="AM22" s="84">
        <v>0</v>
      </c>
      <c r="AN22" s="84">
        <v>0</v>
      </c>
      <c r="AO22" s="84">
        <v>0</v>
      </c>
      <c r="AP22" s="84">
        <v>0</v>
      </c>
      <c r="AQ22" s="84">
        <v>0</v>
      </c>
      <c r="AR22" s="84">
        <v>0</v>
      </c>
      <c r="AS22" s="84">
        <v>0</v>
      </c>
      <c r="AT22" s="84">
        <v>0</v>
      </c>
      <c r="AU22" s="84">
        <v>72.949533678157593</v>
      </c>
      <c r="AV22" s="84">
        <v>0</v>
      </c>
      <c r="AW22" s="84">
        <v>0</v>
      </c>
      <c r="AX22" s="84">
        <v>189.62883183645701</v>
      </c>
      <c r="AY22" s="84">
        <v>0.47601061223283803</v>
      </c>
      <c r="AZ22" s="84">
        <v>0</v>
      </c>
      <c r="BA22" s="84">
        <v>20.719165041698201</v>
      </c>
      <c r="BB22" s="84">
        <v>0</v>
      </c>
      <c r="BC22" s="84">
        <v>0</v>
      </c>
      <c r="BD22" s="84">
        <v>0</v>
      </c>
    </row>
    <row r="23" spans="1:56" ht="11.25" customHeight="1" x14ac:dyDescent="0.25">
      <c r="A23" s="132"/>
      <c r="B23" s="132"/>
      <c r="C23" s="132"/>
      <c r="D23" s="86" t="s">
        <v>30</v>
      </c>
      <c r="E23" s="86" t="s">
        <v>25</v>
      </c>
      <c r="F23" s="86" t="s">
        <v>25</v>
      </c>
      <c r="G23" s="21" t="s">
        <v>73</v>
      </c>
      <c r="H23" s="21" t="s">
        <v>69</v>
      </c>
      <c r="I23" s="21">
        <f>'MERCADO TUSD'!$U$20</f>
        <v>403.89</v>
      </c>
      <c r="J23" s="17"/>
      <c r="L23" s="84">
        <f>('TUSD BE'!$L$23+'TUSD BF'!$L$23+'TUSD CVA'!$L$23)*(1 - 0.1)</f>
        <v>0</v>
      </c>
      <c r="M23" s="84">
        <f>('TUSD BE'!$M$23+'TUSD BF'!$M$23+'TUSD CVA'!$M$23)*(1 - 0.1)</f>
        <v>1.8660500572056218</v>
      </c>
      <c r="N23" s="84">
        <f ca="1">('TUSD BE'!$N$23+'TUSD BF'!$N$23+'TUSD CVA'!$N$23)*(1 - 0.1)</f>
        <v>0</v>
      </c>
      <c r="O23" s="84">
        <f>('TUSD BE'!$O$23+'TUSD BF'!$O$23+'TUSD CVA'!$O$23)*(1 - 0.1)</f>
        <v>0</v>
      </c>
      <c r="P23" s="84">
        <v>0</v>
      </c>
      <c r="Q23" s="84">
        <f>('TUSD BE'!$Q$23+'TUSD BF'!$Q$23+'TUSD CVA'!$Q$23)*(1 - 0.1)</f>
        <v>0</v>
      </c>
      <c r="R23" s="84">
        <v>0</v>
      </c>
      <c r="S23" s="84">
        <f>('TUSD BE'!$S$23+'TUSD BF'!$S$23+'TUSD CVA'!$S$23)*(1 - 0.1)</f>
        <v>0</v>
      </c>
      <c r="T23" s="84">
        <f>('TUSD BE'!$U$23+'TUSD BF'!$U$23+'TUSD CVA'!$U$23)*(1 - 0.1)</f>
        <v>0</v>
      </c>
      <c r="U23" s="84">
        <f>('TUSD BE'!$V$23+'TUSD BF'!$V$23+'TUSD CVA'!$V$23)*(1 - 0.1)</f>
        <v>0</v>
      </c>
      <c r="V23" s="84">
        <f>('TUSD BE'!$W$23+'TUSD BF'!$W$23+'TUSD CVA'!$W$23)*(1 - 0.1)</f>
        <v>0</v>
      </c>
      <c r="W23" s="84">
        <f>('TUSD BE'!$X$23+'TUSD BF'!$X$23+'TUSD CVA'!$X$23)*(1 - 0.1)</f>
        <v>0</v>
      </c>
      <c r="X23" s="84">
        <f>('TUSD BE'!$Y$23+'TUSD BF'!$Y$23+'TUSD CVA'!$Y$23)*(1 - 0.1)</f>
        <v>128.31621725594394</v>
      </c>
      <c r="Y23" s="84">
        <f>('TUSD BE'!$Z$23+'TUSD BF'!$Z$23+'TUSD CVA'!$Z$23)*(1 - 0.1)</f>
        <v>0</v>
      </c>
      <c r="Z23" s="84">
        <f>('TUSD BE'!$AA$23+'TUSD BF'!$AA$23+'TUSD CVA'!$AA$23)*(1 - 0.1)</f>
        <v>0</v>
      </c>
      <c r="AA23" s="84">
        <f>('TUSD BE'!$AC$23+'TUSD BF'!$AC$23+'TUSD CVA'!$AC$23)*(1 - 0.1)</f>
        <v>378.87873979735474</v>
      </c>
      <c r="AB23" s="84">
        <f ca="1">('TUSD BE'!$AE$23+'TUSD BF'!$AE$23+'TUSD CVA'!$AE$23)*(1 - 0.1)</f>
        <v>-0.75520528234539741</v>
      </c>
      <c r="AC23" s="84">
        <f ca="1">('TUSD BE'!$AF$23+'TUSD BF'!$AF$23+'TUSD CVA'!$AF$23)*(1 - 0.1)</f>
        <v>0</v>
      </c>
      <c r="AD23" s="84">
        <f>('TUSD BE'!$AH$23+'TUSD BF'!$AH$23+'TUSD CVA'!$AH$23)*(1 - 0.1)</f>
        <v>33.712482677989421</v>
      </c>
      <c r="AE23" s="84">
        <f>('TUSD BE'!$AI$23+'TUSD BF'!$AI$23+'TUSD CVA'!$AI$23)*(1 - 0.1)</f>
        <v>0</v>
      </c>
      <c r="AF23" s="84">
        <f ca="1">('TUSD BE'!$AJ$23+'TUSD BF'!$AJ$23+'TUSD CVA'!$AJ$23)*(1 - 0.1)</f>
        <v>0</v>
      </c>
      <c r="AG23" s="84">
        <f ca="1">('TUSD BE'!$AK$23+'TUSD BF'!$AK$23+'TUSD CVA'!$AK$23)*(1 - 0.1)</f>
        <v>0</v>
      </c>
      <c r="AI23" s="84">
        <v>0</v>
      </c>
      <c r="AJ23" s="84">
        <v>1.4541677542535101</v>
      </c>
      <c r="AK23" s="84">
        <v>0</v>
      </c>
      <c r="AL23" s="84">
        <v>0</v>
      </c>
      <c r="AM23" s="84">
        <v>0</v>
      </c>
      <c r="AN23" s="84">
        <v>0</v>
      </c>
      <c r="AO23" s="84">
        <v>0</v>
      </c>
      <c r="AP23" s="84">
        <v>0</v>
      </c>
      <c r="AQ23" s="84">
        <v>0</v>
      </c>
      <c r="AR23" s="84">
        <v>0</v>
      </c>
      <c r="AS23" s="84">
        <v>0</v>
      </c>
      <c r="AT23" s="84">
        <v>0</v>
      </c>
      <c r="AU23" s="84">
        <v>109.42430051723601</v>
      </c>
      <c r="AV23" s="84">
        <v>0</v>
      </c>
      <c r="AW23" s="84">
        <v>0</v>
      </c>
      <c r="AX23" s="84">
        <v>284.44324775468601</v>
      </c>
      <c r="AY23" s="84">
        <v>0.71401591834925704</v>
      </c>
      <c r="AZ23" s="84">
        <v>0</v>
      </c>
      <c r="BA23" s="84">
        <v>31.078747562547399</v>
      </c>
      <c r="BB23" s="84">
        <v>0</v>
      </c>
      <c r="BC23" s="84">
        <v>0</v>
      </c>
      <c r="BD23" s="84">
        <v>0</v>
      </c>
    </row>
    <row r="24" spans="1:56" ht="11.25" customHeight="1" x14ac:dyDescent="0.25">
      <c r="A24" s="132"/>
      <c r="B24" s="132"/>
      <c r="C24" s="132"/>
      <c r="D24" s="86" t="s">
        <v>31</v>
      </c>
      <c r="E24" s="86" t="s">
        <v>25</v>
      </c>
      <c r="F24" s="86" t="s">
        <v>25</v>
      </c>
      <c r="G24" s="21" t="s">
        <v>73</v>
      </c>
      <c r="H24" s="21" t="s">
        <v>69</v>
      </c>
      <c r="I24" s="21">
        <f>'MERCADO TUSD'!$U$21</f>
        <v>103.88300000000001</v>
      </c>
      <c r="J24" s="17"/>
      <c r="L24" s="84">
        <f>('TUSD BE'!$L$24+'TUSD BF'!$L$24+'TUSD CVA'!$L$24)*1</f>
        <v>0</v>
      </c>
      <c r="M24" s="84">
        <f>('TUSD BE'!$M$24+'TUSD BF'!$M$24+'TUSD CVA'!$M$24)*1</f>
        <v>2.0733889524506908</v>
      </c>
      <c r="N24" s="84">
        <f ca="1">('TUSD BE'!$N$24+'TUSD BF'!$N$24+'TUSD CVA'!$N$24)*1</f>
        <v>0</v>
      </c>
      <c r="O24" s="84">
        <f>('TUSD BE'!$O$24+'TUSD BF'!$O$24+'TUSD CVA'!$O$24)*1</f>
        <v>0</v>
      </c>
      <c r="P24" s="84">
        <v>0</v>
      </c>
      <c r="Q24" s="84">
        <f>('TUSD BE'!$Q$24+'TUSD BF'!$Q$24+'TUSD CVA'!$Q$24)*1</f>
        <v>0</v>
      </c>
      <c r="R24" s="84">
        <v>0</v>
      </c>
      <c r="S24" s="84">
        <f>('TUSD BE'!$S$24+'TUSD BF'!$S$24+'TUSD CVA'!$S$24)*1</f>
        <v>0</v>
      </c>
      <c r="T24" s="84">
        <f>('TUSD BE'!$U$24+'TUSD BF'!$U$24+'TUSD CVA'!$U$24)*1</f>
        <v>0</v>
      </c>
      <c r="U24" s="84">
        <f>('TUSD BE'!$V$24+'TUSD BF'!$V$24+'TUSD CVA'!$V$24)*1</f>
        <v>0</v>
      </c>
      <c r="V24" s="84">
        <f>('TUSD BE'!$W$24+'TUSD BF'!$W$24+'TUSD CVA'!$W$24)*1</f>
        <v>0</v>
      </c>
      <c r="W24" s="84">
        <f>('TUSD BE'!$X$24+'TUSD BF'!$X$24+'TUSD CVA'!$X$24)*1</f>
        <v>0</v>
      </c>
      <c r="X24" s="84">
        <f>('TUSD BE'!$Y$24+'TUSD BF'!$Y$24+'TUSD CVA'!$Y$24)*1</f>
        <v>142.5735747288266</v>
      </c>
      <c r="Y24" s="84">
        <f>('TUSD BE'!$Z$24+'TUSD BF'!$Z$24+'TUSD CVA'!$Z$24)*1</f>
        <v>0</v>
      </c>
      <c r="Z24" s="84">
        <f>('TUSD BE'!$AA$24+'TUSD BF'!$AA$24+'TUSD CVA'!$AA$24)*1</f>
        <v>0</v>
      </c>
      <c r="AA24" s="84">
        <f>('TUSD BE'!$AC$24+'TUSD BF'!$AC$24+'TUSD CVA'!$AC$24)*1</f>
        <v>420.97637755261638</v>
      </c>
      <c r="AB24" s="84">
        <f ca="1">('TUSD BE'!$AE$24+'TUSD BF'!$AE$24+'TUSD CVA'!$AE$24)*1</f>
        <v>-0.83911698038377491</v>
      </c>
      <c r="AC24" s="84">
        <f ca="1">('TUSD BE'!$AF$24+'TUSD BF'!$AF$24+'TUSD CVA'!$AF$24)*1</f>
        <v>0</v>
      </c>
      <c r="AD24" s="84">
        <f>('TUSD BE'!$AH$24+'TUSD BF'!$AH$24+'TUSD CVA'!$AH$24)*1</f>
        <v>37.458314086654909</v>
      </c>
      <c r="AE24" s="84">
        <f>('TUSD BE'!$AI$24+'TUSD BF'!$AI$24+'TUSD CVA'!$AI$24)*1</f>
        <v>0</v>
      </c>
      <c r="AF24" s="84">
        <f ca="1">('TUSD BE'!$AJ$24+'TUSD BF'!$AJ$24+'TUSD CVA'!$AJ$24)*1</f>
        <v>0</v>
      </c>
      <c r="AG24" s="84">
        <f ca="1">('TUSD BE'!$AK$24+'TUSD BF'!$AK$24+'TUSD CVA'!$AK$24)*1</f>
        <v>0</v>
      </c>
      <c r="AI24" s="84">
        <v>0</v>
      </c>
      <c r="AJ24" s="84">
        <v>1.61574194917057</v>
      </c>
      <c r="AK24" s="84">
        <v>0</v>
      </c>
      <c r="AL24" s="84">
        <v>0</v>
      </c>
      <c r="AM24" s="84">
        <v>0</v>
      </c>
      <c r="AN24" s="84">
        <v>0</v>
      </c>
      <c r="AO24" s="84">
        <v>0</v>
      </c>
      <c r="AP24" s="84">
        <v>0</v>
      </c>
      <c r="AQ24" s="84">
        <v>0</v>
      </c>
      <c r="AR24" s="84">
        <v>0</v>
      </c>
      <c r="AS24" s="84">
        <v>0</v>
      </c>
      <c r="AT24" s="84">
        <v>0</v>
      </c>
      <c r="AU24" s="84">
        <v>121.582556130263</v>
      </c>
      <c r="AV24" s="84">
        <v>0</v>
      </c>
      <c r="AW24" s="84">
        <v>0</v>
      </c>
      <c r="AX24" s="84">
        <v>316.04805306076202</v>
      </c>
      <c r="AY24" s="84">
        <v>0.79335102038806304</v>
      </c>
      <c r="AZ24" s="84">
        <v>0</v>
      </c>
      <c r="BA24" s="84">
        <v>34.531941736163702</v>
      </c>
      <c r="BB24" s="84">
        <v>0</v>
      </c>
      <c r="BC24" s="84">
        <v>0</v>
      </c>
      <c r="BD24" s="84">
        <v>0</v>
      </c>
    </row>
    <row r="25" spans="1:56" ht="11.25" customHeight="1" x14ac:dyDescent="0.25">
      <c r="A25" s="132"/>
      <c r="B25" s="132" t="s">
        <v>85</v>
      </c>
      <c r="C25" s="132" t="s">
        <v>24</v>
      </c>
      <c r="D25" s="86" t="s">
        <v>24</v>
      </c>
      <c r="E25" s="86" t="s">
        <v>25</v>
      </c>
      <c r="F25" s="86" t="s">
        <v>25</v>
      </c>
      <c r="G25" s="21" t="s">
        <v>73</v>
      </c>
      <c r="H25" s="21" t="s">
        <v>69</v>
      </c>
      <c r="I25" s="21">
        <f>'MERCADO TUSD'!$U$22</f>
        <v>0</v>
      </c>
      <c r="J25" s="17"/>
      <c r="L25" s="84">
        <f>('TUSD BE'!$L$25+'TUSD BF'!$L$25+'TUSD CVA'!$L$25)*1</f>
        <v>0</v>
      </c>
      <c r="M25" s="84">
        <f>('TUSD BE'!$M$25+'TUSD BF'!$M$25+'TUSD CVA'!$M$25)*1</f>
        <v>2.0733889524506908</v>
      </c>
      <c r="N25" s="84">
        <f ca="1">('TUSD BE'!$N$25+'TUSD BF'!$N$25+'TUSD CVA'!$N$25)*1</f>
        <v>0</v>
      </c>
      <c r="O25" s="84">
        <f>('TUSD BE'!$O$25+'TUSD BF'!$O$25+'TUSD CVA'!$O$25)*1</f>
        <v>0</v>
      </c>
      <c r="P25" s="84">
        <f>('TUSD BE'!$P$25+'TUSD BF'!$P$25+'TUSD CVA'!$P$25)*1</f>
        <v>0</v>
      </c>
      <c r="Q25" s="84">
        <f>('TUSD BE'!$Q$25+'TUSD BF'!$Q$25+'TUSD CVA'!$Q$25)*1</f>
        <v>40.589004326175157</v>
      </c>
      <c r="R25" s="84">
        <f>('TUSD BE'!$R$25+'TUSD BF'!$R$25+'TUSD CVA'!$R$25)*1</f>
        <v>15.185312481265115</v>
      </c>
      <c r="S25" s="84">
        <f>('TUSD BE'!$S$25+'TUSD BF'!$S$25+'TUSD CVA'!$S$25)*1</f>
        <v>0</v>
      </c>
      <c r="T25" s="84">
        <f>('TUSD BE'!$U$25+'TUSD BF'!$U$25+'TUSD CVA'!$U$25)*1</f>
        <v>0</v>
      </c>
      <c r="U25" s="84">
        <f>('TUSD BE'!$V$25+'TUSD BF'!$V$25+'TUSD CVA'!$V$25)*1</f>
        <v>0</v>
      </c>
      <c r="V25" s="84">
        <f>('TUSD BE'!$W$25+'TUSD BF'!$W$25+'TUSD CVA'!$W$25)*1</f>
        <v>0</v>
      </c>
      <c r="W25" s="84">
        <f>('TUSD BE'!$X$25+'TUSD BF'!$X$25+'TUSD CVA'!$X$25)*1</f>
        <v>0</v>
      </c>
      <c r="X25" s="84">
        <f>('TUSD BE'!$Y$25+'TUSD BF'!$Y$25+'TUSD CVA'!$Y$25)*1</f>
        <v>142.5735747288266</v>
      </c>
      <c r="Y25" s="84">
        <f>('TUSD BE'!$Z$25+'TUSD BF'!$Z$25+'TUSD CVA'!$Z$25)*1</f>
        <v>0</v>
      </c>
      <c r="Z25" s="84">
        <f>('TUSD BE'!$AA$25+'TUSD BF'!$AA$25+'TUSD CVA'!$AA$25)*1</f>
        <v>0</v>
      </c>
      <c r="AA25" s="84">
        <f>('TUSD BE'!$AC$25+'TUSD BF'!$AC$25+'TUSD CVA'!$AC$25)*1</f>
        <v>420.97637755261638</v>
      </c>
      <c r="AB25" s="84">
        <f ca="1">('TUSD BE'!$AE$25+'TUSD BF'!$AE$25+'TUSD CVA'!$AE$25)*1</f>
        <v>-0.9065728576646378</v>
      </c>
      <c r="AC25" s="84">
        <f ca="1">('TUSD BE'!$AF$25+'TUSD BF'!$AF$25+'TUSD CVA'!$AF$25)*1</f>
        <v>0</v>
      </c>
      <c r="AD25" s="84">
        <f>('TUSD BE'!$AH$25+'TUSD BF'!$AH$25+'TUSD CVA'!$AH$25)*1</f>
        <v>37.458314086654909</v>
      </c>
      <c r="AE25" s="84">
        <f>('TUSD BE'!$AI$25+'TUSD BF'!$AI$25+'TUSD CVA'!$AI$25)*1</f>
        <v>0</v>
      </c>
      <c r="AF25" s="84">
        <f ca="1">('TUSD BE'!$AJ$25+'TUSD BF'!$AJ$25+'TUSD CVA'!$AJ$25)*1</f>
        <v>0</v>
      </c>
      <c r="AG25" s="84">
        <f ca="1">('TUSD BE'!$AK$25+'TUSD BF'!$AK$25+'TUSD CVA'!$AK$25)*1</f>
        <v>0</v>
      </c>
      <c r="AI25" s="84">
        <v>0</v>
      </c>
      <c r="AJ25" s="84">
        <v>1.61574194917057</v>
      </c>
      <c r="AK25" s="84">
        <v>0</v>
      </c>
      <c r="AL25" s="84">
        <v>0</v>
      </c>
      <c r="AM25" s="84">
        <v>0</v>
      </c>
      <c r="AN25" s="84">
        <v>24.702005232096901</v>
      </c>
      <c r="AO25" s="84">
        <v>10.102108970403799</v>
      </c>
      <c r="AP25" s="84">
        <v>0</v>
      </c>
      <c r="AQ25" s="84">
        <v>0</v>
      </c>
      <c r="AR25" s="84">
        <v>0</v>
      </c>
      <c r="AS25" s="84">
        <v>0</v>
      </c>
      <c r="AT25" s="84">
        <v>0</v>
      </c>
      <c r="AU25" s="84">
        <v>121.582556130263</v>
      </c>
      <c r="AV25" s="84">
        <v>0</v>
      </c>
      <c r="AW25" s="84">
        <v>0</v>
      </c>
      <c r="AX25" s="84">
        <v>316.04805306076202</v>
      </c>
      <c r="AY25" s="84">
        <v>0.84282228125778003</v>
      </c>
      <c r="AZ25" s="84">
        <v>0</v>
      </c>
      <c r="BA25" s="84">
        <v>34.531941736163702</v>
      </c>
      <c r="BB25" s="84">
        <v>0</v>
      </c>
      <c r="BC25" s="84">
        <v>0</v>
      </c>
      <c r="BD25" s="84">
        <v>0</v>
      </c>
    </row>
    <row r="26" spans="1:56" ht="11.25" customHeight="1" x14ac:dyDescent="0.25">
      <c r="A26" s="132"/>
      <c r="B26" s="132"/>
      <c r="C26" s="132"/>
      <c r="D26" s="86" t="s">
        <v>28</v>
      </c>
      <c r="E26" s="86" t="s">
        <v>25</v>
      </c>
      <c r="F26" s="86" t="s">
        <v>25</v>
      </c>
      <c r="G26" s="21" t="s">
        <v>73</v>
      </c>
      <c r="H26" s="21" t="s">
        <v>69</v>
      </c>
      <c r="I26" s="21">
        <f>'MERCADO TUSD'!$U$23</f>
        <v>0</v>
      </c>
      <c r="J26" s="17"/>
      <c r="L26" s="84">
        <f>('TUSD BE'!$L$26+'TUSD BF'!$L$26+'TUSD CVA'!$L$26)*(1 - 0.65)</f>
        <v>0</v>
      </c>
      <c r="M26" s="84">
        <f>('TUSD BE'!$M$26+'TUSD BF'!$M$26+'TUSD CVA'!$M$26)*(1 - 0.65)</f>
        <v>0.72568613335774168</v>
      </c>
      <c r="N26" s="84">
        <f ca="1">('TUSD BE'!$N$26+'TUSD BF'!$N$26+'TUSD CVA'!$N$26)*(1 - 0.65)</f>
        <v>0</v>
      </c>
      <c r="O26" s="84">
        <f>('TUSD BE'!$O$26+'TUSD BF'!$O$26+'TUSD CVA'!$O$26)*(1 - 0.65)</f>
        <v>0</v>
      </c>
      <c r="P26" s="84">
        <v>0</v>
      </c>
      <c r="Q26" s="84">
        <f>('TUSD BE'!$Q$26+'TUSD BF'!$Q$26+'TUSD CVA'!$Q$26)*(1 - 0.65)</f>
        <v>0</v>
      </c>
      <c r="R26" s="84">
        <v>0</v>
      </c>
      <c r="S26" s="84">
        <f>('TUSD BE'!$S$26+'TUSD BF'!$S$26+'TUSD CVA'!$S$26)*(1 - 0.65)</f>
        <v>0</v>
      </c>
      <c r="T26" s="84">
        <f>('TUSD BE'!$U$26+'TUSD BF'!$U$26+'TUSD CVA'!$U$26)*(1 - 0.65)</f>
        <v>0</v>
      </c>
      <c r="U26" s="84">
        <f>('TUSD BE'!$V$26+'TUSD BF'!$V$26+'TUSD CVA'!$V$26)*(1 - 0.65)</f>
        <v>0</v>
      </c>
      <c r="V26" s="84">
        <f>('TUSD BE'!$W$26+'TUSD BF'!$W$26+'TUSD CVA'!$W$26)*(1 - 0.65)</f>
        <v>0</v>
      </c>
      <c r="W26" s="84">
        <f>('TUSD BE'!$X$26+'TUSD BF'!$X$26+'TUSD CVA'!$X$26)*(1 - 0.65)</f>
        <v>0</v>
      </c>
      <c r="X26" s="84">
        <f>('TUSD BE'!$Y$26+'TUSD BF'!$Y$26+'TUSD CVA'!$Y$26)*(1 - 0.65)</f>
        <v>49.90075115508931</v>
      </c>
      <c r="Y26" s="84">
        <f>('TUSD BE'!$Z$26+'TUSD BF'!$Z$26+'TUSD CVA'!$Z$26)*(1 - 0.65)</f>
        <v>0</v>
      </c>
      <c r="Z26" s="84">
        <f>('TUSD BE'!$AA$26+'TUSD BF'!$AA$26+'TUSD CVA'!$AA$26)*(1 - 0.65)</f>
        <v>0</v>
      </c>
      <c r="AA26" s="84">
        <f>('TUSD BE'!$AC$26+'TUSD BF'!$AC$26+'TUSD CVA'!$AC$26)*(1 - 0.65)</f>
        <v>147.34173214341573</v>
      </c>
      <c r="AB26" s="84">
        <f ca="1">('TUSD BE'!$AE$26+'TUSD BF'!$AE$26+'TUSD CVA'!$AE$26)*(1 - 0.65)</f>
        <v>-0.2936909431343212</v>
      </c>
      <c r="AC26" s="84">
        <f ca="1">('TUSD BE'!$AF$26+'TUSD BF'!$AF$26+'TUSD CVA'!$AF$26)*(1 - 0.65)</f>
        <v>0</v>
      </c>
      <c r="AD26" s="84">
        <f>('TUSD BE'!$AH$26+'TUSD BF'!$AH$26+'TUSD CVA'!$AH$26)*(1 - 0.65)</f>
        <v>13.110409930329217</v>
      </c>
      <c r="AE26" s="84">
        <f>('TUSD BE'!$AI$26+'TUSD BF'!$AI$26+'TUSD CVA'!$AI$26)*(1 - 0.65)</f>
        <v>0</v>
      </c>
      <c r="AF26" s="84">
        <f ca="1">('TUSD BE'!$AJ$26+'TUSD BF'!$AJ$26+'TUSD CVA'!$AJ$26)*(1 - 0.65)</f>
        <v>0</v>
      </c>
      <c r="AG26" s="84">
        <f ca="1">('TUSD BE'!$AK$26+'TUSD BF'!$AK$26+'TUSD CVA'!$AK$26)*(1 - 0.65)</f>
        <v>0</v>
      </c>
      <c r="AI26" s="84">
        <v>0</v>
      </c>
      <c r="AJ26" s="84">
        <v>0.56550968220969999</v>
      </c>
      <c r="AK26" s="84">
        <v>0</v>
      </c>
      <c r="AL26" s="84">
        <v>0</v>
      </c>
      <c r="AM26" s="84">
        <v>0</v>
      </c>
      <c r="AN26" s="84">
        <v>0</v>
      </c>
      <c r="AO26" s="84">
        <v>0</v>
      </c>
      <c r="AP26" s="84">
        <v>0</v>
      </c>
      <c r="AQ26" s="84">
        <v>0</v>
      </c>
      <c r="AR26" s="84">
        <v>0</v>
      </c>
      <c r="AS26" s="84">
        <v>0</v>
      </c>
      <c r="AT26" s="84">
        <v>0</v>
      </c>
      <c r="AU26" s="84">
        <v>42.553894645591903</v>
      </c>
      <c r="AV26" s="84">
        <v>0</v>
      </c>
      <c r="AW26" s="84">
        <v>0</v>
      </c>
      <c r="AX26" s="84">
        <v>110.616818571267</v>
      </c>
      <c r="AY26" s="84">
        <v>0.27767285713582202</v>
      </c>
      <c r="AZ26" s="84">
        <v>0</v>
      </c>
      <c r="BA26" s="84">
        <v>12.0861796076573</v>
      </c>
      <c r="BB26" s="84">
        <v>0</v>
      </c>
      <c r="BC26" s="84">
        <v>0</v>
      </c>
      <c r="BD26" s="84">
        <v>0</v>
      </c>
    </row>
    <row r="27" spans="1:56" ht="11.25" customHeight="1" x14ac:dyDescent="0.25">
      <c r="A27" s="132"/>
      <c r="B27" s="132"/>
      <c r="C27" s="132"/>
      <c r="D27" s="86" t="s">
        <v>29</v>
      </c>
      <c r="E27" s="86" t="s">
        <v>25</v>
      </c>
      <c r="F27" s="86" t="s">
        <v>25</v>
      </c>
      <c r="G27" s="21" t="s">
        <v>73</v>
      </c>
      <c r="H27" s="21" t="s">
        <v>69</v>
      </c>
      <c r="I27" s="21">
        <f>'MERCADO TUSD'!$U$24</f>
        <v>0</v>
      </c>
      <c r="J27" s="17"/>
      <c r="L27" s="84">
        <f>('TUSD BE'!$L$27+'TUSD BF'!$L$27+'TUSD CVA'!$L$27)*(1 - 0.4)</f>
        <v>0</v>
      </c>
      <c r="M27" s="84">
        <f>('TUSD BE'!$M$27+'TUSD BF'!$M$27+'TUSD CVA'!$M$27)*(1 - 0.4)</f>
        <v>1.2440333714704144</v>
      </c>
      <c r="N27" s="84">
        <f ca="1">('TUSD BE'!$N$27+'TUSD BF'!$N$27+'TUSD CVA'!$N$27)*(1 - 0.4)</f>
        <v>0</v>
      </c>
      <c r="O27" s="84">
        <f>('TUSD BE'!$O$27+'TUSD BF'!$O$27+'TUSD CVA'!$O$27)*(1 - 0.4)</f>
        <v>0</v>
      </c>
      <c r="P27" s="84">
        <v>0</v>
      </c>
      <c r="Q27" s="84">
        <f>('TUSD BE'!$Q$27+'TUSD BF'!$Q$27+'TUSD CVA'!$Q$27)*(1 - 0.4)</f>
        <v>0</v>
      </c>
      <c r="R27" s="84">
        <v>0</v>
      </c>
      <c r="S27" s="84">
        <f>('TUSD BE'!$S$27+'TUSD BF'!$S$27+'TUSD CVA'!$S$27)*(1 - 0.4)</f>
        <v>0</v>
      </c>
      <c r="T27" s="84">
        <f>('TUSD BE'!$U$27+'TUSD BF'!$U$27+'TUSD CVA'!$U$27)*(1 - 0.4)</f>
        <v>0</v>
      </c>
      <c r="U27" s="84">
        <f>('TUSD BE'!$V$27+'TUSD BF'!$V$27+'TUSD CVA'!$V$27)*(1 - 0.4)</f>
        <v>0</v>
      </c>
      <c r="V27" s="84">
        <f>('TUSD BE'!$W$27+'TUSD BF'!$W$27+'TUSD CVA'!$W$27)*(1 - 0.4)</f>
        <v>0</v>
      </c>
      <c r="W27" s="84">
        <f>('TUSD BE'!$X$27+'TUSD BF'!$X$27+'TUSD CVA'!$X$27)*(1 - 0.4)</f>
        <v>0</v>
      </c>
      <c r="X27" s="84">
        <f>('TUSD BE'!$Y$27+'TUSD BF'!$Y$27+'TUSD CVA'!$Y$27)*(1 - 0.4)</f>
        <v>85.54414483729596</v>
      </c>
      <c r="Y27" s="84">
        <f>('TUSD BE'!$Z$27+'TUSD BF'!$Z$27+'TUSD CVA'!$Z$27)*(1 - 0.4)</f>
        <v>0</v>
      </c>
      <c r="Z27" s="84">
        <f>('TUSD BE'!$AA$27+'TUSD BF'!$AA$27+'TUSD CVA'!$AA$27)*(1 - 0.4)</f>
        <v>0</v>
      </c>
      <c r="AA27" s="84">
        <f>('TUSD BE'!$AC$27+'TUSD BF'!$AC$27+'TUSD CVA'!$AC$27)*(1 - 0.4)</f>
        <v>252.58582653156981</v>
      </c>
      <c r="AB27" s="84">
        <f ca="1">('TUSD BE'!$AE$27+'TUSD BF'!$AE$27+'TUSD CVA'!$AE$27)*(1 - 0.4)</f>
        <v>-0.5034701882302649</v>
      </c>
      <c r="AC27" s="84">
        <f ca="1">('TUSD BE'!$AF$27+'TUSD BF'!$AF$27+'TUSD CVA'!$AF$27)*(1 - 0.4)</f>
        <v>0</v>
      </c>
      <c r="AD27" s="84">
        <f>('TUSD BE'!$AH$27+'TUSD BF'!$AH$27+'TUSD CVA'!$AH$27)*(1 - 0.4)</f>
        <v>22.474988451992946</v>
      </c>
      <c r="AE27" s="84">
        <f>('TUSD BE'!$AI$27+'TUSD BF'!$AI$27+'TUSD CVA'!$AI$27)*(1 - 0.4)</f>
        <v>0</v>
      </c>
      <c r="AF27" s="84">
        <f ca="1">('TUSD BE'!$AJ$27+'TUSD BF'!$AJ$27+'TUSD CVA'!$AJ$27)*(1 - 0.4)</f>
        <v>0</v>
      </c>
      <c r="AG27" s="84">
        <f ca="1">('TUSD BE'!$AK$27+'TUSD BF'!$AK$27+'TUSD CVA'!$AK$27)*(1 - 0.4)</f>
        <v>0</v>
      </c>
      <c r="AI27" s="84">
        <v>0</v>
      </c>
      <c r="AJ27" s="84">
        <v>0.96944516950234205</v>
      </c>
      <c r="AK27" s="84">
        <v>0</v>
      </c>
      <c r="AL27" s="84">
        <v>0</v>
      </c>
      <c r="AM27" s="84">
        <v>0</v>
      </c>
      <c r="AN27" s="84">
        <v>0</v>
      </c>
      <c r="AO27" s="84">
        <v>0</v>
      </c>
      <c r="AP27" s="84">
        <v>0</v>
      </c>
      <c r="AQ27" s="84">
        <v>0</v>
      </c>
      <c r="AR27" s="84">
        <v>0</v>
      </c>
      <c r="AS27" s="84">
        <v>0</v>
      </c>
      <c r="AT27" s="84">
        <v>0</v>
      </c>
      <c r="AU27" s="84">
        <v>72.949533678157593</v>
      </c>
      <c r="AV27" s="84">
        <v>0</v>
      </c>
      <c r="AW27" s="84">
        <v>0</v>
      </c>
      <c r="AX27" s="84">
        <v>189.62883183645701</v>
      </c>
      <c r="AY27" s="84">
        <v>0.47601061223283803</v>
      </c>
      <c r="AZ27" s="84">
        <v>0</v>
      </c>
      <c r="BA27" s="84">
        <v>20.719165041698201</v>
      </c>
      <c r="BB27" s="84">
        <v>0</v>
      </c>
      <c r="BC27" s="84">
        <v>0</v>
      </c>
      <c r="BD27" s="84">
        <v>0</v>
      </c>
    </row>
    <row r="28" spans="1:56" ht="11.25" customHeight="1" x14ac:dyDescent="0.25">
      <c r="A28" s="132"/>
      <c r="B28" s="132"/>
      <c r="C28" s="132"/>
      <c r="D28" s="86" t="s">
        <v>30</v>
      </c>
      <c r="E28" s="86" t="s">
        <v>25</v>
      </c>
      <c r="F28" s="86" t="s">
        <v>25</v>
      </c>
      <c r="G28" s="21" t="s">
        <v>73</v>
      </c>
      <c r="H28" s="21" t="s">
        <v>69</v>
      </c>
      <c r="I28" s="21">
        <f>'MERCADO TUSD'!$U$25</f>
        <v>0</v>
      </c>
      <c r="J28" s="17"/>
      <c r="L28" s="84">
        <f>('TUSD BE'!$L$28+'TUSD BF'!$L$28+'TUSD CVA'!$L$28)*(1 - 0.1)</f>
        <v>0</v>
      </c>
      <c r="M28" s="84">
        <f>('TUSD BE'!$M$28+'TUSD BF'!$M$28+'TUSD CVA'!$M$28)*(1 - 0.1)</f>
        <v>1.8660500572056218</v>
      </c>
      <c r="N28" s="84">
        <f ca="1">('TUSD BE'!$N$28+'TUSD BF'!$N$28+'TUSD CVA'!$N$28)*(1 - 0.1)</f>
        <v>0</v>
      </c>
      <c r="O28" s="84">
        <f>('TUSD BE'!$O$28+'TUSD BF'!$O$28+'TUSD CVA'!$O$28)*(1 - 0.1)</f>
        <v>0</v>
      </c>
      <c r="P28" s="84">
        <v>0</v>
      </c>
      <c r="Q28" s="84">
        <f>('TUSD BE'!$Q$28+'TUSD BF'!$Q$28+'TUSD CVA'!$Q$28)*(1 - 0.1)</f>
        <v>0</v>
      </c>
      <c r="R28" s="84">
        <v>0</v>
      </c>
      <c r="S28" s="84">
        <f>('TUSD BE'!$S$28+'TUSD BF'!$S$28+'TUSD CVA'!$S$28)*(1 - 0.1)</f>
        <v>0</v>
      </c>
      <c r="T28" s="84">
        <f>('TUSD BE'!$U$28+'TUSD BF'!$U$28+'TUSD CVA'!$U$28)*(1 - 0.1)</f>
        <v>0</v>
      </c>
      <c r="U28" s="84">
        <f>('TUSD BE'!$V$28+'TUSD BF'!$V$28+'TUSD CVA'!$V$28)*(1 - 0.1)</f>
        <v>0</v>
      </c>
      <c r="V28" s="84">
        <f>('TUSD BE'!$W$28+'TUSD BF'!$W$28+'TUSD CVA'!$W$28)*(1 - 0.1)</f>
        <v>0</v>
      </c>
      <c r="W28" s="84">
        <f>('TUSD BE'!$X$28+'TUSD BF'!$X$28+'TUSD CVA'!$X$28)*(1 - 0.1)</f>
        <v>0</v>
      </c>
      <c r="X28" s="84">
        <f>('TUSD BE'!$Y$28+'TUSD BF'!$Y$28+'TUSD CVA'!$Y$28)*(1 - 0.1)</f>
        <v>128.31621725594394</v>
      </c>
      <c r="Y28" s="84">
        <f>('TUSD BE'!$Z$28+'TUSD BF'!$Z$28+'TUSD CVA'!$Z$28)*(1 - 0.1)</f>
        <v>0</v>
      </c>
      <c r="Z28" s="84">
        <f>('TUSD BE'!$AA$28+'TUSD BF'!$AA$28+'TUSD CVA'!$AA$28)*(1 - 0.1)</f>
        <v>0</v>
      </c>
      <c r="AA28" s="84">
        <f>('TUSD BE'!$AC$28+'TUSD BF'!$AC$28+'TUSD CVA'!$AC$28)*(1 - 0.1)</f>
        <v>378.87873979735474</v>
      </c>
      <c r="AB28" s="84">
        <f ca="1">('TUSD BE'!$AE$28+'TUSD BF'!$AE$28+'TUSD CVA'!$AE$28)*(1 - 0.1)</f>
        <v>-0.75520528234539741</v>
      </c>
      <c r="AC28" s="84">
        <f ca="1">('TUSD BE'!$AF$28+'TUSD BF'!$AF$28+'TUSD CVA'!$AF$28)*(1 - 0.1)</f>
        <v>0</v>
      </c>
      <c r="AD28" s="84">
        <f>('TUSD BE'!$AH$28+'TUSD BF'!$AH$28+'TUSD CVA'!$AH$28)*(1 - 0.1)</f>
        <v>33.712482677989421</v>
      </c>
      <c r="AE28" s="84">
        <f>('TUSD BE'!$AI$28+'TUSD BF'!$AI$28+'TUSD CVA'!$AI$28)*(1 - 0.1)</f>
        <v>0</v>
      </c>
      <c r="AF28" s="84">
        <f ca="1">('TUSD BE'!$AJ$28+'TUSD BF'!$AJ$28+'TUSD CVA'!$AJ$28)*(1 - 0.1)</f>
        <v>0</v>
      </c>
      <c r="AG28" s="84">
        <f ca="1">('TUSD BE'!$AK$28+'TUSD BF'!$AK$28+'TUSD CVA'!$AK$28)*(1 - 0.1)</f>
        <v>0</v>
      </c>
      <c r="AI28" s="84">
        <v>0</v>
      </c>
      <c r="AJ28" s="84">
        <v>1.4541677542535101</v>
      </c>
      <c r="AK28" s="84">
        <v>0</v>
      </c>
      <c r="AL28" s="84">
        <v>0</v>
      </c>
      <c r="AM28" s="84">
        <v>0</v>
      </c>
      <c r="AN28" s="84">
        <v>0</v>
      </c>
      <c r="AO28" s="84">
        <v>0</v>
      </c>
      <c r="AP28" s="84">
        <v>0</v>
      </c>
      <c r="AQ28" s="84">
        <v>0</v>
      </c>
      <c r="AR28" s="84">
        <v>0</v>
      </c>
      <c r="AS28" s="84">
        <v>0</v>
      </c>
      <c r="AT28" s="84">
        <v>0</v>
      </c>
      <c r="AU28" s="84">
        <v>109.42430051723601</v>
      </c>
      <c r="AV28" s="84">
        <v>0</v>
      </c>
      <c r="AW28" s="84">
        <v>0</v>
      </c>
      <c r="AX28" s="84">
        <v>284.44324775468601</v>
      </c>
      <c r="AY28" s="84">
        <v>0.71401591834925704</v>
      </c>
      <c r="AZ28" s="84">
        <v>0</v>
      </c>
      <c r="BA28" s="84">
        <v>31.078747562547399</v>
      </c>
      <c r="BB28" s="84">
        <v>0</v>
      </c>
      <c r="BC28" s="84">
        <v>0</v>
      </c>
      <c r="BD28" s="84">
        <v>0</v>
      </c>
    </row>
    <row r="29" spans="1:56" ht="11.25" customHeight="1" x14ac:dyDescent="0.25">
      <c r="A29" s="132"/>
      <c r="B29" s="132"/>
      <c r="C29" s="132"/>
      <c r="D29" s="86" t="s">
        <v>31</v>
      </c>
      <c r="E29" s="86" t="s">
        <v>25</v>
      </c>
      <c r="F29" s="86" t="s">
        <v>25</v>
      </c>
      <c r="G29" s="21" t="s">
        <v>73</v>
      </c>
      <c r="H29" s="21" t="s">
        <v>69</v>
      </c>
      <c r="I29" s="21">
        <f>'MERCADO TUSD'!$U$26</f>
        <v>0</v>
      </c>
      <c r="J29" s="17"/>
      <c r="L29" s="84">
        <f>('TUSD BE'!$L$29+'TUSD BF'!$L$29+'TUSD CVA'!$L$29)*1</f>
        <v>0</v>
      </c>
      <c r="M29" s="84">
        <f>('TUSD BE'!$M$29+'TUSD BF'!$M$29+'TUSD CVA'!$M$29)*1</f>
        <v>2.0733889524506908</v>
      </c>
      <c r="N29" s="84">
        <f ca="1">('TUSD BE'!$N$29+'TUSD BF'!$N$29+'TUSD CVA'!$N$29)*1</f>
        <v>0</v>
      </c>
      <c r="O29" s="84">
        <f>('TUSD BE'!$O$29+'TUSD BF'!$O$29+'TUSD CVA'!$O$29)*1</f>
        <v>0</v>
      </c>
      <c r="P29" s="84">
        <v>0</v>
      </c>
      <c r="Q29" s="84">
        <f>('TUSD BE'!$Q$29+'TUSD BF'!$Q$29+'TUSD CVA'!$Q$29)*1</f>
        <v>0</v>
      </c>
      <c r="R29" s="84">
        <v>0</v>
      </c>
      <c r="S29" s="84">
        <f>('TUSD BE'!$S$29+'TUSD BF'!$S$29+'TUSD CVA'!$S$29)*1</f>
        <v>0</v>
      </c>
      <c r="T29" s="84">
        <f>('TUSD BE'!$U$29+'TUSD BF'!$U$29+'TUSD CVA'!$U$29)*1</f>
        <v>0</v>
      </c>
      <c r="U29" s="84">
        <f>('TUSD BE'!$V$29+'TUSD BF'!$V$29+'TUSD CVA'!$V$29)*1</f>
        <v>0</v>
      </c>
      <c r="V29" s="84">
        <f>('TUSD BE'!$W$29+'TUSD BF'!$W$29+'TUSD CVA'!$W$29)*1</f>
        <v>0</v>
      </c>
      <c r="W29" s="84">
        <f>('TUSD BE'!$X$29+'TUSD BF'!$X$29+'TUSD CVA'!$X$29)*1</f>
        <v>0</v>
      </c>
      <c r="X29" s="84">
        <f>('TUSD BE'!$Y$29+'TUSD BF'!$Y$29+'TUSD CVA'!$Y$29)*1</f>
        <v>142.5735747288266</v>
      </c>
      <c r="Y29" s="84">
        <f>('TUSD BE'!$Z$29+'TUSD BF'!$Z$29+'TUSD CVA'!$Z$29)*1</f>
        <v>0</v>
      </c>
      <c r="Z29" s="84">
        <f>('TUSD BE'!$AA$29+'TUSD BF'!$AA$29+'TUSD CVA'!$AA$29)*1</f>
        <v>0</v>
      </c>
      <c r="AA29" s="84">
        <f>('TUSD BE'!$AC$29+'TUSD BF'!$AC$29+'TUSD CVA'!$AC$29)*1</f>
        <v>420.97637755261638</v>
      </c>
      <c r="AB29" s="84">
        <f ca="1">('TUSD BE'!$AE$29+'TUSD BF'!$AE$29+'TUSD CVA'!$AE$29)*1</f>
        <v>-0.83911698038377491</v>
      </c>
      <c r="AC29" s="84">
        <f ca="1">('TUSD BE'!$AF$29+'TUSD BF'!$AF$29+'TUSD CVA'!$AF$29)*1</f>
        <v>0</v>
      </c>
      <c r="AD29" s="84">
        <f>('TUSD BE'!$AH$29+'TUSD BF'!$AH$29+'TUSD CVA'!$AH$29)*1</f>
        <v>37.458314086654909</v>
      </c>
      <c r="AE29" s="84">
        <f>('TUSD BE'!$AI$29+'TUSD BF'!$AI$29+'TUSD CVA'!$AI$29)*1</f>
        <v>0</v>
      </c>
      <c r="AF29" s="84">
        <f ca="1">('TUSD BE'!$AJ$29+'TUSD BF'!$AJ$29+'TUSD CVA'!$AJ$29)*1</f>
        <v>0</v>
      </c>
      <c r="AG29" s="84">
        <f ca="1">('TUSD BE'!$AK$29+'TUSD BF'!$AK$29+'TUSD CVA'!$AK$29)*1</f>
        <v>0</v>
      </c>
      <c r="AI29" s="84">
        <v>0</v>
      </c>
      <c r="AJ29" s="84">
        <v>1.61574194917057</v>
      </c>
      <c r="AK29" s="84">
        <v>0</v>
      </c>
      <c r="AL29" s="84">
        <v>0</v>
      </c>
      <c r="AM29" s="84">
        <v>0</v>
      </c>
      <c r="AN29" s="84">
        <v>0</v>
      </c>
      <c r="AO29" s="84">
        <v>0</v>
      </c>
      <c r="AP29" s="84">
        <v>0</v>
      </c>
      <c r="AQ29" s="84">
        <v>0</v>
      </c>
      <c r="AR29" s="84">
        <v>0</v>
      </c>
      <c r="AS29" s="84">
        <v>0</v>
      </c>
      <c r="AT29" s="84">
        <v>0</v>
      </c>
      <c r="AU29" s="84">
        <v>121.582556130263</v>
      </c>
      <c r="AV29" s="84">
        <v>0</v>
      </c>
      <c r="AW29" s="84">
        <v>0</v>
      </c>
      <c r="AX29" s="84">
        <v>316.04805306076202</v>
      </c>
      <c r="AY29" s="84">
        <v>0.79335102038806304</v>
      </c>
      <c r="AZ29" s="84">
        <v>0</v>
      </c>
      <c r="BA29" s="84">
        <v>34.531941736163702</v>
      </c>
      <c r="BB29" s="84">
        <v>0</v>
      </c>
      <c r="BC29" s="84">
        <v>0</v>
      </c>
      <c r="BD29" s="84">
        <v>0</v>
      </c>
    </row>
    <row r="30" spans="1:56" ht="11.25" customHeight="1" x14ac:dyDescent="0.25">
      <c r="A30" s="132" t="s">
        <v>41</v>
      </c>
      <c r="B30" s="132" t="s">
        <v>39</v>
      </c>
      <c r="C30" s="132" t="s">
        <v>42</v>
      </c>
      <c r="D30" s="132" t="s">
        <v>25</v>
      </c>
      <c r="E30" s="132" t="s">
        <v>25</v>
      </c>
      <c r="F30" s="132" t="s">
        <v>25</v>
      </c>
      <c r="G30" s="21" t="s">
        <v>70</v>
      </c>
      <c r="H30" s="21" t="s">
        <v>69</v>
      </c>
      <c r="I30" s="21">
        <f>'MERCADO TUSD'!$U$27</f>
        <v>0.34100000000000003</v>
      </c>
      <c r="J30" s="17"/>
      <c r="L30" s="84">
        <f>('TUSD BE'!$L$30+'TUSD BF'!$L$30+'TUSD CVA'!$L$30)*(1 - CUSTOS!$M$38)</f>
        <v>0</v>
      </c>
      <c r="M30" s="84">
        <f>('TUSD BE'!$M$30+'TUSD BF'!$M$30+'TUSD CVA'!$M$30)*(1 - CUSTOS!$M$38)</f>
        <v>1.9489856153036491</v>
      </c>
      <c r="N30" s="84">
        <f ca="1">('TUSD BE'!$N$30+'TUSD BF'!$N$30+'TUSD CVA'!$N$30)*(1 - CUSTOS!$M$38)</f>
        <v>0</v>
      </c>
      <c r="O30" s="84">
        <f>('TUSD BE'!$O$30+'TUSD BF'!$O$30+'TUSD CVA'!$O$30)*(1 - CUSTOS!$M$38)</f>
        <v>0</v>
      </c>
      <c r="P30" s="84">
        <f>('TUSD BE'!$P$30+'TUSD BF'!$P$30+'TUSD CVA'!$P$30)*(1 - CUSTOS!$M$38)</f>
        <v>0</v>
      </c>
      <c r="Q30" s="84">
        <f>('TUSD BE'!$Q$30+'TUSD BF'!$Q$30+'TUSD CVA'!$Q$30)*(1 - CUSTOS!$M$38)</f>
        <v>38.153664066604648</v>
      </c>
      <c r="R30" s="84">
        <f>('TUSD BE'!$R$30+'TUSD BF'!$R$30+'TUSD CVA'!$R$30)*(1 - CUSTOS!$M$38)</f>
        <v>14.274193732389207</v>
      </c>
      <c r="S30" s="84">
        <f>('TUSD BE'!$S$30+'TUSD BF'!$S$30+'TUSD CVA'!$S$30)*(1 - CUSTOS!$M$38)</f>
        <v>0</v>
      </c>
      <c r="T30" s="84">
        <f>('TUSD BE'!$U$30+'TUSD BF'!$U$30+'TUSD CVA'!$U$30)*(1 - CUSTOS!$M$38)</f>
        <v>0</v>
      </c>
      <c r="U30" s="84">
        <f>('TUSD BE'!$V$30+'TUSD BF'!$V$30+'TUSD CVA'!$V$30)*(1 - CUSTOS!$M$38)</f>
        <v>0</v>
      </c>
      <c r="V30" s="84">
        <f>('TUSD BE'!$W$30+'TUSD BF'!$W$30+'TUSD CVA'!$W$30)*(1 - CUSTOS!$M$38)</f>
        <v>0</v>
      </c>
      <c r="W30" s="84">
        <f>('TUSD BE'!$X$30+'TUSD BF'!$X$30+'TUSD CVA'!$X$30)*(1 - CUSTOS!$M$38)</f>
        <v>0</v>
      </c>
      <c r="X30" s="84">
        <f>('TUSD BE'!$Y$30+'TUSD BF'!$Y$30+'TUSD CVA'!$Y$30)*(1 - CUSTOS!$M$38)</f>
        <v>357.36422346315084</v>
      </c>
      <c r="Y30" s="84">
        <f>('TUSD BE'!$Z$30+'TUSD BF'!$Z$30+'TUSD CVA'!$Z$30)*(1 - CUSTOS!$M$38)</f>
        <v>0</v>
      </c>
      <c r="Z30" s="84">
        <f>('TUSD BE'!$AA$30+'TUSD BF'!$AA$30+'TUSD CVA'!$AA$30)*(1 - CUSTOS!$M$38)</f>
        <v>0</v>
      </c>
      <c r="AA30" s="84">
        <f>('TUSD BE'!$AC$30+'TUSD BF'!$AC$30+'TUSD CVA'!$AC$30)*(1 - CUSTOS!$M$38)</f>
        <v>1055.1839511479554</v>
      </c>
      <c r="AB30" s="84">
        <f ca="1">('TUSD BE'!$AE$30+'TUSD BF'!$AE$30+'TUSD CVA'!$AE$30)*(1 - CUSTOS!$M$38)</f>
        <v>-2.0886973127769171</v>
      </c>
      <c r="AC30" s="84">
        <f ca="1">('TUSD BE'!$AF$30+'TUSD BF'!$AF$30+'TUSD CVA'!$AF$30)*(1 - CUSTOS!$M$38)</f>
        <v>0</v>
      </c>
      <c r="AD30" s="84">
        <f>('TUSD BE'!$AH$30+'TUSD BF'!$AH$30+'TUSD CVA'!$AH$30)*(1 - CUSTOS!$M$38)</f>
        <v>35.210815241455613</v>
      </c>
      <c r="AE30" s="84">
        <f>('TUSD BE'!$AI$30+'TUSD BF'!$AI$30+'TUSD CVA'!$AI$30)*(1 - CUSTOS!$M$38)</f>
        <v>0</v>
      </c>
      <c r="AF30" s="84">
        <f ca="1">('TUSD BE'!$AJ$30+'TUSD BF'!$AJ$30+'TUSD CVA'!$AJ$30)*(1 - CUSTOS!$M$38)</f>
        <v>0</v>
      </c>
      <c r="AG30" s="84">
        <f ca="1">('TUSD BE'!$AK$30+'TUSD BF'!$AK$30+'TUSD CVA'!$AK$30)*(1 - CUSTOS!$M$38)</f>
        <v>0</v>
      </c>
      <c r="AI30" s="84">
        <v>0</v>
      </c>
      <c r="AJ30" s="84">
        <v>1.4218529152701</v>
      </c>
      <c r="AK30" s="84">
        <v>0</v>
      </c>
      <c r="AL30" s="84">
        <v>0</v>
      </c>
      <c r="AM30" s="84">
        <v>0</v>
      </c>
      <c r="AN30" s="84">
        <v>21.737764604245299</v>
      </c>
      <c r="AO30" s="84">
        <v>8.8898558939553798</v>
      </c>
      <c r="AP30" s="84">
        <v>0</v>
      </c>
      <c r="AQ30" s="84">
        <v>0</v>
      </c>
      <c r="AR30" s="84">
        <v>0</v>
      </c>
      <c r="AS30" s="84">
        <v>0</v>
      </c>
      <c r="AT30" s="84">
        <v>0</v>
      </c>
      <c r="AU30" s="84">
        <v>285.297683639848</v>
      </c>
      <c r="AV30" s="84">
        <v>0</v>
      </c>
      <c r="AW30" s="84">
        <v>0</v>
      </c>
      <c r="AX30" s="84">
        <v>741.61478591287403</v>
      </c>
      <c r="AY30" s="84">
        <v>1.8332379990713099</v>
      </c>
      <c r="AZ30" s="84">
        <v>0</v>
      </c>
      <c r="BA30" s="84">
        <v>30.3881087278241</v>
      </c>
      <c r="BB30" s="84">
        <v>0</v>
      </c>
      <c r="BC30" s="84">
        <v>0</v>
      </c>
      <c r="BD30" s="84">
        <v>0</v>
      </c>
    </row>
    <row r="31" spans="1:56" ht="11.25" customHeight="1" x14ac:dyDescent="0.25">
      <c r="A31" s="132"/>
      <c r="B31" s="132"/>
      <c r="C31" s="132"/>
      <c r="D31" s="132"/>
      <c r="E31" s="132"/>
      <c r="F31" s="132"/>
      <c r="G31" s="21" t="s">
        <v>83</v>
      </c>
      <c r="H31" s="21" t="s">
        <v>69</v>
      </c>
      <c r="I31" s="21">
        <f>'MERCADO TUSD'!$U$28</f>
        <v>0.55500000000000005</v>
      </c>
      <c r="J31" s="17"/>
      <c r="L31" s="84">
        <f>('TUSD BE'!$L$31+'TUSD BF'!$L$31+'TUSD CVA'!$L$31)*(1 - CUSTOS!$M$38)</f>
        <v>0</v>
      </c>
      <c r="M31" s="84">
        <f>('TUSD BE'!$M$31+'TUSD BF'!$M$31+'TUSD CVA'!$M$31)*(1 - CUSTOS!$M$38)</f>
        <v>1.9489856153036491</v>
      </c>
      <c r="N31" s="84">
        <f ca="1">('TUSD BE'!$N$31+'TUSD BF'!$N$31+'TUSD CVA'!$N$31)*(1 - CUSTOS!$M$38)</f>
        <v>0</v>
      </c>
      <c r="O31" s="84">
        <f>('TUSD BE'!$O$31+'TUSD BF'!$O$31+'TUSD CVA'!$O$31)*(1 - CUSTOS!$M$38)</f>
        <v>0</v>
      </c>
      <c r="P31" s="84">
        <f>('TUSD BE'!$P$31+'TUSD BF'!$P$31+'TUSD CVA'!$P$31)*(1 - CUSTOS!$M$38)</f>
        <v>0</v>
      </c>
      <c r="Q31" s="84">
        <f>('TUSD BE'!$Q$31+'TUSD BF'!$Q$31+'TUSD CVA'!$Q$31)*(1 - CUSTOS!$M$38)</f>
        <v>38.153664066604648</v>
      </c>
      <c r="R31" s="84">
        <f>('TUSD BE'!$R$31+'TUSD BF'!$R$31+'TUSD CVA'!$R$31)*(1 - CUSTOS!$M$38)</f>
        <v>14.274193732389207</v>
      </c>
      <c r="S31" s="84">
        <f>('TUSD BE'!$S$31+'TUSD BF'!$S$31+'TUSD CVA'!$S$31)*(1 - CUSTOS!$M$38)</f>
        <v>0</v>
      </c>
      <c r="T31" s="84">
        <f>('TUSD BE'!$U$31+'TUSD BF'!$U$31+'TUSD CVA'!$U$31)*(1 - CUSTOS!$M$38)</f>
        <v>0</v>
      </c>
      <c r="U31" s="84">
        <f>('TUSD BE'!$V$31+'TUSD BF'!$V$31+'TUSD CVA'!$V$31)*(1 - CUSTOS!$M$38)</f>
        <v>0</v>
      </c>
      <c r="V31" s="84">
        <f>('TUSD BE'!$W$31+'TUSD BF'!$W$31+'TUSD CVA'!$W$31)*(1 - CUSTOS!$M$38)</f>
        <v>0</v>
      </c>
      <c r="W31" s="84">
        <f>('TUSD BE'!$X$31+'TUSD BF'!$X$31+'TUSD CVA'!$X$31)*(1 - CUSTOS!$M$38)</f>
        <v>0</v>
      </c>
      <c r="X31" s="84">
        <f>('TUSD BE'!$Y$31+'TUSD BF'!$Y$31+'TUSD CVA'!$Y$31)*(1 - CUSTOS!$M$38)</f>
        <v>214.41949471411527</v>
      </c>
      <c r="Y31" s="84">
        <f>('TUSD BE'!$Z$31+'TUSD BF'!$Z$31+'TUSD CVA'!$Z$31)*(1 - CUSTOS!$M$38)</f>
        <v>0</v>
      </c>
      <c r="Z31" s="84">
        <f>('TUSD BE'!$AA$31+'TUSD BF'!$AA$31+'TUSD CVA'!$AA$31)*(1 - CUSTOS!$M$38)</f>
        <v>0</v>
      </c>
      <c r="AA31" s="84">
        <f>('TUSD BE'!$AC$31+'TUSD BF'!$AC$31+'TUSD CVA'!$AC$31)*(1 - CUSTOS!$M$38)</f>
        <v>633.11015837233242</v>
      </c>
      <c r="AB31" s="84">
        <f ca="1">('TUSD BE'!$AE$31+'TUSD BF'!$AE$31+'TUSD CVA'!$AE$31)*(1 - CUSTOS!$M$38)</f>
        <v>-1.2972978452689323</v>
      </c>
      <c r="AC31" s="84">
        <f ca="1">('TUSD BE'!$AF$31+'TUSD BF'!$AF$31+'TUSD CVA'!$AF$31)*(1 - CUSTOS!$M$38)</f>
        <v>0</v>
      </c>
      <c r="AD31" s="84">
        <f>('TUSD BE'!$AH$31+'TUSD BF'!$AH$31+'TUSD CVA'!$AH$31)*(1 - CUSTOS!$M$38)</f>
        <v>35.210815241455613</v>
      </c>
      <c r="AE31" s="84">
        <f>('TUSD BE'!$AI$31+'TUSD BF'!$AI$31+'TUSD CVA'!$AI$31)*(1 - CUSTOS!$M$38)</f>
        <v>0</v>
      </c>
      <c r="AF31" s="84">
        <f ca="1">('TUSD BE'!$AJ$31+'TUSD BF'!$AJ$31+'TUSD CVA'!$AJ$31)*(1 - CUSTOS!$M$38)</f>
        <v>0</v>
      </c>
      <c r="AG31" s="84">
        <f ca="1">('TUSD BE'!$AK$31+'TUSD BF'!$AK$31+'TUSD CVA'!$AK$31)*(1 - CUSTOS!$M$38)</f>
        <v>0</v>
      </c>
      <c r="AI31" s="84">
        <v>0</v>
      </c>
      <c r="AJ31" s="84">
        <v>1.4218529152701</v>
      </c>
      <c r="AK31" s="84">
        <v>0</v>
      </c>
      <c r="AL31" s="84">
        <v>0</v>
      </c>
      <c r="AM31" s="84">
        <v>0</v>
      </c>
      <c r="AN31" s="84">
        <v>21.737764604245299</v>
      </c>
      <c r="AO31" s="84">
        <v>8.8898558939553798</v>
      </c>
      <c r="AP31" s="84">
        <v>0</v>
      </c>
      <c r="AQ31" s="84">
        <v>0</v>
      </c>
      <c r="AR31" s="84">
        <v>0</v>
      </c>
      <c r="AS31" s="84">
        <v>0</v>
      </c>
      <c r="AT31" s="84">
        <v>0</v>
      </c>
      <c r="AU31" s="84">
        <v>171.17937035608</v>
      </c>
      <c r="AV31" s="84">
        <v>0</v>
      </c>
      <c r="AW31" s="84">
        <v>0</v>
      </c>
      <c r="AX31" s="84">
        <v>444.96871891432301</v>
      </c>
      <c r="AY31" s="84">
        <v>1.1346190771295801</v>
      </c>
      <c r="AZ31" s="84">
        <v>0</v>
      </c>
      <c r="BA31" s="84">
        <v>30.3881087278241</v>
      </c>
      <c r="BB31" s="84">
        <v>0</v>
      </c>
      <c r="BC31" s="84">
        <v>0</v>
      </c>
      <c r="BD31" s="84">
        <v>0</v>
      </c>
    </row>
    <row r="32" spans="1:56" ht="11.25" customHeight="1" x14ac:dyDescent="0.25">
      <c r="A32" s="132"/>
      <c r="B32" s="132"/>
      <c r="C32" s="132"/>
      <c r="D32" s="132"/>
      <c r="E32" s="132"/>
      <c r="F32" s="132"/>
      <c r="G32" s="21" t="s">
        <v>71</v>
      </c>
      <c r="H32" s="21" t="s">
        <v>69</v>
      </c>
      <c r="I32" s="21">
        <f>'MERCADO TUSD'!$U$29</f>
        <v>16.565999999999999</v>
      </c>
      <c r="J32" s="17"/>
      <c r="L32" s="84">
        <f>('TUSD BE'!$L$32+'TUSD BF'!$L$32+'TUSD CVA'!$L$32)*(1 - CUSTOS!$M$38)</f>
        <v>0</v>
      </c>
      <c r="M32" s="84">
        <f>('TUSD BE'!$M$32+'TUSD BF'!$M$32+'TUSD CVA'!$M$32)*(1 - CUSTOS!$M$38)</f>
        <v>1.9489856153036491</v>
      </c>
      <c r="N32" s="84">
        <f ca="1">('TUSD BE'!$N$32+'TUSD BF'!$N$32+'TUSD CVA'!$N$32)*(1 - CUSTOS!$M$38)</f>
        <v>0</v>
      </c>
      <c r="O32" s="84">
        <f>('TUSD BE'!$O$32+'TUSD BF'!$O$32+'TUSD CVA'!$O$32)*(1 - CUSTOS!$M$38)</f>
        <v>0</v>
      </c>
      <c r="P32" s="84">
        <f>('TUSD BE'!$P$32+'TUSD BF'!$P$32+'TUSD CVA'!$P$32)*(1 - CUSTOS!$M$38)</f>
        <v>0</v>
      </c>
      <c r="Q32" s="84">
        <f>('TUSD BE'!$Q$32+'TUSD BF'!$Q$32+'TUSD CVA'!$Q$32)*(1 - CUSTOS!$M$38)</f>
        <v>38.153664066604648</v>
      </c>
      <c r="R32" s="84">
        <f>('TUSD BE'!$R$32+'TUSD BF'!$R$32+'TUSD CVA'!$R$32)*(1 - CUSTOS!$M$38)</f>
        <v>14.274193732389207</v>
      </c>
      <c r="S32" s="84">
        <f>('TUSD BE'!$S$32+'TUSD BF'!$S$32+'TUSD CVA'!$S$32)*(1 - CUSTOS!$M$38)</f>
        <v>0</v>
      </c>
      <c r="T32" s="84">
        <f>('TUSD BE'!$U$32+'TUSD BF'!$U$32+'TUSD CVA'!$U$32)*(1 - CUSTOS!$M$38)</f>
        <v>0</v>
      </c>
      <c r="U32" s="84">
        <f>('TUSD BE'!$V$32+'TUSD BF'!$V$32+'TUSD CVA'!$V$32)*(1 - CUSTOS!$M$38)</f>
        <v>0</v>
      </c>
      <c r="V32" s="84">
        <f>('TUSD BE'!$W$32+'TUSD BF'!$W$32+'TUSD CVA'!$W$32)*(1 - CUSTOS!$M$38)</f>
        <v>0</v>
      </c>
      <c r="W32" s="84">
        <f>('TUSD BE'!$X$32+'TUSD BF'!$X$32+'TUSD CVA'!$X$32)*(1 - CUSTOS!$M$38)</f>
        <v>0</v>
      </c>
      <c r="X32" s="84">
        <f>('TUSD BE'!$Y$32+'TUSD BF'!$Y$32+'TUSD CVA'!$Y$32)*(1 - CUSTOS!$M$38)</f>
        <v>71.474880326535001</v>
      </c>
      <c r="Y32" s="84">
        <f>('TUSD BE'!$Z$32+'TUSD BF'!$Z$32+'TUSD CVA'!$Z$32)*(1 - CUSTOS!$M$38)</f>
        <v>0</v>
      </c>
      <c r="Z32" s="84">
        <f>('TUSD BE'!$AA$32+'TUSD BF'!$AA$32+'TUSD CVA'!$AA$32)*(1 - CUSTOS!$M$38)</f>
        <v>0</v>
      </c>
      <c r="AA32" s="84">
        <f>('TUSD BE'!$AC$32+'TUSD BF'!$AC$32+'TUSD CVA'!$AC$32)*(1 - CUSTOS!$M$38)</f>
        <v>211.03694464154796</v>
      </c>
      <c r="AB32" s="84">
        <f ca="1">('TUSD BE'!$AE$32+'TUSD BF'!$AE$32+'TUSD CVA'!$AE$32)*(1 - CUSTOS!$M$38)</f>
        <v>-0.50589936893450371</v>
      </c>
      <c r="AC32" s="84">
        <f ca="1">('TUSD BE'!$AF$32+'TUSD BF'!$AF$32+'TUSD CVA'!$AF$32)*(1 - CUSTOS!$M$38)</f>
        <v>0</v>
      </c>
      <c r="AD32" s="84">
        <f>('TUSD BE'!$AH$32+'TUSD BF'!$AH$32+'TUSD CVA'!$AH$32)*(1 - CUSTOS!$M$38)</f>
        <v>35.210815241455613</v>
      </c>
      <c r="AE32" s="84">
        <f>('TUSD BE'!$AI$32+'TUSD BF'!$AI$32+'TUSD CVA'!$AI$32)*(1 - CUSTOS!$M$38)</f>
        <v>0</v>
      </c>
      <c r="AF32" s="84">
        <f ca="1">('TUSD BE'!$AJ$32+'TUSD BF'!$AJ$32+'TUSD CVA'!$AJ$32)*(1 - CUSTOS!$M$38)</f>
        <v>0</v>
      </c>
      <c r="AG32" s="84">
        <f ca="1">('TUSD BE'!$AK$32+'TUSD BF'!$AK$32+'TUSD CVA'!$AK$32)*(1 - CUSTOS!$M$38)</f>
        <v>0</v>
      </c>
      <c r="AI32" s="84">
        <v>0</v>
      </c>
      <c r="AJ32" s="84">
        <v>1.4218529152701</v>
      </c>
      <c r="AK32" s="84">
        <v>0</v>
      </c>
      <c r="AL32" s="84">
        <v>0</v>
      </c>
      <c r="AM32" s="84">
        <v>0</v>
      </c>
      <c r="AN32" s="84">
        <v>21.737764604245299</v>
      </c>
      <c r="AO32" s="84">
        <v>8.8898558939553798</v>
      </c>
      <c r="AP32" s="84">
        <v>0</v>
      </c>
      <c r="AQ32" s="84">
        <v>0</v>
      </c>
      <c r="AR32" s="84">
        <v>0</v>
      </c>
      <c r="AS32" s="84">
        <v>0</v>
      </c>
      <c r="AT32" s="84">
        <v>0</v>
      </c>
      <c r="AU32" s="84">
        <v>57.061162651780101</v>
      </c>
      <c r="AV32" s="84">
        <v>0</v>
      </c>
      <c r="AW32" s="84">
        <v>0</v>
      </c>
      <c r="AX32" s="84">
        <v>148.323033499275</v>
      </c>
      <c r="AY32" s="84">
        <v>0.43600099775836498</v>
      </c>
      <c r="AZ32" s="84">
        <v>0</v>
      </c>
      <c r="BA32" s="84">
        <v>30.3881087278241</v>
      </c>
      <c r="BB32" s="84">
        <v>0</v>
      </c>
      <c r="BC32" s="84">
        <v>0</v>
      </c>
      <c r="BD32" s="84">
        <v>0</v>
      </c>
    </row>
    <row r="33" spans="1:56" ht="11.25" customHeight="1" x14ac:dyDescent="0.25">
      <c r="A33" s="132"/>
      <c r="B33" s="86" t="s">
        <v>23</v>
      </c>
      <c r="C33" s="86" t="s">
        <v>42</v>
      </c>
      <c r="D33" s="86" t="s">
        <v>25</v>
      </c>
      <c r="E33" s="86" t="s">
        <v>25</v>
      </c>
      <c r="F33" s="86" t="s">
        <v>25</v>
      </c>
      <c r="G33" s="21" t="s">
        <v>73</v>
      </c>
      <c r="H33" s="21" t="s">
        <v>69</v>
      </c>
      <c r="I33" s="21">
        <f>'MERCADO TUSD'!$U$30</f>
        <v>2549.6099999999997</v>
      </c>
      <c r="J33" s="17"/>
      <c r="L33" s="84">
        <f>('TUSD BE'!$L$33+'TUSD BF'!$L$33+'TUSD CVA'!$L$33)*(1 - CUSTOS!$M$38)</f>
        <v>0</v>
      </c>
      <c r="M33" s="84">
        <f>('TUSD BE'!$M$33+'TUSD BF'!$M$33+'TUSD CVA'!$M$33)*(1 - CUSTOS!$M$38)</f>
        <v>1.9489856153036491</v>
      </c>
      <c r="N33" s="84">
        <f ca="1">('TUSD BE'!$N$33+'TUSD BF'!$N$33+'TUSD CVA'!$N$33)*(1 - CUSTOS!$M$38)</f>
        <v>0</v>
      </c>
      <c r="O33" s="84">
        <f>('TUSD BE'!$O$33+'TUSD BF'!$O$33+'TUSD CVA'!$O$33)*(1 - CUSTOS!$M$38)</f>
        <v>0</v>
      </c>
      <c r="P33" s="84">
        <f>('TUSD BE'!$P$33+'TUSD BF'!$P$33+'TUSD CVA'!$P$33)*(1 - CUSTOS!$M$38)</f>
        <v>0</v>
      </c>
      <c r="Q33" s="84">
        <f>('TUSD BE'!$Q$33+'TUSD BF'!$Q$33+'TUSD CVA'!$Q$33)*(1 - CUSTOS!$M$38)</f>
        <v>38.153664066604648</v>
      </c>
      <c r="R33" s="84">
        <f>('TUSD BE'!$R$33+'TUSD BF'!$R$33+'TUSD CVA'!$R$33)*(1 - CUSTOS!$M$38)</f>
        <v>14.274193732389207</v>
      </c>
      <c r="S33" s="84">
        <f>('TUSD BE'!$S$33+'TUSD BF'!$S$33+'TUSD CVA'!$S$33)*(1 - CUSTOS!$M$38)</f>
        <v>0</v>
      </c>
      <c r="T33" s="84">
        <f>('TUSD BE'!$U$33+'TUSD BF'!$U$33+'TUSD CVA'!$U$33)*(1 - CUSTOS!$M$38)</f>
        <v>0</v>
      </c>
      <c r="U33" s="84">
        <f>('TUSD BE'!$V$33+'TUSD BF'!$V$33+'TUSD CVA'!$V$33)*(1 - CUSTOS!$M$38)</f>
        <v>0</v>
      </c>
      <c r="V33" s="84">
        <f>('TUSD BE'!$W$33+'TUSD BF'!$W$33+'TUSD CVA'!$W$33)*(1 - CUSTOS!$M$38)</f>
        <v>0</v>
      </c>
      <c r="W33" s="84">
        <f>('TUSD BE'!$X$33+'TUSD BF'!$X$33+'TUSD CVA'!$X$33)*(1 - CUSTOS!$M$38)</f>
        <v>0</v>
      </c>
      <c r="X33" s="84">
        <f>('TUSD BE'!$Y$33+'TUSD BF'!$Y$33+'TUSD CVA'!$Y$33)*(1 - CUSTOS!$M$38)</f>
        <v>134.019160245097</v>
      </c>
      <c r="Y33" s="84">
        <f>('TUSD BE'!$Z$33+'TUSD BF'!$Z$33+'TUSD CVA'!$Z$33)*(1 - CUSTOS!$M$38)</f>
        <v>0</v>
      </c>
      <c r="Z33" s="84">
        <f>('TUSD BE'!$AA$33+'TUSD BF'!$AA$33+'TUSD CVA'!$AA$33)*(1 - CUSTOS!$M$38)</f>
        <v>0</v>
      </c>
      <c r="AA33" s="84">
        <f>('TUSD BE'!$AC$33+'TUSD BF'!$AC$33+'TUSD CVA'!$AC$33)*(1 - CUSTOS!$M$38)</f>
        <v>395.71779489945936</v>
      </c>
      <c r="AB33" s="84">
        <f ca="1">('TUSD BE'!$AE$33+'TUSD BF'!$AE$33+'TUSD CVA'!$AE$33)*(1 - CUSTOS!$M$38)</f>
        <v>-0.85217848620475944</v>
      </c>
      <c r="AC33" s="84">
        <f ca="1">('TUSD BE'!$AF$33+'TUSD BF'!$AF$33+'TUSD CVA'!$AF$33)*(1 - CUSTOS!$M$38)</f>
        <v>0</v>
      </c>
      <c r="AD33" s="84">
        <f>('TUSD BE'!$AH$33+'TUSD BF'!$AH$33+'TUSD CVA'!$AH$33)*(1 - CUSTOS!$M$38)</f>
        <v>35.210815241455613</v>
      </c>
      <c r="AE33" s="84">
        <f>('TUSD BE'!$AI$33+'TUSD BF'!$AI$33+'TUSD CVA'!$AI$33)*(1 - CUSTOS!$M$38)</f>
        <v>0</v>
      </c>
      <c r="AF33" s="84">
        <f ca="1">('TUSD BE'!$AJ$33+'TUSD BF'!$AJ$33+'TUSD CVA'!$AJ$33)*(1 - CUSTOS!$M$38)</f>
        <v>0</v>
      </c>
      <c r="AG33" s="84">
        <f ca="1">('TUSD BE'!$AK$33+'TUSD BF'!$AK$33+'TUSD CVA'!$AK$33)*(1 - CUSTOS!$M$38)</f>
        <v>0</v>
      </c>
      <c r="AI33" s="84">
        <v>0</v>
      </c>
      <c r="AJ33" s="84">
        <v>1.4218529152701</v>
      </c>
      <c r="AK33" s="84">
        <v>0</v>
      </c>
      <c r="AL33" s="84">
        <v>0</v>
      </c>
      <c r="AM33" s="84">
        <v>0</v>
      </c>
      <c r="AN33" s="84">
        <v>21.737764604245299</v>
      </c>
      <c r="AO33" s="84">
        <v>8.8898558939553798</v>
      </c>
      <c r="AP33" s="84">
        <v>0</v>
      </c>
      <c r="AQ33" s="84">
        <v>0</v>
      </c>
      <c r="AR33" s="84">
        <v>0</v>
      </c>
      <c r="AS33" s="84">
        <v>0</v>
      </c>
      <c r="AT33" s="84">
        <v>0</v>
      </c>
      <c r="AU33" s="84">
        <v>106.992649394631</v>
      </c>
      <c r="AV33" s="84">
        <v>0</v>
      </c>
      <c r="AW33" s="84">
        <v>0</v>
      </c>
      <c r="AX33" s="84">
        <v>278.12228669347098</v>
      </c>
      <c r="AY33" s="84">
        <v>0.74168360750684603</v>
      </c>
      <c r="AZ33" s="84">
        <v>0</v>
      </c>
      <c r="BA33" s="84">
        <v>30.3881087278241</v>
      </c>
      <c r="BB33" s="84">
        <v>0</v>
      </c>
      <c r="BC33" s="84">
        <v>0</v>
      </c>
      <c r="BD33" s="84">
        <v>0</v>
      </c>
    </row>
    <row r="34" spans="1:56" ht="11.25" customHeight="1" x14ac:dyDescent="0.25">
      <c r="A34" s="132"/>
      <c r="B34" s="132" t="s">
        <v>39</v>
      </c>
      <c r="C34" s="132" t="s">
        <v>42</v>
      </c>
      <c r="D34" s="132" t="s">
        <v>86</v>
      </c>
      <c r="E34" s="132" t="s">
        <v>25</v>
      </c>
      <c r="F34" s="132" t="s">
        <v>25</v>
      </c>
      <c r="G34" s="21" t="s">
        <v>70</v>
      </c>
      <c r="H34" s="21" t="s">
        <v>69</v>
      </c>
      <c r="I34" s="21">
        <f>'MERCADO TUSD'!$U$31</f>
        <v>0</v>
      </c>
      <c r="J34" s="17"/>
      <c r="L34" s="84">
        <f>('TUSD BE'!$L$34+'TUSD BF'!$L$34+'TUSD CVA'!$L$34)*(1 - CUSTOS!$M$39)</f>
        <v>0</v>
      </c>
      <c r="M34" s="84">
        <f>('TUSD BE'!$M$34+'TUSD BF'!$M$34+'TUSD CVA'!$M$34)*(1 - CUSTOS!$M$39)</f>
        <v>1.9489856153036491</v>
      </c>
      <c r="N34" s="84">
        <f ca="1">('TUSD BE'!$N$34+'TUSD BF'!$N$34+'TUSD CVA'!$N$34)*(1 - CUSTOS!$M$39)</f>
        <v>0</v>
      </c>
      <c r="O34" s="84">
        <f>('TUSD BE'!$O$34+'TUSD BF'!$O$34+'TUSD CVA'!$O$34)*(1 - CUSTOS!$M$39)</f>
        <v>0</v>
      </c>
      <c r="P34" s="84">
        <f>('TUSD BE'!$P$34+'TUSD BF'!$P$34+'TUSD CVA'!$P$34)*(1 - CUSTOS!$M$39)</f>
        <v>0</v>
      </c>
      <c r="Q34" s="84">
        <f>('TUSD BE'!$Q$34+'TUSD BF'!$Q$34+'TUSD CVA'!$Q$34)*(1 - CUSTOS!$M$39)</f>
        <v>38.153664066604648</v>
      </c>
      <c r="R34" s="84">
        <f>('TUSD BE'!$R$34+'TUSD BF'!$R$34+'TUSD CVA'!$R$34)*(1 - CUSTOS!$M$39)</f>
        <v>14.274193732389207</v>
      </c>
      <c r="S34" s="84">
        <f>('TUSD BE'!$S$34+'TUSD BF'!$S$34+'TUSD CVA'!$S$34)*(1 - CUSTOS!$M$39)</f>
        <v>0</v>
      </c>
      <c r="T34" s="84">
        <f>('TUSD BE'!$U$34+'TUSD BF'!$U$34+'TUSD CVA'!$U$34)*(1 - CUSTOS!$M$39)</f>
        <v>0</v>
      </c>
      <c r="U34" s="84">
        <f>('TUSD BE'!$V$34+'TUSD BF'!$V$34+'TUSD CVA'!$V$34)*(1 - CUSTOS!$M$39)</f>
        <v>0</v>
      </c>
      <c r="V34" s="84">
        <f>('TUSD BE'!$W$34+'TUSD BF'!$W$34+'TUSD CVA'!$W$34)*(1 - CUSTOS!$M$39)</f>
        <v>0</v>
      </c>
      <c r="W34" s="84">
        <f>('TUSD BE'!$X$34+'TUSD BF'!$X$34+'TUSD CVA'!$X$34)*(1 - CUSTOS!$M$39)</f>
        <v>0</v>
      </c>
      <c r="X34" s="84">
        <f>('TUSD BE'!$Y$34+'TUSD BF'!$Y$34+'TUSD CVA'!$Y$34)*(1 - CUSTOS!$M$39)</f>
        <v>357.36422346315084</v>
      </c>
      <c r="Y34" s="84">
        <f>('TUSD BE'!$Z$34+'TUSD BF'!$Z$34+'TUSD CVA'!$Z$34)*(1 - CUSTOS!$M$39)</f>
        <v>0</v>
      </c>
      <c r="Z34" s="84">
        <f>('TUSD BE'!$AA$34+'TUSD BF'!$AA$34+'TUSD CVA'!$AA$34)*(1 - CUSTOS!$M$39)</f>
        <v>0</v>
      </c>
      <c r="AA34" s="84">
        <f>('TUSD BE'!$AC$34+'TUSD BF'!$AC$34+'TUSD CVA'!$AC$34)*(1 - CUSTOS!$M$39)</f>
        <v>1055.1839511479554</v>
      </c>
      <c r="AB34" s="84">
        <f ca="1">('TUSD BE'!$AE$34+'TUSD BF'!$AE$34+'TUSD CVA'!$AE$34)*(1 - CUSTOS!$M$39)</f>
        <v>-2.0886973127769171</v>
      </c>
      <c r="AC34" s="84">
        <f ca="1">('TUSD BE'!$AF$34+'TUSD BF'!$AF$34+'TUSD CVA'!$AF$34)*(1 - CUSTOS!$M$39)</f>
        <v>0</v>
      </c>
      <c r="AD34" s="84">
        <f>('TUSD BE'!$AH$34+'TUSD BF'!$AH$34+'TUSD CVA'!$AH$34)*(1 - CUSTOS!$M$39)</f>
        <v>35.210815241455613</v>
      </c>
      <c r="AE34" s="84">
        <f>('TUSD BE'!$AI$34+'TUSD BF'!$AI$34+'TUSD CVA'!$AI$34)*(1 - CUSTOS!$M$39)</f>
        <v>0</v>
      </c>
      <c r="AF34" s="84">
        <f ca="1">('TUSD BE'!$AJ$34+'TUSD BF'!$AJ$34+'TUSD CVA'!$AJ$34)*(1 - CUSTOS!$M$39)</f>
        <v>0</v>
      </c>
      <c r="AG34" s="84">
        <f ca="1">('TUSD BE'!$AK$34+'TUSD BF'!$AK$34+'TUSD CVA'!$AK$34)*(1 - CUSTOS!$M$39)</f>
        <v>0</v>
      </c>
      <c r="AI34" s="84">
        <v>0</v>
      </c>
      <c r="AJ34" s="84">
        <v>1.4218529152701</v>
      </c>
      <c r="AK34" s="84">
        <v>0</v>
      </c>
      <c r="AL34" s="84">
        <v>0</v>
      </c>
      <c r="AM34" s="84">
        <v>0</v>
      </c>
      <c r="AN34" s="84">
        <v>21.737764604245299</v>
      </c>
      <c r="AO34" s="84">
        <v>8.8898558939553798</v>
      </c>
      <c r="AP34" s="84">
        <v>0</v>
      </c>
      <c r="AQ34" s="84">
        <v>0</v>
      </c>
      <c r="AR34" s="84">
        <v>0</v>
      </c>
      <c r="AS34" s="84">
        <v>0</v>
      </c>
      <c r="AT34" s="84">
        <v>0</v>
      </c>
      <c r="AU34" s="84">
        <v>285.297683639848</v>
      </c>
      <c r="AV34" s="84">
        <v>0</v>
      </c>
      <c r="AW34" s="84">
        <v>0</v>
      </c>
      <c r="AX34" s="84">
        <v>741.61478591287403</v>
      </c>
      <c r="AY34" s="84">
        <v>1.8332379990713099</v>
      </c>
      <c r="AZ34" s="84">
        <v>0</v>
      </c>
      <c r="BA34" s="84">
        <v>30.3881087278241</v>
      </c>
      <c r="BB34" s="84">
        <v>0</v>
      </c>
      <c r="BC34" s="84">
        <v>0</v>
      </c>
      <c r="BD34" s="84">
        <v>0</v>
      </c>
    </row>
    <row r="35" spans="1:56" ht="11.25" customHeight="1" x14ac:dyDescent="0.25">
      <c r="A35" s="132"/>
      <c r="B35" s="132"/>
      <c r="C35" s="132"/>
      <c r="D35" s="132"/>
      <c r="E35" s="132"/>
      <c r="F35" s="132"/>
      <c r="G35" s="21" t="s">
        <v>83</v>
      </c>
      <c r="H35" s="21" t="s">
        <v>69</v>
      </c>
      <c r="I35" s="21">
        <f>'MERCADO TUSD'!$U$32</f>
        <v>0</v>
      </c>
      <c r="J35" s="17"/>
      <c r="L35" s="84">
        <f>('TUSD BE'!$L$35+'TUSD BF'!$L$35+'TUSD CVA'!$L$35)*(1 - CUSTOS!$M$39)</f>
        <v>0</v>
      </c>
      <c r="M35" s="84">
        <f>('TUSD BE'!$M$35+'TUSD BF'!$M$35+'TUSD CVA'!$M$35)*(1 - CUSTOS!$M$39)</f>
        <v>1.9489856153036491</v>
      </c>
      <c r="N35" s="84">
        <f ca="1">('TUSD BE'!$N$35+'TUSD BF'!$N$35+'TUSD CVA'!$N$35)*(1 - CUSTOS!$M$39)</f>
        <v>0</v>
      </c>
      <c r="O35" s="84">
        <f>('TUSD BE'!$O$35+'TUSD BF'!$O$35+'TUSD CVA'!$O$35)*(1 - CUSTOS!$M$39)</f>
        <v>0</v>
      </c>
      <c r="P35" s="84">
        <f>('TUSD BE'!$P$35+'TUSD BF'!$P$35+'TUSD CVA'!$P$35)*(1 - CUSTOS!$M$39)</f>
        <v>0</v>
      </c>
      <c r="Q35" s="84">
        <f>('TUSD BE'!$Q$35+'TUSD BF'!$Q$35+'TUSD CVA'!$Q$35)*(1 - CUSTOS!$M$39)</f>
        <v>38.153664066604648</v>
      </c>
      <c r="R35" s="84">
        <f>('TUSD BE'!$R$35+'TUSD BF'!$R$35+'TUSD CVA'!$R$35)*(1 - CUSTOS!$M$39)</f>
        <v>14.274193732389207</v>
      </c>
      <c r="S35" s="84">
        <f>('TUSD BE'!$S$35+'TUSD BF'!$S$35+'TUSD CVA'!$S$35)*(1 - CUSTOS!$M$39)</f>
        <v>0</v>
      </c>
      <c r="T35" s="84">
        <f>('TUSD BE'!$U$35+'TUSD BF'!$U$35+'TUSD CVA'!$U$35)*(1 - CUSTOS!$M$39)</f>
        <v>0</v>
      </c>
      <c r="U35" s="84">
        <f>('TUSD BE'!$V$35+'TUSD BF'!$V$35+'TUSD CVA'!$V$35)*(1 - CUSTOS!$M$39)</f>
        <v>0</v>
      </c>
      <c r="V35" s="84">
        <f>('TUSD BE'!$W$35+'TUSD BF'!$W$35+'TUSD CVA'!$W$35)*(1 - CUSTOS!$M$39)</f>
        <v>0</v>
      </c>
      <c r="W35" s="84">
        <f>('TUSD BE'!$X$35+'TUSD BF'!$X$35+'TUSD CVA'!$X$35)*(1 - CUSTOS!$M$39)</f>
        <v>0</v>
      </c>
      <c r="X35" s="84">
        <f>('TUSD BE'!$Y$35+'TUSD BF'!$Y$35+'TUSD CVA'!$Y$35)*(1 - CUSTOS!$M$39)</f>
        <v>214.41949471411527</v>
      </c>
      <c r="Y35" s="84">
        <f>('TUSD BE'!$Z$35+'TUSD BF'!$Z$35+'TUSD CVA'!$Z$35)*(1 - CUSTOS!$M$39)</f>
        <v>0</v>
      </c>
      <c r="Z35" s="84">
        <f>('TUSD BE'!$AA$35+'TUSD BF'!$AA$35+'TUSD CVA'!$AA$35)*(1 - CUSTOS!$M$39)</f>
        <v>0</v>
      </c>
      <c r="AA35" s="84">
        <f>('TUSD BE'!$AC$35+'TUSD BF'!$AC$35+'TUSD CVA'!$AC$35)*(1 - CUSTOS!$M$39)</f>
        <v>633.11015837233242</v>
      </c>
      <c r="AB35" s="84">
        <f ca="1">('TUSD BE'!$AE$35+'TUSD BF'!$AE$35+'TUSD CVA'!$AE$35)*(1 - CUSTOS!$M$39)</f>
        <v>-1.2972978452689323</v>
      </c>
      <c r="AC35" s="84">
        <f ca="1">('TUSD BE'!$AF$35+'TUSD BF'!$AF$35+'TUSD CVA'!$AF$35)*(1 - CUSTOS!$M$39)</f>
        <v>0</v>
      </c>
      <c r="AD35" s="84">
        <f>('TUSD BE'!$AH$35+'TUSD BF'!$AH$35+'TUSD CVA'!$AH$35)*(1 - CUSTOS!$M$39)</f>
        <v>35.210815241455613</v>
      </c>
      <c r="AE35" s="84">
        <f>('TUSD BE'!$AI$35+'TUSD BF'!$AI$35+'TUSD CVA'!$AI$35)*(1 - CUSTOS!$M$39)</f>
        <v>0</v>
      </c>
      <c r="AF35" s="84">
        <f ca="1">('TUSD BE'!$AJ$35+'TUSD BF'!$AJ$35+'TUSD CVA'!$AJ$35)*(1 - CUSTOS!$M$39)</f>
        <v>0</v>
      </c>
      <c r="AG35" s="84">
        <f ca="1">('TUSD BE'!$AK$35+'TUSD BF'!$AK$35+'TUSD CVA'!$AK$35)*(1 - CUSTOS!$M$39)</f>
        <v>0</v>
      </c>
      <c r="AI35" s="84">
        <v>0</v>
      </c>
      <c r="AJ35" s="84">
        <v>1.4218529152701</v>
      </c>
      <c r="AK35" s="84">
        <v>0</v>
      </c>
      <c r="AL35" s="84">
        <v>0</v>
      </c>
      <c r="AM35" s="84">
        <v>0</v>
      </c>
      <c r="AN35" s="84">
        <v>21.737764604245299</v>
      </c>
      <c r="AO35" s="84">
        <v>8.8898558939553798</v>
      </c>
      <c r="AP35" s="84">
        <v>0</v>
      </c>
      <c r="AQ35" s="84">
        <v>0</v>
      </c>
      <c r="AR35" s="84">
        <v>0</v>
      </c>
      <c r="AS35" s="84">
        <v>0</v>
      </c>
      <c r="AT35" s="84">
        <v>0</v>
      </c>
      <c r="AU35" s="84">
        <v>171.17937035608</v>
      </c>
      <c r="AV35" s="84">
        <v>0</v>
      </c>
      <c r="AW35" s="84">
        <v>0</v>
      </c>
      <c r="AX35" s="84">
        <v>444.96871891432301</v>
      </c>
      <c r="AY35" s="84">
        <v>1.1346190771295801</v>
      </c>
      <c r="AZ35" s="84">
        <v>0</v>
      </c>
      <c r="BA35" s="84">
        <v>30.3881087278241</v>
      </c>
      <c r="BB35" s="84">
        <v>0</v>
      </c>
      <c r="BC35" s="84">
        <v>0</v>
      </c>
      <c r="BD35" s="84">
        <v>0</v>
      </c>
    </row>
    <row r="36" spans="1:56" ht="11.25" customHeight="1" x14ac:dyDescent="0.25">
      <c r="A36" s="132"/>
      <c r="B36" s="132"/>
      <c r="C36" s="132"/>
      <c r="D36" s="132"/>
      <c r="E36" s="132"/>
      <c r="F36" s="132"/>
      <c r="G36" s="21" t="s">
        <v>71</v>
      </c>
      <c r="H36" s="21" t="s">
        <v>69</v>
      </c>
      <c r="I36" s="21">
        <f>'MERCADO TUSD'!$U$33</f>
        <v>0</v>
      </c>
      <c r="J36" s="17"/>
      <c r="L36" s="84">
        <f>('TUSD BE'!$L$36+'TUSD BF'!$L$36+'TUSD CVA'!$L$36)*(1 - CUSTOS!$M$39)</f>
        <v>0</v>
      </c>
      <c r="M36" s="84">
        <f>('TUSD BE'!$M$36+'TUSD BF'!$M$36+'TUSD CVA'!$M$36)*(1 - CUSTOS!$M$39)</f>
        <v>1.9489856153036491</v>
      </c>
      <c r="N36" s="84">
        <f ca="1">('TUSD BE'!$N$36+'TUSD BF'!$N$36+'TUSD CVA'!$N$36)*(1 - CUSTOS!$M$39)</f>
        <v>0</v>
      </c>
      <c r="O36" s="84">
        <f>('TUSD BE'!$O$36+'TUSD BF'!$O$36+'TUSD CVA'!$O$36)*(1 - CUSTOS!$M$39)</f>
        <v>0</v>
      </c>
      <c r="P36" s="84">
        <f>('TUSD BE'!$P$36+'TUSD BF'!$P$36+'TUSD CVA'!$P$36)*(1 - CUSTOS!$M$39)</f>
        <v>0</v>
      </c>
      <c r="Q36" s="84">
        <f>('TUSD BE'!$Q$36+'TUSD BF'!$Q$36+'TUSD CVA'!$Q$36)*(1 - CUSTOS!$M$39)</f>
        <v>38.153664066604648</v>
      </c>
      <c r="R36" s="84">
        <f>('TUSD BE'!$R$36+'TUSD BF'!$R$36+'TUSD CVA'!$R$36)*(1 - CUSTOS!$M$39)</f>
        <v>14.274193732389207</v>
      </c>
      <c r="S36" s="84">
        <f>('TUSD BE'!$S$36+'TUSD BF'!$S$36+'TUSD CVA'!$S$36)*(1 - CUSTOS!$M$39)</f>
        <v>0</v>
      </c>
      <c r="T36" s="84">
        <f>('TUSD BE'!$U$36+'TUSD BF'!$U$36+'TUSD CVA'!$U$36)*(1 - CUSTOS!$M$39)</f>
        <v>0</v>
      </c>
      <c r="U36" s="84">
        <f>('TUSD BE'!$V$36+'TUSD BF'!$V$36+'TUSD CVA'!$V$36)*(1 - CUSTOS!$M$39)</f>
        <v>0</v>
      </c>
      <c r="V36" s="84">
        <f>('TUSD BE'!$W$36+'TUSD BF'!$W$36+'TUSD CVA'!$W$36)*(1 - CUSTOS!$M$39)</f>
        <v>0</v>
      </c>
      <c r="W36" s="84">
        <f>('TUSD BE'!$X$36+'TUSD BF'!$X$36+'TUSD CVA'!$X$36)*(1 - CUSTOS!$M$39)</f>
        <v>0</v>
      </c>
      <c r="X36" s="84">
        <f>('TUSD BE'!$Y$36+'TUSD BF'!$Y$36+'TUSD CVA'!$Y$36)*(1 - CUSTOS!$M$39)</f>
        <v>71.474880326535001</v>
      </c>
      <c r="Y36" s="84">
        <f>('TUSD BE'!$Z$36+'TUSD BF'!$Z$36+'TUSD CVA'!$Z$36)*(1 - CUSTOS!$M$39)</f>
        <v>0</v>
      </c>
      <c r="Z36" s="84">
        <f>('TUSD BE'!$AA$36+'TUSD BF'!$AA$36+'TUSD CVA'!$AA$36)*(1 - CUSTOS!$M$39)</f>
        <v>0</v>
      </c>
      <c r="AA36" s="84">
        <f>('TUSD BE'!$AC$36+'TUSD BF'!$AC$36+'TUSD CVA'!$AC$36)*(1 - CUSTOS!$M$39)</f>
        <v>211.03694464154796</v>
      </c>
      <c r="AB36" s="84">
        <f ca="1">('TUSD BE'!$AE$36+'TUSD BF'!$AE$36+'TUSD CVA'!$AE$36)*(1 - CUSTOS!$M$39)</f>
        <v>-0.50589936893450371</v>
      </c>
      <c r="AC36" s="84">
        <f ca="1">('TUSD BE'!$AF$36+'TUSD BF'!$AF$36+'TUSD CVA'!$AF$36)*(1 - CUSTOS!$M$39)</f>
        <v>0</v>
      </c>
      <c r="AD36" s="84">
        <f>('TUSD BE'!$AH$36+'TUSD BF'!$AH$36+'TUSD CVA'!$AH$36)*(1 - CUSTOS!$M$39)</f>
        <v>35.210815241455613</v>
      </c>
      <c r="AE36" s="84">
        <f>('TUSD BE'!$AI$36+'TUSD BF'!$AI$36+'TUSD CVA'!$AI$36)*(1 - CUSTOS!$M$39)</f>
        <v>0</v>
      </c>
      <c r="AF36" s="84">
        <f ca="1">('TUSD BE'!$AJ$36+'TUSD BF'!$AJ$36+'TUSD CVA'!$AJ$36)*(1 - CUSTOS!$M$39)</f>
        <v>0</v>
      </c>
      <c r="AG36" s="84">
        <f ca="1">('TUSD BE'!$AK$36+'TUSD BF'!$AK$36+'TUSD CVA'!$AK$36)*(1 - CUSTOS!$M$39)</f>
        <v>0</v>
      </c>
      <c r="AI36" s="84">
        <v>0</v>
      </c>
      <c r="AJ36" s="84">
        <v>1.4218529152701</v>
      </c>
      <c r="AK36" s="84">
        <v>0</v>
      </c>
      <c r="AL36" s="84">
        <v>0</v>
      </c>
      <c r="AM36" s="84">
        <v>0</v>
      </c>
      <c r="AN36" s="84">
        <v>21.737764604245299</v>
      </c>
      <c r="AO36" s="84">
        <v>8.8898558939553798</v>
      </c>
      <c r="AP36" s="84">
        <v>0</v>
      </c>
      <c r="AQ36" s="84">
        <v>0</v>
      </c>
      <c r="AR36" s="84">
        <v>0</v>
      </c>
      <c r="AS36" s="84">
        <v>0</v>
      </c>
      <c r="AT36" s="84">
        <v>0</v>
      </c>
      <c r="AU36" s="84">
        <v>57.061162651780101</v>
      </c>
      <c r="AV36" s="84">
        <v>0</v>
      </c>
      <c r="AW36" s="84">
        <v>0</v>
      </c>
      <c r="AX36" s="84">
        <v>148.323033499275</v>
      </c>
      <c r="AY36" s="84">
        <v>0.43600099775836498</v>
      </c>
      <c r="AZ36" s="84">
        <v>0</v>
      </c>
      <c r="BA36" s="84">
        <v>30.3881087278241</v>
      </c>
      <c r="BB36" s="84">
        <v>0</v>
      </c>
      <c r="BC36" s="84">
        <v>0</v>
      </c>
      <c r="BD36" s="84">
        <v>0</v>
      </c>
    </row>
    <row r="37" spans="1:56" ht="11.25" customHeight="1" x14ac:dyDescent="0.25">
      <c r="A37" s="132"/>
      <c r="B37" s="86" t="s">
        <v>23</v>
      </c>
      <c r="C37" s="86" t="s">
        <v>42</v>
      </c>
      <c r="D37" s="86" t="s">
        <v>86</v>
      </c>
      <c r="E37" s="86" t="s">
        <v>25</v>
      </c>
      <c r="F37" s="86" t="s">
        <v>25</v>
      </c>
      <c r="G37" s="21" t="s">
        <v>73</v>
      </c>
      <c r="H37" s="21" t="s">
        <v>69</v>
      </c>
      <c r="I37" s="21">
        <f>'MERCADO TUSD'!$U$34</f>
        <v>0</v>
      </c>
      <c r="J37" s="17"/>
      <c r="L37" s="84">
        <f>('TUSD BE'!$L$37+'TUSD BF'!$L$37+'TUSD CVA'!$L$37)*(1 - CUSTOS!$M$39)</f>
        <v>0</v>
      </c>
      <c r="M37" s="84">
        <f>('TUSD BE'!$M$37+'TUSD BF'!$M$37+'TUSD CVA'!$M$37)*(1 - CUSTOS!$M$39)</f>
        <v>1.9489856153036491</v>
      </c>
      <c r="N37" s="84">
        <f ca="1">('TUSD BE'!$N$37+'TUSD BF'!$N$37+'TUSD CVA'!$N$37)*(1 - CUSTOS!$M$39)</f>
        <v>0</v>
      </c>
      <c r="O37" s="84">
        <f>('TUSD BE'!$O$37+'TUSD BF'!$O$37+'TUSD CVA'!$O$37)*(1 - CUSTOS!$M$39)</f>
        <v>0</v>
      </c>
      <c r="P37" s="84">
        <f>('TUSD BE'!$P$37+'TUSD BF'!$P$37+'TUSD CVA'!$P$37)*(1 - CUSTOS!$M$39)</f>
        <v>0</v>
      </c>
      <c r="Q37" s="84">
        <f>('TUSD BE'!$Q$37+'TUSD BF'!$Q$37+'TUSD CVA'!$Q$37)*(1 - CUSTOS!$M$39)</f>
        <v>38.153664066604648</v>
      </c>
      <c r="R37" s="84">
        <f>('TUSD BE'!$R$37+'TUSD BF'!$R$37+'TUSD CVA'!$R$37)*(1 - CUSTOS!$M$39)</f>
        <v>14.274193732389207</v>
      </c>
      <c r="S37" s="84">
        <f>('TUSD BE'!$S$37+'TUSD BF'!$S$37+'TUSD CVA'!$S$37)*(1 - CUSTOS!$M$39)</f>
        <v>0</v>
      </c>
      <c r="T37" s="84">
        <f>('TUSD BE'!$U$37+'TUSD BF'!$U$37+'TUSD CVA'!$U$37)*(1 - CUSTOS!$M$39)</f>
        <v>0</v>
      </c>
      <c r="U37" s="84">
        <f>('TUSD BE'!$V$37+'TUSD BF'!$V$37+'TUSD CVA'!$V$37)*(1 - CUSTOS!$M$39)</f>
        <v>0</v>
      </c>
      <c r="V37" s="84">
        <f>('TUSD BE'!$W$37+'TUSD BF'!$W$37+'TUSD CVA'!$W$37)*(1 - CUSTOS!$M$39)</f>
        <v>0</v>
      </c>
      <c r="W37" s="84">
        <f>('TUSD BE'!$X$37+'TUSD BF'!$X$37+'TUSD CVA'!$X$37)*(1 - CUSTOS!$M$39)</f>
        <v>0</v>
      </c>
      <c r="X37" s="84">
        <f>('TUSD BE'!$Y$37+'TUSD BF'!$Y$37+'TUSD CVA'!$Y$37)*(1 - CUSTOS!$M$39)</f>
        <v>134.019160245097</v>
      </c>
      <c r="Y37" s="84">
        <f>('TUSD BE'!$Z$37+'TUSD BF'!$Z$37+'TUSD CVA'!$Z$37)*(1 - CUSTOS!$M$39)</f>
        <v>0</v>
      </c>
      <c r="Z37" s="84">
        <f>('TUSD BE'!$AA$37+'TUSD BF'!$AA$37+'TUSD CVA'!$AA$37)*(1 - CUSTOS!$M$39)</f>
        <v>0</v>
      </c>
      <c r="AA37" s="84">
        <f>('TUSD BE'!$AC$37+'TUSD BF'!$AC$37+'TUSD CVA'!$AC$37)*(1 - CUSTOS!$M$39)</f>
        <v>395.71779489945936</v>
      </c>
      <c r="AB37" s="84">
        <f ca="1">('TUSD BE'!$AE$37+'TUSD BF'!$AE$37+'TUSD CVA'!$AE$37)*(1 - CUSTOS!$M$39)</f>
        <v>-0.85217848620475944</v>
      </c>
      <c r="AC37" s="84">
        <f ca="1">('TUSD BE'!$AF$37+'TUSD BF'!$AF$37+'TUSD CVA'!$AF$37)*(1 - CUSTOS!$M$39)</f>
        <v>0</v>
      </c>
      <c r="AD37" s="84">
        <f>('TUSD BE'!$AH$37+'TUSD BF'!$AH$37+'TUSD CVA'!$AH$37)*(1 - CUSTOS!$M$39)</f>
        <v>35.210815241455613</v>
      </c>
      <c r="AE37" s="84">
        <f>('TUSD BE'!$AI$37+'TUSD BF'!$AI$37+'TUSD CVA'!$AI$37)*(1 - CUSTOS!$M$39)</f>
        <v>0</v>
      </c>
      <c r="AF37" s="84">
        <f ca="1">('TUSD BE'!$AJ$37+'TUSD BF'!$AJ$37+'TUSD CVA'!$AJ$37)*(1 - CUSTOS!$M$39)</f>
        <v>0</v>
      </c>
      <c r="AG37" s="84">
        <f ca="1">('TUSD BE'!$AK$37+'TUSD BF'!$AK$37+'TUSD CVA'!$AK$37)*(1 - CUSTOS!$M$39)</f>
        <v>0</v>
      </c>
      <c r="AI37" s="84">
        <v>0</v>
      </c>
      <c r="AJ37" s="84">
        <v>1.4218529152701</v>
      </c>
      <c r="AK37" s="84">
        <v>0</v>
      </c>
      <c r="AL37" s="84">
        <v>0</v>
      </c>
      <c r="AM37" s="84">
        <v>0</v>
      </c>
      <c r="AN37" s="84">
        <v>21.737764604245299</v>
      </c>
      <c r="AO37" s="84">
        <v>8.8898558939553798</v>
      </c>
      <c r="AP37" s="84">
        <v>0</v>
      </c>
      <c r="AQ37" s="84">
        <v>0</v>
      </c>
      <c r="AR37" s="84">
        <v>0</v>
      </c>
      <c r="AS37" s="84">
        <v>0</v>
      </c>
      <c r="AT37" s="84">
        <v>0</v>
      </c>
      <c r="AU37" s="84">
        <v>106.992649394631</v>
      </c>
      <c r="AV37" s="84">
        <v>0</v>
      </c>
      <c r="AW37" s="84">
        <v>0</v>
      </c>
      <c r="AX37" s="84">
        <v>278.12228669347098</v>
      </c>
      <c r="AY37" s="84">
        <v>0.74168360750684603</v>
      </c>
      <c r="AZ37" s="84">
        <v>0</v>
      </c>
      <c r="BA37" s="84">
        <v>30.3881087278241</v>
      </c>
      <c r="BB37" s="84">
        <v>0</v>
      </c>
      <c r="BC37" s="84">
        <v>0</v>
      </c>
      <c r="BD37" s="84">
        <v>0</v>
      </c>
    </row>
    <row r="38" spans="1:56" ht="11.25" customHeight="1" x14ac:dyDescent="0.25">
      <c r="A38" s="132"/>
      <c r="B38" s="132" t="s">
        <v>39</v>
      </c>
      <c r="C38" s="132" t="s">
        <v>42</v>
      </c>
      <c r="D38" s="132" t="s">
        <v>87</v>
      </c>
      <c r="E38" s="132" t="s">
        <v>25</v>
      </c>
      <c r="F38" s="132" t="s">
        <v>25</v>
      </c>
      <c r="G38" s="21" t="s">
        <v>70</v>
      </c>
      <c r="H38" s="21" t="s">
        <v>69</v>
      </c>
      <c r="I38" s="21">
        <f>'MERCADO TUSD'!$U$35</f>
        <v>0</v>
      </c>
      <c r="J38" s="17"/>
      <c r="L38" s="84">
        <f>('TUSD BE'!$L$38+'TUSD BF'!$L$38+'TUSD CVA'!$L$38)*(1 - CUSTOS!$M$40)</f>
        <v>0</v>
      </c>
      <c r="M38" s="84">
        <f>('TUSD BE'!$M$38+'TUSD BF'!$M$38+'TUSD CVA'!$M$38)*(1 - CUSTOS!$M$40)</f>
        <v>1.9075178362546357</v>
      </c>
      <c r="N38" s="84">
        <f ca="1">('TUSD BE'!$N$38+'TUSD BF'!$N$38+'TUSD CVA'!$N$38)*(1 - CUSTOS!$M$40)</f>
        <v>0</v>
      </c>
      <c r="O38" s="84">
        <f>('TUSD BE'!$O$38+'TUSD BF'!$O$38+'TUSD CVA'!$O$38)*(1 - CUSTOS!$M$40)</f>
        <v>0</v>
      </c>
      <c r="P38" s="84">
        <f>('TUSD BE'!$P$38+'TUSD BF'!$P$38+'TUSD CVA'!$P$38)*(1 - CUSTOS!$M$40)</f>
        <v>0</v>
      </c>
      <c r="Q38" s="84">
        <f>('TUSD BE'!$Q$38+'TUSD BF'!$Q$38+'TUSD CVA'!$Q$38)*(1 - CUSTOS!$M$40)</f>
        <v>37.34188398008115</v>
      </c>
      <c r="R38" s="84">
        <f>('TUSD BE'!$R$38+'TUSD BF'!$R$38+'TUSD CVA'!$R$38)*(1 - CUSTOS!$M$40)</f>
        <v>13.970487482763906</v>
      </c>
      <c r="S38" s="84">
        <f>('TUSD BE'!$S$38+'TUSD BF'!$S$38+'TUSD CVA'!$S$38)*(1 - CUSTOS!$M$40)</f>
        <v>0</v>
      </c>
      <c r="T38" s="84">
        <f>('TUSD BE'!$U$38+'TUSD BF'!$U$38+'TUSD CVA'!$U$38)*(1 - CUSTOS!$M$40)</f>
        <v>0</v>
      </c>
      <c r="U38" s="84">
        <f>('TUSD BE'!$V$38+'TUSD BF'!$V$38+'TUSD CVA'!$V$38)*(1 - CUSTOS!$M$40)</f>
        <v>0</v>
      </c>
      <c r="V38" s="84">
        <f>('TUSD BE'!$W$38+'TUSD BF'!$W$38+'TUSD CVA'!$W$38)*(1 - CUSTOS!$M$40)</f>
        <v>0</v>
      </c>
      <c r="W38" s="84">
        <f>('TUSD BE'!$X$38+'TUSD BF'!$X$38+'TUSD CVA'!$X$38)*(1 - CUSTOS!$M$40)</f>
        <v>0</v>
      </c>
      <c r="X38" s="84">
        <f>('TUSD BE'!$Y$38+'TUSD BF'!$Y$38+'TUSD CVA'!$Y$38)*(1 - CUSTOS!$M$40)</f>
        <v>349.76072934691365</v>
      </c>
      <c r="Y38" s="84">
        <f>('TUSD BE'!$Z$38+'TUSD BF'!$Z$38+'TUSD CVA'!$Z$38)*(1 - CUSTOS!$M$40)</f>
        <v>0</v>
      </c>
      <c r="Z38" s="84">
        <f>('TUSD BE'!$AA$38+'TUSD BF'!$AA$38+'TUSD CVA'!$AA$38)*(1 - CUSTOS!$M$40)</f>
        <v>0</v>
      </c>
      <c r="AA38" s="84">
        <f>('TUSD BE'!$AC$38+'TUSD BF'!$AC$38+'TUSD CVA'!$AC$38)*(1 - CUSTOS!$M$40)</f>
        <v>1032.7332287831055</v>
      </c>
      <c r="AB38" s="84">
        <f ca="1">('TUSD BE'!$AE$38+'TUSD BF'!$AE$38+'TUSD CVA'!$AE$38)*(1 - CUSTOS!$M$40)</f>
        <v>-2.0442569444199616</v>
      </c>
      <c r="AC38" s="84">
        <f ca="1">('TUSD BE'!$AF$38+'TUSD BF'!$AF$38+'TUSD CVA'!$AF$38)*(1 - CUSTOS!$M$40)</f>
        <v>0</v>
      </c>
      <c r="AD38" s="84">
        <f>('TUSD BE'!$AH$38+'TUSD BF'!$AH$38+'TUSD CVA'!$AH$38)*(1 - CUSTOS!$M$40)</f>
        <v>34.461648959722517</v>
      </c>
      <c r="AE38" s="84">
        <f>('TUSD BE'!$AI$38+'TUSD BF'!$AI$38+'TUSD CVA'!$AI$38)*(1 - CUSTOS!$M$40)</f>
        <v>0</v>
      </c>
      <c r="AF38" s="84">
        <f ca="1">('TUSD BE'!$AJ$38+'TUSD BF'!$AJ$38+'TUSD CVA'!$AJ$38)*(1 - CUSTOS!$M$40)</f>
        <v>0</v>
      </c>
      <c r="AG38" s="84">
        <f ca="1">('TUSD BE'!$AK$38+'TUSD BF'!$AK$38+'TUSD CVA'!$AK$38)*(1 - CUSTOS!$M$40)</f>
        <v>0</v>
      </c>
      <c r="AI38" s="84">
        <v>0</v>
      </c>
      <c r="AJ38" s="84">
        <v>1.35722323730328</v>
      </c>
      <c r="AK38" s="84">
        <v>0</v>
      </c>
      <c r="AL38" s="84">
        <v>0</v>
      </c>
      <c r="AM38" s="84">
        <v>0</v>
      </c>
      <c r="AN38" s="84">
        <v>20.749684394961399</v>
      </c>
      <c r="AO38" s="84">
        <v>8.4857715351392198</v>
      </c>
      <c r="AP38" s="84">
        <v>0</v>
      </c>
      <c r="AQ38" s="84">
        <v>0</v>
      </c>
      <c r="AR38" s="84">
        <v>0</v>
      </c>
      <c r="AS38" s="84">
        <v>0</v>
      </c>
      <c r="AT38" s="84">
        <v>0</v>
      </c>
      <c r="AU38" s="84">
        <v>272.32960711076402</v>
      </c>
      <c r="AV38" s="84">
        <v>0</v>
      </c>
      <c r="AW38" s="84">
        <v>0</v>
      </c>
      <c r="AX38" s="84">
        <v>707.90502291683401</v>
      </c>
      <c r="AY38" s="84">
        <v>1.7499089991135199</v>
      </c>
      <c r="AZ38" s="84">
        <v>0</v>
      </c>
      <c r="BA38" s="84">
        <v>29.0068310583775</v>
      </c>
      <c r="BB38" s="84">
        <v>0</v>
      </c>
      <c r="BC38" s="84">
        <v>0</v>
      </c>
      <c r="BD38" s="84">
        <v>0</v>
      </c>
    </row>
    <row r="39" spans="1:56" ht="11.25" customHeight="1" x14ac:dyDescent="0.25">
      <c r="A39" s="132"/>
      <c r="B39" s="132"/>
      <c r="C39" s="132"/>
      <c r="D39" s="132"/>
      <c r="E39" s="132"/>
      <c r="F39" s="132"/>
      <c r="G39" s="21" t="s">
        <v>83</v>
      </c>
      <c r="H39" s="21" t="s">
        <v>69</v>
      </c>
      <c r="I39" s="21">
        <f>'MERCADO TUSD'!$U$36</f>
        <v>0</v>
      </c>
      <c r="J39" s="17"/>
      <c r="L39" s="84">
        <f>('TUSD BE'!$L$39+'TUSD BF'!$L$39+'TUSD CVA'!$L$39)*(1 - CUSTOS!$M$40)</f>
        <v>0</v>
      </c>
      <c r="M39" s="84">
        <f>('TUSD BE'!$M$39+'TUSD BF'!$M$39+'TUSD CVA'!$M$39)*(1 - CUSTOS!$M$40)</f>
        <v>1.9075178362546357</v>
      </c>
      <c r="N39" s="84">
        <f ca="1">('TUSD BE'!$N$39+'TUSD BF'!$N$39+'TUSD CVA'!$N$39)*(1 - CUSTOS!$M$40)</f>
        <v>0</v>
      </c>
      <c r="O39" s="84">
        <f>('TUSD BE'!$O$39+'TUSD BF'!$O$39+'TUSD CVA'!$O$39)*(1 - CUSTOS!$M$40)</f>
        <v>0</v>
      </c>
      <c r="P39" s="84">
        <f>('TUSD BE'!$P$39+'TUSD BF'!$P$39+'TUSD CVA'!$P$39)*(1 - CUSTOS!$M$40)</f>
        <v>0</v>
      </c>
      <c r="Q39" s="84">
        <f>('TUSD BE'!$Q$39+'TUSD BF'!$Q$39+'TUSD CVA'!$Q$39)*(1 - CUSTOS!$M$40)</f>
        <v>37.34188398008115</v>
      </c>
      <c r="R39" s="84">
        <f>('TUSD BE'!$R$39+'TUSD BF'!$R$39+'TUSD CVA'!$R$39)*(1 - CUSTOS!$M$40)</f>
        <v>13.970487482763906</v>
      </c>
      <c r="S39" s="84">
        <f>('TUSD BE'!$S$39+'TUSD BF'!$S$39+'TUSD CVA'!$S$39)*(1 - CUSTOS!$M$40)</f>
        <v>0</v>
      </c>
      <c r="T39" s="84">
        <f>('TUSD BE'!$U$39+'TUSD BF'!$U$39+'TUSD CVA'!$U$39)*(1 - CUSTOS!$M$40)</f>
        <v>0</v>
      </c>
      <c r="U39" s="84">
        <f>('TUSD BE'!$V$39+'TUSD BF'!$V$39+'TUSD CVA'!$V$39)*(1 - CUSTOS!$M$40)</f>
        <v>0</v>
      </c>
      <c r="V39" s="84">
        <f>('TUSD BE'!$W$39+'TUSD BF'!$W$39+'TUSD CVA'!$W$39)*(1 - CUSTOS!$M$40)</f>
        <v>0</v>
      </c>
      <c r="W39" s="84">
        <f>('TUSD BE'!$X$39+'TUSD BF'!$X$39+'TUSD CVA'!$X$39)*(1 - CUSTOS!$M$40)</f>
        <v>0</v>
      </c>
      <c r="X39" s="84">
        <f>('TUSD BE'!$Y$39+'TUSD BF'!$Y$39+'TUSD CVA'!$Y$39)*(1 - CUSTOS!$M$40)</f>
        <v>209.85737780530431</v>
      </c>
      <c r="Y39" s="84">
        <f>('TUSD BE'!$Z$39+'TUSD BF'!$Z$39+'TUSD CVA'!$Z$39)*(1 - CUSTOS!$M$40)</f>
        <v>0</v>
      </c>
      <c r="Z39" s="84">
        <f>('TUSD BE'!$AA$39+'TUSD BF'!$AA$39+'TUSD CVA'!$AA$39)*(1 - CUSTOS!$M$40)</f>
        <v>0</v>
      </c>
      <c r="AA39" s="84">
        <f>('TUSD BE'!$AC$39+'TUSD BF'!$AC$39+'TUSD CVA'!$AC$39)*(1 - CUSTOS!$M$40)</f>
        <v>619.63972947079355</v>
      </c>
      <c r="AB39" s="84">
        <f ca="1">('TUSD BE'!$AE$39+'TUSD BF'!$AE$39+'TUSD CVA'!$AE$39)*(1 - CUSTOS!$M$40)</f>
        <v>-1.2696957634546999</v>
      </c>
      <c r="AC39" s="84">
        <f ca="1">('TUSD BE'!$AF$39+'TUSD BF'!$AF$39+'TUSD CVA'!$AF$39)*(1 - CUSTOS!$M$40)</f>
        <v>0</v>
      </c>
      <c r="AD39" s="84">
        <f>('TUSD BE'!$AH$39+'TUSD BF'!$AH$39+'TUSD CVA'!$AH$39)*(1 - CUSTOS!$M$40)</f>
        <v>34.461648959722517</v>
      </c>
      <c r="AE39" s="84">
        <f>('TUSD BE'!$AI$39+'TUSD BF'!$AI$39+'TUSD CVA'!$AI$39)*(1 - CUSTOS!$M$40)</f>
        <v>0</v>
      </c>
      <c r="AF39" s="84">
        <f ca="1">('TUSD BE'!$AJ$39+'TUSD BF'!$AJ$39+'TUSD CVA'!$AJ$39)*(1 - CUSTOS!$M$40)</f>
        <v>0</v>
      </c>
      <c r="AG39" s="84">
        <f ca="1">('TUSD BE'!$AK$39+'TUSD BF'!$AK$39+'TUSD CVA'!$AK$39)*(1 - CUSTOS!$M$40)</f>
        <v>0</v>
      </c>
      <c r="AI39" s="84">
        <v>0</v>
      </c>
      <c r="AJ39" s="84">
        <v>1.35722323730328</v>
      </c>
      <c r="AK39" s="84">
        <v>0</v>
      </c>
      <c r="AL39" s="84">
        <v>0</v>
      </c>
      <c r="AM39" s="84">
        <v>0</v>
      </c>
      <c r="AN39" s="84">
        <v>20.749684394961399</v>
      </c>
      <c r="AO39" s="84">
        <v>8.4857715351392198</v>
      </c>
      <c r="AP39" s="84">
        <v>0</v>
      </c>
      <c r="AQ39" s="84">
        <v>0</v>
      </c>
      <c r="AR39" s="84">
        <v>0</v>
      </c>
      <c r="AS39" s="84">
        <v>0</v>
      </c>
      <c r="AT39" s="84">
        <v>0</v>
      </c>
      <c r="AU39" s="84">
        <v>163.39848988534899</v>
      </c>
      <c r="AV39" s="84">
        <v>0</v>
      </c>
      <c r="AW39" s="84">
        <v>0</v>
      </c>
      <c r="AX39" s="84">
        <v>424.74286805458098</v>
      </c>
      <c r="AY39" s="84">
        <v>1.0830454827146001</v>
      </c>
      <c r="AZ39" s="84">
        <v>0</v>
      </c>
      <c r="BA39" s="84">
        <v>29.0068310583775</v>
      </c>
      <c r="BB39" s="84">
        <v>0</v>
      </c>
      <c r="BC39" s="84">
        <v>0</v>
      </c>
      <c r="BD39" s="84">
        <v>0</v>
      </c>
    </row>
    <row r="40" spans="1:56" ht="11.25" customHeight="1" x14ac:dyDescent="0.25">
      <c r="A40" s="132"/>
      <c r="B40" s="132"/>
      <c r="C40" s="132"/>
      <c r="D40" s="132"/>
      <c r="E40" s="132"/>
      <c r="F40" s="132"/>
      <c r="G40" s="21" t="s">
        <v>71</v>
      </c>
      <c r="H40" s="21" t="s">
        <v>69</v>
      </c>
      <c r="I40" s="21">
        <f>'MERCADO TUSD'!$U$37</f>
        <v>0</v>
      </c>
      <c r="J40" s="17"/>
      <c r="L40" s="84">
        <f>('TUSD BE'!$L$40+'TUSD BF'!$L$40+'TUSD CVA'!$L$40)*(1 - CUSTOS!$M$40)</f>
        <v>0</v>
      </c>
      <c r="M40" s="84">
        <f>('TUSD BE'!$M$40+'TUSD BF'!$M$40+'TUSD CVA'!$M$40)*(1 - CUSTOS!$M$40)</f>
        <v>1.9075178362546357</v>
      </c>
      <c r="N40" s="84">
        <f ca="1">('TUSD BE'!$N$40+'TUSD BF'!$N$40+'TUSD CVA'!$N$40)*(1 - CUSTOS!$M$40)</f>
        <v>0</v>
      </c>
      <c r="O40" s="84">
        <f>('TUSD BE'!$O$40+'TUSD BF'!$O$40+'TUSD CVA'!$O$40)*(1 - CUSTOS!$M$40)</f>
        <v>0</v>
      </c>
      <c r="P40" s="84">
        <f>('TUSD BE'!$P$40+'TUSD BF'!$P$40+'TUSD CVA'!$P$40)*(1 - CUSTOS!$M$40)</f>
        <v>0</v>
      </c>
      <c r="Q40" s="84">
        <f>('TUSD BE'!$Q$40+'TUSD BF'!$Q$40+'TUSD CVA'!$Q$40)*(1 - CUSTOS!$M$40)</f>
        <v>37.34188398008115</v>
      </c>
      <c r="R40" s="84">
        <f>('TUSD BE'!$R$40+'TUSD BF'!$R$40+'TUSD CVA'!$R$40)*(1 - CUSTOS!$M$40)</f>
        <v>13.970487482763906</v>
      </c>
      <c r="S40" s="84">
        <f>('TUSD BE'!$S$40+'TUSD BF'!$S$40+'TUSD CVA'!$S$40)*(1 - CUSTOS!$M$40)</f>
        <v>0</v>
      </c>
      <c r="T40" s="84">
        <f>('TUSD BE'!$U$40+'TUSD BF'!$U$40+'TUSD CVA'!$U$40)*(1 - CUSTOS!$M$40)</f>
        <v>0</v>
      </c>
      <c r="U40" s="84">
        <f>('TUSD BE'!$V$40+'TUSD BF'!$V$40+'TUSD CVA'!$V$40)*(1 - CUSTOS!$M$40)</f>
        <v>0</v>
      </c>
      <c r="V40" s="84">
        <f>('TUSD BE'!$W$40+'TUSD BF'!$W$40+'TUSD CVA'!$W$40)*(1 - CUSTOS!$M$40)</f>
        <v>0</v>
      </c>
      <c r="W40" s="84">
        <f>('TUSD BE'!$X$40+'TUSD BF'!$X$40+'TUSD CVA'!$X$40)*(1 - CUSTOS!$M$40)</f>
        <v>0</v>
      </c>
      <c r="X40" s="84">
        <f>('TUSD BE'!$Y$40+'TUSD BF'!$Y$40+'TUSD CVA'!$Y$40)*(1 - CUSTOS!$M$40)</f>
        <v>69.954138191927882</v>
      </c>
      <c r="Y40" s="84">
        <f>('TUSD BE'!$Z$40+'TUSD BF'!$Z$40+'TUSD CVA'!$Z$40)*(1 - CUSTOS!$M$40)</f>
        <v>0</v>
      </c>
      <c r="Z40" s="84">
        <f>('TUSD BE'!$AA$40+'TUSD BF'!$AA$40+'TUSD CVA'!$AA$40)*(1 - CUSTOS!$M$40)</f>
        <v>0</v>
      </c>
      <c r="AA40" s="84">
        <f>('TUSD BE'!$AC$40+'TUSD BF'!$AC$40+'TUSD CVA'!$AC$40)*(1 - CUSTOS!$M$40)</f>
        <v>206.54679688321718</v>
      </c>
      <c r="AB40" s="84">
        <f ca="1">('TUSD BE'!$AE$40+'TUSD BF'!$AE$40+'TUSD CVA'!$AE$40)*(1 - CUSTOS!$M$40)</f>
        <v>-0.49513555257419523</v>
      </c>
      <c r="AC40" s="84">
        <f ca="1">('TUSD BE'!$AF$40+'TUSD BF'!$AF$40+'TUSD CVA'!$AF$40)*(1 - CUSTOS!$M$40)</f>
        <v>0</v>
      </c>
      <c r="AD40" s="84">
        <f>('TUSD BE'!$AH$40+'TUSD BF'!$AH$40+'TUSD CVA'!$AH$40)*(1 - CUSTOS!$M$40)</f>
        <v>34.461648959722517</v>
      </c>
      <c r="AE40" s="84">
        <f>('TUSD BE'!$AI$40+'TUSD BF'!$AI$40+'TUSD CVA'!$AI$40)*(1 - CUSTOS!$M$40)</f>
        <v>0</v>
      </c>
      <c r="AF40" s="84">
        <f ca="1">('TUSD BE'!$AJ$40+'TUSD BF'!$AJ$40+'TUSD CVA'!$AJ$40)*(1 - CUSTOS!$M$40)</f>
        <v>0</v>
      </c>
      <c r="AG40" s="84">
        <f ca="1">('TUSD BE'!$AK$40+'TUSD BF'!$AK$40+'TUSD CVA'!$AK$40)*(1 - CUSTOS!$M$40)</f>
        <v>0</v>
      </c>
      <c r="AI40" s="84">
        <v>0</v>
      </c>
      <c r="AJ40" s="84">
        <v>1.35722323730328</v>
      </c>
      <c r="AK40" s="84">
        <v>0</v>
      </c>
      <c r="AL40" s="84">
        <v>0</v>
      </c>
      <c r="AM40" s="84">
        <v>0</v>
      </c>
      <c r="AN40" s="84">
        <v>20.749684394961399</v>
      </c>
      <c r="AO40" s="84">
        <v>8.4857715351392198</v>
      </c>
      <c r="AP40" s="84">
        <v>0</v>
      </c>
      <c r="AQ40" s="84">
        <v>0</v>
      </c>
      <c r="AR40" s="84">
        <v>0</v>
      </c>
      <c r="AS40" s="84">
        <v>0</v>
      </c>
      <c r="AT40" s="84">
        <v>0</v>
      </c>
      <c r="AU40" s="84">
        <v>54.467473440335503</v>
      </c>
      <c r="AV40" s="84">
        <v>0</v>
      </c>
      <c r="AW40" s="84">
        <v>0</v>
      </c>
      <c r="AX40" s="84">
        <v>141.581077431126</v>
      </c>
      <c r="AY40" s="84">
        <v>0.41618277058753</v>
      </c>
      <c r="AZ40" s="84">
        <v>0</v>
      </c>
      <c r="BA40" s="84">
        <v>29.0068310583775</v>
      </c>
      <c r="BB40" s="84">
        <v>0</v>
      </c>
      <c r="BC40" s="84">
        <v>0</v>
      </c>
      <c r="BD40" s="84">
        <v>0</v>
      </c>
    </row>
    <row r="41" spans="1:56" ht="11.25" customHeight="1" x14ac:dyDescent="0.25">
      <c r="A41" s="132"/>
      <c r="B41" s="86" t="s">
        <v>23</v>
      </c>
      <c r="C41" s="86" t="s">
        <v>42</v>
      </c>
      <c r="D41" s="86" t="s">
        <v>87</v>
      </c>
      <c r="E41" s="86" t="s">
        <v>25</v>
      </c>
      <c r="F41" s="86" t="s">
        <v>25</v>
      </c>
      <c r="G41" s="21" t="s">
        <v>73</v>
      </c>
      <c r="H41" s="21" t="s">
        <v>69</v>
      </c>
      <c r="I41" s="21">
        <f>'MERCADO TUSD'!$U$38</f>
        <v>0</v>
      </c>
      <c r="J41" s="17"/>
      <c r="L41" s="84">
        <f>('TUSD BE'!$L$41+'TUSD BF'!$L$41+'TUSD CVA'!$L$41)*(1 - CUSTOS!$M$40)</f>
        <v>0</v>
      </c>
      <c r="M41" s="84">
        <f>('TUSD BE'!$M$41+'TUSD BF'!$M$41+'TUSD CVA'!$M$41)*(1 - CUSTOS!$M$40)</f>
        <v>1.9075178362546357</v>
      </c>
      <c r="N41" s="84">
        <f ca="1">('TUSD BE'!$N$41+'TUSD BF'!$N$41+'TUSD CVA'!$N$41)*(1 - CUSTOS!$M$40)</f>
        <v>0</v>
      </c>
      <c r="O41" s="84">
        <f>('TUSD BE'!$O$41+'TUSD BF'!$O$41+'TUSD CVA'!$O$41)*(1 - CUSTOS!$M$40)</f>
        <v>0</v>
      </c>
      <c r="P41" s="84">
        <f>('TUSD BE'!$P$41+'TUSD BF'!$P$41+'TUSD CVA'!$P$41)*(1 - CUSTOS!$M$40)</f>
        <v>0</v>
      </c>
      <c r="Q41" s="84">
        <f>('TUSD BE'!$Q$41+'TUSD BF'!$Q$41+'TUSD CVA'!$Q$41)*(1 - CUSTOS!$M$40)</f>
        <v>37.34188398008115</v>
      </c>
      <c r="R41" s="84">
        <f>('TUSD BE'!$R$41+'TUSD BF'!$R$41+'TUSD CVA'!$R$41)*(1 - CUSTOS!$M$40)</f>
        <v>13.970487482763906</v>
      </c>
      <c r="S41" s="84">
        <f>('TUSD BE'!$S$41+'TUSD BF'!$S$41+'TUSD CVA'!$S$41)*(1 - CUSTOS!$M$40)</f>
        <v>0</v>
      </c>
      <c r="T41" s="84">
        <f>('TUSD BE'!$U$41+'TUSD BF'!$U$41+'TUSD CVA'!$U$41)*(1 - CUSTOS!$M$40)</f>
        <v>0</v>
      </c>
      <c r="U41" s="84">
        <f>('TUSD BE'!$V$41+'TUSD BF'!$V$41+'TUSD CVA'!$V$41)*(1 - CUSTOS!$M$40)</f>
        <v>0</v>
      </c>
      <c r="V41" s="84">
        <f>('TUSD BE'!$W$41+'TUSD BF'!$W$41+'TUSD CVA'!$W$41)*(1 - CUSTOS!$M$40)</f>
        <v>0</v>
      </c>
      <c r="W41" s="84">
        <f>('TUSD BE'!$X$41+'TUSD BF'!$X$41+'TUSD CVA'!$X$41)*(1 - CUSTOS!$M$40)</f>
        <v>0</v>
      </c>
      <c r="X41" s="84">
        <f>('TUSD BE'!$Y$41+'TUSD BF'!$Y$41+'TUSD CVA'!$Y$41)*(1 - CUSTOS!$M$40)</f>
        <v>131.16768875052048</v>
      </c>
      <c r="Y41" s="84">
        <f>('TUSD BE'!$Z$41+'TUSD BF'!$Z$41+'TUSD CVA'!$Z$41)*(1 - CUSTOS!$M$40)</f>
        <v>0</v>
      </c>
      <c r="Z41" s="84">
        <f>('TUSD BE'!$AA$41+'TUSD BF'!$AA$41+'TUSD CVA'!$AA$41)*(1 - CUSTOS!$M$40)</f>
        <v>0</v>
      </c>
      <c r="AA41" s="84">
        <f>('TUSD BE'!$AC$41+'TUSD BF'!$AC$41+'TUSD CVA'!$AC$41)*(1 - CUSTOS!$M$40)</f>
        <v>387.29826734840708</v>
      </c>
      <c r="AB41" s="84">
        <f ca="1">('TUSD BE'!$AE$41+'TUSD BF'!$AE$41+'TUSD CVA'!$AE$41)*(1 - CUSTOS!$M$40)</f>
        <v>-0.83404702905146677</v>
      </c>
      <c r="AC41" s="84">
        <f ca="1">('TUSD BE'!$AF$41+'TUSD BF'!$AF$41+'TUSD CVA'!$AF$41)*(1 - CUSTOS!$M$40)</f>
        <v>0</v>
      </c>
      <c r="AD41" s="84">
        <f>('TUSD BE'!$AH$41+'TUSD BF'!$AH$41+'TUSD CVA'!$AH$41)*(1 - CUSTOS!$M$40)</f>
        <v>34.461648959722517</v>
      </c>
      <c r="AE41" s="84">
        <f>('TUSD BE'!$AI$41+'TUSD BF'!$AI$41+'TUSD CVA'!$AI$41)*(1 - CUSTOS!$M$40)</f>
        <v>0</v>
      </c>
      <c r="AF41" s="84">
        <f ca="1">('TUSD BE'!$AJ$41+'TUSD BF'!$AJ$41+'TUSD CVA'!$AJ$41)*(1 - CUSTOS!$M$40)</f>
        <v>0</v>
      </c>
      <c r="AG41" s="84">
        <f ca="1">('TUSD BE'!$AK$41+'TUSD BF'!$AK$41+'TUSD CVA'!$AK$41)*(1 - CUSTOS!$M$40)</f>
        <v>0</v>
      </c>
      <c r="AI41" s="84">
        <v>0</v>
      </c>
      <c r="AJ41" s="84">
        <v>1.35722323730328</v>
      </c>
      <c r="AK41" s="84">
        <v>0</v>
      </c>
      <c r="AL41" s="84">
        <v>0</v>
      </c>
      <c r="AM41" s="84">
        <v>0</v>
      </c>
      <c r="AN41" s="84">
        <v>20.749684394961399</v>
      </c>
      <c r="AO41" s="84">
        <v>8.4857715351392198</v>
      </c>
      <c r="AP41" s="84">
        <v>0</v>
      </c>
      <c r="AQ41" s="84">
        <v>0</v>
      </c>
      <c r="AR41" s="84">
        <v>0</v>
      </c>
      <c r="AS41" s="84">
        <v>0</v>
      </c>
      <c r="AT41" s="84">
        <v>0</v>
      </c>
      <c r="AU41" s="84">
        <v>102.12934714942099</v>
      </c>
      <c r="AV41" s="84">
        <v>0</v>
      </c>
      <c r="AW41" s="84">
        <v>0</v>
      </c>
      <c r="AX41" s="84">
        <v>265.48036457104001</v>
      </c>
      <c r="AY41" s="84">
        <v>0.70797071625653496</v>
      </c>
      <c r="AZ41" s="84">
        <v>0</v>
      </c>
      <c r="BA41" s="84">
        <v>29.0068310583775</v>
      </c>
      <c r="BB41" s="84">
        <v>0</v>
      </c>
      <c r="BC41" s="84">
        <v>0</v>
      </c>
      <c r="BD41" s="84">
        <v>0</v>
      </c>
    </row>
    <row r="42" spans="1:56" ht="11.25" customHeight="1" x14ac:dyDescent="0.25">
      <c r="A42" s="132"/>
      <c r="B42" s="132" t="s">
        <v>85</v>
      </c>
      <c r="C42" s="132" t="s">
        <v>42</v>
      </c>
      <c r="D42" s="86" t="s">
        <v>25</v>
      </c>
      <c r="E42" s="86" t="s">
        <v>25</v>
      </c>
      <c r="F42" s="86" t="s">
        <v>25</v>
      </c>
      <c r="G42" s="21" t="s">
        <v>73</v>
      </c>
      <c r="H42" s="21" t="s">
        <v>69</v>
      </c>
      <c r="I42" s="21">
        <f>'MERCADO TUSD'!$U$39</f>
        <v>0</v>
      </c>
      <c r="J42" s="17"/>
      <c r="L42" s="84">
        <f>('TUSD BE'!$L$42+'TUSD BF'!$L$42+'TUSD CVA'!$L$42)*(1 - CUSTOS!$M$38)</f>
        <v>0</v>
      </c>
      <c r="M42" s="84">
        <f>('TUSD BE'!$M$42+'TUSD BF'!$M$42+'TUSD CVA'!$M$42)*(1 - CUSTOS!$M$38)</f>
        <v>1.9489856153036491</v>
      </c>
      <c r="N42" s="84">
        <f ca="1">('TUSD BE'!$N$42+'TUSD BF'!$N$42+'TUSD CVA'!$N$42)*(1 - CUSTOS!$M$38)</f>
        <v>0</v>
      </c>
      <c r="O42" s="84">
        <f>('TUSD BE'!$O$42+'TUSD BF'!$O$42+'TUSD CVA'!$O$42)*(1 - CUSTOS!$M$38)</f>
        <v>0</v>
      </c>
      <c r="P42" s="84">
        <f>('TUSD BE'!$P$42+'TUSD BF'!$P$42+'TUSD CVA'!$P$42)*(1 - CUSTOS!$M$38)</f>
        <v>0</v>
      </c>
      <c r="Q42" s="84">
        <f>('TUSD BE'!$Q$42+'TUSD BF'!$Q$42+'TUSD CVA'!$Q$42)*(1 - CUSTOS!$M$38)</f>
        <v>38.153664066604648</v>
      </c>
      <c r="R42" s="84">
        <f>('TUSD BE'!$R$42+'TUSD BF'!$R$42+'TUSD CVA'!$R$42)*(1 - CUSTOS!$M$38)</f>
        <v>14.274193732389207</v>
      </c>
      <c r="S42" s="84">
        <f>('TUSD BE'!$S$42+'TUSD BF'!$S$42+'TUSD CVA'!$S$42)*(1 - CUSTOS!$M$38)</f>
        <v>0</v>
      </c>
      <c r="T42" s="84">
        <f>('TUSD BE'!$U$42+'TUSD BF'!$U$42+'TUSD CVA'!$U$42)*(1 - CUSTOS!$M$38)</f>
        <v>0</v>
      </c>
      <c r="U42" s="84">
        <f>('TUSD BE'!$V$42+'TUSD BF'!$V$42+'TUSD CVA'!$V$42)*(1 - CUSTOS!$M$38)</f>
        <v>0</v>
      </c>
      <c r="V42" s="84">
        <f>('TUSD BE'!$W$42+'TUSD BF'!$W$42+'TUSD CVA'!$W$42)*(1 - CUSTOS!$M$38)</f>
        <v>0</v>
      </c>
      <c r="W42" s="84">
        <f>('TUSD BE'!$X$42+'TUSD BF'!$X$42+'TUSD CVA'!$X$42)*(1 - CUSTOS!$M$38)</f>
        <v>0</v>
      </c>
      <c r="X42" s="84">
        <f>('TUSD BE'!$Y$42+'TUSD BF'!$Y$42+'TUSD CVA'!$Y$42)*(1 - CUSTOS!$M$38)</f>
        <v>134.019160245097</v>
      </c>
      <c r="Y42" s="84">
        <f>('TUSD BE'!$Z$42+'TUSD BF'!$Z$42+'TUSD CVA'!$Z$42)*(1 - CUSTOS!$M$38)</f>
        <v>0</v>
      </c>
      <c r="Z42" s="84">
        <f>('TUSD BE'!$AA$42+'TUSD BF'!$AA$42+'TUSD CVA'!$AA$42)*(1 - CUSTOS!$M$38)</f>
        <v>0</v>
      </c>
      <c r="AA42" s="84">
        <f>('TUSD BE'!$AC$42+'TUSD BF'!$AC$42+'TUSD CVA'!$AC$42)*(1 - CUSTOS!$M$38)</f>
        <v>395.71779489945936</v>
      </c>
      <c r="AB42" s="84">
        <f ca="1">('TUSD BE'!$AE$42+'TUSD BF'!$AE$42+'TUSD CVA'!$AE$42)*(1 - CUSTOS!$M$38)</f>
        <v>-0.85217848620475944</v>
      </c>
      <c r="AC42" s="84">
        <f ca="1">('TUSD BE'!$AF$42+'TUSD BF'!$AF$42+'TUSD CVA'!$AF$42)*(1 - CUSTOS!$M$38)</f>
        <v>0</v>
      </c>
      <c r="AD42" s="84">
        <f>('TUSD BE'!$AH$42+'TUSD BF'!$AH$42+'TUSD CVA'!$AH$42)*(1 - CUSTOS!$M$38)</f>
        <v>35.210815241455613</v>
      </c>
      <c r="AE42" s="84">
        <f>('TUSD BE'!$AI$42+'TUSD BF'!$AI$42+'TUSD CVA'!$AI$42)*(1 - CUSTOS!$M$38)</f>
        <v>0</v>
      </c>
      <c r="AF42" s="84">
        <f ca="1">('TUSD BE'!$AJ$42+'TUSD BF'!$AJ$42+'TUSD CVA'!$AJ$42)*(1 - CUSTOS!$M$38)</f>
        <v>0</v>
      </c>
      <c r="AG42" s="84">
        <f ca="1">('TUSD BE'!$AK$42+'TUSD BF'!$AK$42+'TUSD CVA'!$AK$42)*(1 - CUSTOS!$M$38)</f>
        <v>0</v>
      </c>
      <c r="AI42" s="84">
        <v>0</v>
      </c>
      <c r="AJ42" s="84">
        <v>1.4218529152701</v>
      </c>
      <c r="AK42" s="84">
        <v>0</v>
      </c>
      <c r="AL42" s="84">
        <v>0</v>
      </c>
      <c r="AM42" s="84">
        <v>0</v>
      </c>
      <c r="AN42" s="84">
        <v>21.737764604245299</v>
      </c>
      <c r="AO42" s="84">
        <v>8.8898558939553798</v>
      </c>
      <c r="AP42" s="84">
        <v>0</v>
      </c>
      <c r="AQ42" s="84">
        <v>0</v>
      </c>
      <c r="AR42" s="84">
        <v>0</v>
      </c>
      <c r="AS42" s="84">
        <v>0</v>
      </c>
      <c r="AT42" s="84">
        <v>0</v>
      </c>
      <c r="AU42" s="84">
        <v>106.992649394631</v>
      </c>
      <c r="AV42" s="84">
        <v>0</v>
      </c>
      <c r="AW42" s="84">
        <v>0</v>
      </c>
      <c r="AX42" s="84">
        <v>278.12228669347098</v>
      </c>
      <c r="AY42" s="84">
        <v>0.74168360750684603</v>
      </c>
      <c r="AZ42" s="84">
        <v>0</v>
      </c>
      <c r="BA42" s="84">
        <v>30.3881087278241</v>
      </c>
      <c r="BB42" s="84">
        <v>0</v>
      </c>
      <c r="BC42" s="84">
        <v>0</v>
      </c>
      <c r="BD42" s="84">
        <v>0</v>
      </c>
    </row>
    <row r="43" spans="1:56" ht="11.25" customHeight="1" x14ac:dyDescent="0.25">
      <c r="A43" s="132"/>
      <c r="B43" s="132"/>
      <c r="C43" s="132"/>
      <c r="D43" s="86" t="s">
        <v>86</v>
      </c>
      <c r="E43" s="86" t="s">
        <v>25</v>
      </c>
      <c r="F43" s="86" t="s">
        <v>25</v>
      </c>
      <c r="G43" s="21" t="s">
        <v>73</v>
      </c>
      <c r="H43" s="21" t="s">
        <v>69</v>
      </c>
      <c r="I43" s="21">
        <f>'MERCADO TUSD'!$U$40</f>
        <v>0</v>
      </c>
      <c r="J43" s="17"/>
      <c r="L43" s="84">
        <f>('TUSD BE'!$L$43+'TUSD BF'!$L$43+'TUSD CVA'!$L$43)*(1 - CUSTOS!$M$39)</f>
        <v>0</v>
      </c>
      <c r="M43" s="84">
        <f>('TUSD BE'!$M$43+'TUSD BF'!$M$43+'TUSD CVA'!$M$43)*(1 - CUSTOS!$M$39)</f>
        <v>1.9489856153036491</v>
      </c>
      <c r="N43" s="84">
        <f ca="1">('TUSD BE'!$N$43+'TUSD BF'!$N$43+'TUSD CVA'!$N$43)*(1 - CUSTOS!$M$39)</f>
        <v>0</v>
      </c>
      <c r="O43" s="84">
        <f>('TUSD BE'!$O$43+'TUSD BF'!$O$43+'TUSD CVA'!$O$43)*(1 - CUSTOS!$M$39)</f>
        <v>0</v>
      </c>
      <c r="P43" s="84">
        <f>('TUSD BE'!$P$43+'TUSD BF'!$P$43+'TUSD CVA'!$P$43)*(1 - CUSTOS!$M$39)</f>
        <v>0</v>
      </c>
      <c r="Q43" s="84">
        <f>('TUSD BE'!$Q$43+'TUSD BF'!$Q$43+'TUSD CVA'!$Q$43)*(1 - CUSTOS!$M$39)</f>
        <v>38.153664066604648</v>
      </c>
      <c r="R43" s="84">
        <f>('TUSD BE'!$R$43+'TUSD BF'!$R$43+'TUSD CVA'!$R$43)*(1 - CUSTOS!$M$39)</f>
        <v>14.274193732389207</v>
      </c>
      <c r="S43" s="84">
        <f>('TUSD BE'!$S$43+'TUSD BF'!$S$43+'TUSD CVA'!$S$43)*(1 - CUSTOS!$M$39)</f>
        <v>0</v>
      </c>
      <c r="T43" s="84">
        <f>('TUSD BE'!$U$43+'TUSD BF'!$U$43+'TUSD CVA'!$U$43)*(1 - CUSTOS!$M$39)</f>
        <v>0</v>
      </c>
      <c r="U43" s="84">
        <f>('TUSD BE'!$V$43+'TUSD BF'!$V$43+'TUSD CVA'!$V$43)*(1 - CUSTOS!$M$39)</f>
        <v>0</v>
      </c>
      <c r="V43" s="84">
        <f>('TUSD BE'!$W$43+'TUSD BF'!$W$43+'TUSD CVA'!$W$43)*(1 - CUSTOS!$M$39)</f>
        <v>0</v>
      </c>
      <c r="W43" s="84">
        <f>('TUSD BE'!$X$43+'TUSD BF'!$X$43+'TUSD CVA'!$X$43)*(1 - CUSTOS!$M$39)</f>
        <v>0</v>
      </c>
      <c r="X43" s="84">
        <f>('TUSD BE'!$Y$43+'TUSD BF'!$Y$43+'TUSD CVA'!$Y$43)*(1 - CUSTOS!$M$39)</f>
        <v>134.019160245097</v>
      </c>
      <c r="Y43" s="84">
        <f>('TUSD BE'!$Z$43+'TUSD BF'!$Z$43+'TUSD CVA'!$Z$43)*(1 - CUSTOS!$M$39)</f>
        <v>0</v>
      </c>
      <c r="Z43" s="84">
        <f>('TUSD BE'!$AA$43+'TUSD BF'!$AA$43+'TUSD CVA'!$AA$43)*(1 - CUSTOS!$M$39)</f>
        <v>0</v>
      </c>
      <c r="AA43" s="84">
        <f>('TUSD BE'!$AC$43+'TUSD BF'!$AC$43+'TUSD CVA'!$AC$43)*(1 - CUSTOS!$M$39)</f>
        <v>395.71779489945936</v>
      </c>
      <c r="AB43" s="84">
        <f ca="1">('TUSD BE'!$AE$43+'TUSD BF'!$AE$43+'TUSD CVA'!$AE$43)*(1 - CUSTOS!$M$39)</f>
        <v>-0.85217848620475944</v>
      </c>
      <c r="AC43" s="84">
        <f ca="1">('TUSD BE'!$AF$43+'TUSD BF'!$AF$43+'TUSD CVA'!$AF$43)*(1 - CUSTOS!$M$39)</f>
        <v>0</v>
      </c>
      <c r="AD43" s="84">
        <f>('TUSD BE'!$AH$43+'TUSD BF'!$AH$43+'TUSD CVA'!$AH$43)*(1 - CUSTOS!$M$39)</f>
        <v>35.210815241455613</v>
      </c>
      <c r="AE43" s="84">
        <f>('TUSD BE'!$AI$43+'TUSD BF'!$AI$43+'TUSD CVA'!$AI$43)*(1 - CUSTOS!$M$39)</f>
        <v>0</v>
      </c>
      <c r="AF43" s="84">
        <f ca="1">('TUSD BE'!$AJ$43+'TUSD BF'!$AJ$43+'TUSD CVA'!$AJ$43)*(1 - CUSTOS!$M$39)</f>
        <v>0</v>
      </c>
      <c r="AG43" s="84">
        <f ca="1">('TUSD BE'!$AK$43+'TUSD BF'!$AK$43+'TUSD CVA'!$AK$43)*(1 - CUSTOS!$M$39)</f>
        <v>0</v>
      </c>
      <c r="AI43" s="84">
        <v>0</v>
      </c>
      <c r="AJ43" s="84">
        <v>1.4218529152701</v>
      </c>
      <c r="AK43" s="84">
        <v>0</v>
      </c>
      <c r="AL43" s="84">
        <v>0</v>
      </c>
      <c r="AM43" s="84">
        <v>0</v>
      </c>
      <c r="AN43" s="84">
        <v>21.737764604245299</v>
      </c>
      <c r="AO43" s="84">
        <v>8.8898558939553798</v>
      </c>
      <c r="AP43" s="84">
        <v>0</v>
      </c>
      <c r="AQ43" s="84">
        <v>0</v>
      </c>
      <c r="AR43" s="84">
        <v>0</v>
      </c>
      <c r="AS43" s="84">
        <v>0</v>
      </c>
      <c r="AT43" s="84">
        <v>0</v>
      </c>
      <c r="AU43" s="84">
        <v>106.992649394631</v>
      </c>
      <c r="AV43" s="84">
        <v>0</v>
      </c>
      <c r="AW43" s="84">
        <v>0</v>
      </c>
      <c r="AX43" s="84">
        <v>278.12228669347098</v>
      </c>
      <c r="AY43" s="84">
        <v>0.74168360750684603</v>
      </c>
      <c r="AZ43" s="84">
        <v>0</v>
      </c>
      <c r="BA43" s="84">
        <v>30.3881087278241</v>
      </c>
      <c r="BB43" s="84">
        <v>0</v>
      </c>
      <c r="BC43" s="84">
        <v>0</v>
      </c>
      <c r="BD43" s="84">
        <v>0</v>
      </c>
    </row>
    <row r="44" spans="1:56" ht="11.25" customHeight="1" x14ac:dyDescent="0.25">
      <c r="A44" s="132"/>
      <c r="B44" s="132"/>
      <c r="C44" s="132"/>
      <c r="D44" s="86" t="s">
        <v>87</v>
      </c>
      <c r="E44" s="86" t="s">
        <v>25</v>
      </c>
      <c r="F44" s="86" t="s">
        <v>25</v>
      </c>
      <c r="G44" s="21" t="s">
        <v>73</v>
      </c>
      <c r="H44" s="21" t="s">
        <v>69</v>
      </c>
      <c r="I44" s="21">
        <f>'MERCADO TUSD'!$U$41</f>
        <v>0</v>
      </c>
      <c r="J44" s="17"/>
      <c r="L44" s="84">
        <f>('TUSD BE'!$L$44+'TUSD BF'!$L$44+'TUSD CVA'!$L$44)*(1 - CUSTOS!$M$40)</f>
        <v>0</v>
      </c>
      <c r="M44" s="84">
        <f>('TUSD BE'!$M$44+'TUSD BF'!$M$44+'TUSD CVA'!$M$44)*(1 - CUSTOS!$M$40)</f>
        <v>1.9075178362546357</v>
      </c>
      <c r="N44" s="84">
        <f ca="1">('TUSD BE'!$N$44+'TUSD BF'!$N$44+'TUSD CVA'!$N$44)*(1 - CUSTOS!$M$40)</f>
        <v>0</v>
      </c>
      <c r="O44" s="84">
        <f>('TUSD BE'!$O$44+'TUSD BF'!$O$44+'TUSD CVA'!$O$44)*(1 - CUSTOS!$M$40)</f>
        <v>0</v>
      </c>
      <c r="P44" s="84">
        <f>('TUSD BE'!$P$44+'TUSD BF'!$P$44+'TUSD CVA'!$P$44)*(1 - CUSTOS!$M$40)</f>
        <v>0</v>
      </c>
      <c r="Q44" s="84">
        <f>('TUSD BE'!$Q$44+'TUSD BF'!$Q$44+'TUSD CVA'!$Q$44)*(1 - CUSTOS!$M$40)</f>
        <v>37.34188398008115</v>
      </c>
      <c r="R44" s="84">
        <f>('TUSD BE'!$R$44+'TUSD BF'!$R$44+'TUSD CVA'!$R$44)*(1 - CUSTOS!$M$40)</f>
        <v>13.970487482763906</v>
      </c>
      <c r="S44" s="84">
        <f>('TUSD BE'!$S$44+'TUSD BF'!$S$44+'TUSD CVA'!$S$44)*(1 - CUSTOS!$M$40)</f>
        <v>0</v>
      </c>
      <c r="T44" s="84">
        <f>('TUSD BE'!$U$44+'TUSD BF'!$U$44+'TUSD CVA'!$U$44)*(1 - CUSTOS!$M$40)</f>
        <v>0</v>
      </c>
      <c r="U44" s="84">
        <f>('TUSD BE'!$V$44+'TUSD BF'!$V$44+'TUSD CVA'!$V$44)*(1 - CUSTOS!$M$40)</f>
        <v>0</v>
      </c>
      <c r="V44" s="84">
        <f>('TUSD BE'!$W$44+'TUSD BF'!$W$44+'TUSD CVA'!$W$44)*(1 - CUSTOS!$M$40)</f>
        <v>0</v>
      </c>
      <c r="W44" s="84">
        <f>('TUSD BE'!$X$44+'TUSD BF'!$X$44+'TUSD CVA'!$X$44)*(1 - CUSTOS!$M$40)</f>
        <v>0</v>
      </c>
      <c r="X44" s="84">
        <f>('TUSD BE'!$Y$44+'TUSD BF'!$Y$44+'TUSD CVA'!$Y$44)*(1 - CUSTOS!$M$40)</f>
        <v>131.16768875052048</v>
      </c>
      <c r="Y44" s="84">
        <f>('TUSD BE'!$Z$44+'TUSD BF'!$Z$44+'TUSD CVA'!$Z$44)*(1 - CUSTOS!$M$40)</f>
        <v>0</v>
      </c>
      <c r="Z44" s="84">
        <f>('TUSD BE'!$AA$44+'TUSD BF'!$AA$44+'TUSD CVA'!$AA$44)*(1 - CUSTOS!$M$40)</f>
        <v>0</v>
      </c>
      <c r="AA44" s="84">
        <f>('TUSD BE'!$AC$44+'TUSD BF'!$AC$44+'TUSD CVA'!$AC$44)*(1 - CUSTOS!$M$40)</f>
        <v>387.29826734840708</v>
      </c>
      <c r="AB44" s="84">
        <f ca="1">('TUSD BE'!$AE$44+'TUSD BF'!$AE$44+'TUSD CVA'!$AE$44)*(1 - CUSTOS!$M$40)</f>
        <v>-0.83404702905146677</v>
      </c>
      <c r="AC44" s="84">
        <f ca="1">('TUSD BE'!$AF$44+'TUSD BF'!$AF$44+'TUSD CVA'!$AF$44)*(1 - CUSTOS!$M$40)</f>
        <v>0</v>
      </c>
      <c r="AD44" s="84">
        <f>('TUSD BE'!$AH$44+'TUSD BF'!$AH$44+'TUSD CVA'!$AH$44)*(1 - CUSTOS!$M$40)</f>
        <v>34.461648959722517</v>
      </c>
      <c r="AE44" s="84">
        <f>('TUSD BE'!$AI$44+'TUSD BF'!$AI$44+'TUSD CVA'!$AI$44)*(1 - CUSTOS!$M$40)</f>
        <v>0</v>
      </c>
      <c r="AF44" s="84">
        <f ca="1">('TUSD BE'!$AJ$44+'TUSD BF'!$AJ$44+'TUSD CVA'!$AJ$44)*(1 - CUSTOS!$M$40)</f>
        <v>0</v>
      </c>
      <c r="AG44" s="84">
        <f ca="1">('TUSD BE'!$AK$44+'TUSD BF'!$AK$44+'TUSD CVA'!$AK$44)*(1 - CUSTOS!$M$40)</f>
        <v>0</v>
      </c>
      <c r="AI44" s="84">
        <v>0</v>
      </c>
      <c r="AJ44" s="84">
        <v>1.35722323730328</v>
      </c>
      <c r="AK44" s="84">
        <v>0</v>
      </c>
      <c r="AL44" s="84">
        <v>0</v>
      </c>
      <c r="AM44" s="84">
        <v>0</v>
      </c>
      <c r="AN44" s="84">
        <v>20.749684394961399</v>
      </c>
      <c r="AO44" s="84">
        <v>8.4857715351392198</v>
      </c>
      <c r="AP44" s="84">
        <v>0</v>
      </c>
      <c r="AQ44" s="84">
        <v>0</v>
      </c>
      <c r="AR44" s="84">
        <v>0</v>
      </c>
      <c r="AS44" s="84">
        <v>0</v>
      </c>
      <c r="AT44" s="84">
        <v>0</v>
      </c>
      <c r="AU44" s="84">
        <v>102.12934714942099</v>
      </c>
      <c r="AV44" s="84">
        <v>0</v>
      </c>
      <c r="AW44" s="84">
        <v>0</v>
      </c>
      <c r="AX44" s="84">
        <v>265.48036457104001</v>
      </c>
      <c r="AY44" s="84">
        <v>0.70797071625653496</v>
      </c>
      <c r="AZ44" s="84">
        <v>0</v>
      </c>
      <c r="BA44" s="84">
        <v>29.0068310583775</v>
      </c>
      <c r="BB44" s="84">
        <v>0</v>
      </c>
      <c r="BC44" s="84">
        <v>0</v>
      </c>
      <c r="BD44" s="84">
        <v>0</v>
      </c>
    </row>
    <row r="45" spans="1:56" ht="11.25" customHeight="1" x14ac:dyDescent="0.25">
      <c r="A45" s="132" t="s">
        <v>32</v>
      </c>
      <c r="B45" s="132" t="s">
        <v>39</v>
      </c>
      <c r="C45" s="132" t="s">
        <v>25</v>
      </c>
      <c r="D45" s="132" t="s">
        <v>25</v>
      </c>
      <c r="E45" s="132" t="s">
        <v>25</v>
      </c>
      <c r="F45" s="132" t="s">
        <v>25</v>
      </c>
      <c r="G45" s="21" t="s">
        <v>70</v>
      </c>
      <c r="H45" s="21" t="s">
        <v>69</v>
      </c>
      <c r="I45" s="21">
        <f>'MERCADO TUSD'!$U$42</f>
        <v>0.13600000000000001</v>
      </c>
      <c r="J45" s="17"/>
      <c r="L45" s="84">
        <f>('TUSD BE'!$L$45+'TUSD BF'!$L$45+'TUSD CVA'!$L$45)*1</f>
        <v>0</v>
      </c>
      <c r="M45" s="84">
        <f>('TUSD BE'!$M$45+'TUSD BF'!$M$45+'TUSD CVA'!$M$45)*1</f>
        <v>2.0733889524506908</v>
      </c>
      <c r="N45" s="84">
        <f ca="1">('TUSD BE'!$N$45+'TUSD BF'!$N$45+'TUSD CVA'!$N$45)*1</f>
        <v>0</v>
      </c>
      <c r="O45" s="84">
        <f>('TUSD BE'!$O$45+'TUSD BF'!$O$45+'TUSD CVA'!$O$45)*1</f>
        <v>0</v>
      </c>
      <c r="P45" s="84">
        <f>('TUSD BE'!$P$45+'TUSD BF'!$P$45+'TUSD CVA'!$P$45)*1</f>
        <v>0</v>
      </c>
      <c r="Q45" s="84">
        <f>('TUSD BE'!$Q$45+'TUSD BF'!$Q$45+'TUSD CVA'!$Q$45)*1</f>
        <v>40.589004326175157</v>
      </c>
      <c r="R45" s="84">
        <f>('TUSD BE'!$R$45+'TUSD BF'!$R$45+'TUSD CVA'!$R$45)*1</f>
        <v>15.185312481265115</v>
      </c>
      <c r="S45" s="84">
        <f>('TUSD BE'!$S$45+'TUSD BF'!$S$45+'TUSD CVA'!$S$45)*1</f>
        <v>0</v>
      </c>
      <c r="T45" s="84">
        <f>('TUSD BE'!$U$45+'TUSD BF'!$U$45+'TUSD CVA'!$U$45)*1</f>
        <v>0</v>
      </c>
      <c r="U45" s="84">
        <f>('TUSD BE'!$V$45+'TUSD BF'!$V$45+'TUSD CVA'!$V$45)*1</f>
        <v>0</v>
      </c>
      <c r="V45" s="84">
        <f>('TUSD BE'!$W$45+'TUSD BF'!$W$45+'TUSD CVA'!$W$45)*1</f>
        <v>0</v>
      </c>
      <c r="W45" s="84">
        <f>('TUSD BE'!$X$45+'TUSD BF'!$X$45+'TUSD CVA'!$X$45)*1</f>
        <v>0</v>
      </c>
      <c r="X45" s="84">
        <f>('TUSD BE'!$Y$45+'TUSD BF'!$Y$45+'TUSD CVA'!$Y$45)*1</f>
        <v>463.36426994508986</v>
      </c>
      <c r="Y45" s="84">
        <f>('TUSD BE'!$Z$45+'TUSD BF'!$Z$45+'TUSD CVA'!$Z$45)*1</f>
        <v>0</v>
      </c>
      <c r="Z45" s="84">
        <f>('TUSD BE'!$AA$45+'TUSD BF'!$AA$45+'TUSD CVA'!$AA$45)*1</f>
        <v>0</v>
      </c>
      <c r="AA45" s="84">
        <f>('TUSD BE'!$AC$45+'TUSD BF'!$AC$45+'TUSD CVA'!$AC$45)*1</f>
        <v>1368.1738173842693</v>
      </c>
      <c r="AB45" s="84">
        <f ca="1">('TUSD BE'!$AE$45+'TUSD BF'!$AE$45+'TUSD CVA'!$AE$45)*1</f>
        <v>-2.6825942534084519</v>
      </c>
      <c r="AC45" s="84">
        <f ca="1">('TUSD BE'!$AF$45+'TUSD BF'!$AF$45+'TUSD CVA'!$AF$45)*1</f>
        <v>0</v>
      </c>
      <c r="AD45" s="84">
        <f>('TUSD BE'!$AH$45+'TUSD BF'!$AH$45+'TUSD CVA'!$AH$45)*1</f>
        <v>37.458314086654909</v>
      </c>
      <c r="AE45" s="84">
        <f>('TUSD BE'!$AI$45+'TUSD BF'!$AI$45+'TUSD CVA'!$AI$45)*1</f>
        <v>0</v>
      </c>
      <c r="AF45" s="84">
        <f ca="1">('TUSD BE'!$AJ$45+'TUSD BF'!$AJ$45+'TUSD CVA'!$AJ$45)*1</f>
        <v>0</v>
      </c>
      <c r="AG45" s="84">
        <f ca="1">('TUSD BE'!$AK$45+'TUSD BF'!$AK$45+'TUSD CVA'!$AK$45)*1</f>
        <v>0</v>
      </c>
      <c r="AI45" s="84">
        <v>0</v>
      </c>
      <c r="AJ45" s="84">
        <v>1.61574194917057</v>
      </c>
      <c r="AK45" s="84">
        <v>0</v>
      </c>
      <c r="AL45" s="84">
        <v>0</v>
      </c>
      <c r="AM45" s="84">
        <v>0</v>
      </c>
      <c r="AN45" s="84">
        <v>24.702005232096901</v>
      </c>
      <c r="AO45" s="84">
        <v>10.102108970403799</v>
      </c>
      <c r="AP45" s="84">
        <v>0</v>
      </c>
      <c r="AQ45" s="84">
        <v>0</v>
      </c>
      <c r="AR45" s="84">
        <v>0</v>
      </c>
      <c r="AS45" s="84">
        <v>0</v>
      </c>
      <c r="AT45" s="84">
        <v>0</v>
      </c>
      <c r="AU45" s="84">
        <v>395.14351738252299</v>
      </c>
      <c r="AV45" s="84">
        <v>0</v>
      </c>
      <c r="AW45" s="84">
        <v>0</v>
      </c>
      <c r="AX45" s="84">
        <v>1027.1565879976899</v>
      </c>
      <c r="AY45" s="84">
        <v>2.5175259426386298</v>
      </c>
      <c r="AZ45" s="84">
        <v>0</v>
      </c>
      <c r="BA45" s="84">
        <v>34.531941736163702</v>
      </c>
      <c r="BB45" s="84">
        <v>0</v>
      </c>
      <c r="BC45" s="84">
        <v>0</v>
      </c>
      <c r="BD45" s="84">
        <v>0</v>
      </c>
    </row>
    <row r="46" spans="1:56" ht="11.25" customHeight="1" x14ac:dyDescent="0.25">
      <c r="A46" s="132"/>
      <c r="B46" s="132"/>
      <c r="C46" s="132"/>
      <c r="D46" s="132"/>
      <c r="E46" s="132"/>
      <c r="F46" s="132"/>
      <c r="G46" s="21" t="s">
        <v>83</v>
      </c>
      <c r="H46" s="21" t="s">
        <v>69</v>
      </c>
      <c r="I46" s="21">
        <f>'MERCADO TUSD'!$U$43</f>
        <v>0.16400000000000003</v>
      </c>
      <c r="J46" s="17"/>
      <c r="L46" s="84">
        <f>('TUSD BE'!$L$46+'TUSD BF'!$L$46+'TUSD CVA'!$L$46)*1</f>
        <v>0</v>
      </c>
      <c r="M46" s="84">
        <f>('TUSD BE'!$M$46+'TUSD BF'!$M$46+'TUSD CVA'!$M$46)*1</f>
        <v>2.0733889524506908</v>
      </c>
      <c r="N46" s="84">
        <f ca="1">('TUSD BE'!$N$46+'TUSD BF'!$N$46+'TUSD CVA'!$N$46)*1</f>
        <v>0</v>
      </c>
      <c r="O46" s="84">
        <f>('TUSD BE'!$O$46+'TUSD BF'!$O$46+'TUSD CVA'!$O$46)*1</f>
        <v>0</v>
      </c>
      <c r="P46" s="84">
        <f>('TUSD BE'!$P$46+'TUSD BF'!$P$46+'TUSD CVA'!$P$46)*1</f>
        <v>0</v>
      </c>
      <c r="Q46" s="84">
        <f>('TUSD BE'!$Q$46+'TUSD BF'!$Q$46+'TUSD CVA'!$Q$46)*1</f>
        <v>40.589004326175157</v>
      </c>
      <c r="R46" s="84">
        <f>('TUSD BE'!$R$46+'TUSD BF'!$R$46+'TUSD CVA'!$R$46)*1</f>
        <v>15.185312481265115</v>
      </c>
      <c r="S46" s="84">
        <f>('TUSD BE'!$S$46+'TUSD BF'!$S$46+'TUSD CVA'!$S$46)*1</f>
        <v>0</v>
      </c>
      <c r="T46" s="84">
        <f>('TUSD BE'!$U$46+'TUSD BF'!$U$46+'TUSD CVA'!$U$46)*1</f>
        <v>0</v>
      </c>
      <c r="U46" s="84">
        <f>('TUSD BE'!$V$46+'TUSD BF'!$V$46+'TUSD CVA'!$V$46)*1</f>
        <v>0</v>
      </c>
      <c r="V46" s="84">
        <f>('TUSD BE'!$W$46+'TUSD BF'!$W$46+'TUSD CVA'!$W$46)*1</f>
        <v>0</v>
      </c>
      <c r="W46" s="84">
        <f>('TUSD BE'!$X$46+'TUSD BF'!$X$46+'TUSD CVA'!$X$46)*1</f>
        <v>0</v>
      </c>
      <c r="X46" s="84">
        <f>('TUSD BE'!$Y$46+'TUSD BF'!$Y$46+'TUSD CVA'!$Y$46)*1</f>
        <v>278.02072753503779</v>
      </c>
      <c r="Y46" s="84">
        <f>('TUSD BE'!$Z$46+'TUSD BF'!$Z$46+'TUSD CVA'!$Z$46)*1</f>
        <v>0</v>
      </c>
      <c r="Z46" s="84">
        <f>('TUSD BE'!$AA$46+'TUSD BF'!$AA$46+'TUSD CVA'!$AA$46)*1</f>
        <v>0</v>
      </c>
      <c r="AA46" s="84">
        <f>('TUSD BE'!$AC$46+'TUSD BF'!$AC$46+'TUSD CVA'!$AC$46)*1</f>
        <v>820.90416722953205</v>
      </c>
      <c r="AB46" s="84">
        <f ca="1">('TUSD BE'!$AE$46+'TUSD BF'!$AE$46+'TUSD CVA'!$AE$46)*1</f>
        <v>-1.6564510671015997</v>
      </c>
      <c r="AC46" s="84">
        <f ca="1">('TUSD BE'!$AF$46+'TUSD BF'!$AF$46+'TUSD CVA'!$AF$46)*1</f>
        <v>0</v>
      </c>
      <c r="AD46" s="84">
        <f>('TUSD BE'!$AH$46+'TUSD BF'!$AH$46+'TUSD CVA'!$AH$46)*1</f>
        <v>37.458314086654909</v>
      </c>
      <c r="AE46" s="84">
        <f>('TUSD BE'!$AI$46+'TUSD BF'!$AI$46+'TUSD CVA'!$AI$46)*1</f>
        <v>0</v>
      </c>
      <c r="AF46" s="84">
        <f ca="1">('TUSD BE'!$AJ$46+'TUSD BF'!$AJ$46+'TUSD CVA'!$AJ$46)*1</f>
        <v>0</v>
      </c>
      <c r="AG46" s="84">
        <f ca="1">('TUSD BE'!$AK$46+'TUSD BF'!$AK$46+'TUSD CVA'!$AK$46)*1</f>
        <v>0</v>
      </c>
      <c r="AI46" s="84">
        <v>0</v>
      </c>
      <c r="AJ46" s="84">
        <v>1.61574194917057</v>
      </c>
      <c r="AK46" s="84">
        <v>0</v>
      </c>
      <c r="AL46" s="84">
        <v>0</v>
      </c>
      <c r="AM46" s="84">
        <v>0</v>
      </c>
      <c r="AN46" s="84">
        <v>24.702005232096901</v>
      </c>
      <c r="AO46" s="84">
        <v>10.102108970403799</v>
      </c>
      <c r="AP46" s="84">
        <v>0</v>
      </c>
      <c r="AQ46" s="84">
        <v>0</v>
      </c>
      <c r="AR46" s="84">
        <v>0</v>
      </c>
      <c r="AS46" s="84">
        <v>0</v>
      </c>
      <c r="AT46" s="84">
        <v>0</v>
      </c>
      <c r="AU46" s="84">
        <v>237.087934074874</v>
      </c>
      <c r="AV46" s="84">
        <v>0</v>
      </c>
      <c r="AW46" s="84">
        <v>0</v>
      </c>
      <c r="AX46" s="84">
        <v>616.29385162117205</v>
      </c>
      <c r="AY46" s="84">
        <v>1.54992186500884</v>
      </c>
      <c r="AZ46" s="84">
        <v>0</v>
      </c>
      <c r="BA46" s="84">
        <v>34.531941736163702</v>
      </c>
      <c r="BB46" s="84">
        <v>0</v>
      </c>
      <c r="BC46" s="84">
        <v>0</v>
      </c>
      <c r="BD46" s="84">
        <v>0</v>
      </c>
    </row>
    <row r="47" spans="1:56" ht="11.25" customHeight="1" x14ac:dyDescent="0.25">
      <c r="A47" s="132"/>
      <c r="B47" s="132"/>
      <c r="C47" s="132"/>
      <c r="D47" s="132"/>
      <c r="E47" s="132"/>
      <c r="F47" s="132"/>
      <c r="G47" s="21" t="s">
        <v>71</v>
      </c>
      <c r="H47" s="21" t="s">
        <v>69</v>
      </c>
      <c r="I47" s="21">
        <f>'MERCADO TUSD'!$U$44</f>
        <v>5.0719999999999992</v>
      </c>
      <c r="J47" s="17"/>
      <c r="L47" s="84">
        <f>('TUSD BE'!$L$47+'TUSD BF'!$L$47+'TUSD CVA'!$L$47)*1</f>
        <v>0</v>
      </c>
      <c r="M47" s="84">
        <f>('TUSD BE'!$M$47+'TUSD BF'!$M$47+'TUSD CVA'!$M$47)*1</f>
        <v>2.0733889524506908</v>
      </c>
      <c r="N47" s="84">
        <f ca="1">('TUSD BE'!$N$47+'TUSD BF'!$N$47+'TUSD CVA'!$N$47)*1</f>
        <v>0</v>
      </c>
      <c r="O47" s="84">
        <f>('TUSD BE'!$O$47+'TUSD BF'!$O$47+'TUSD CVA'!$O$47)*1</f>
        <v>0</v>
      </c>
      <c r="P47" s="84">
        <f>('TUSD BE'!$P$47+'TUSD BF'!$P$47+'TUSD CVA'!$P$47)*1</f>
        <v>0</v>
      </c>
      <c r="Q47" s="84">
        <f>('TUSD BE'!$Q$47+'TUSD BF'!$Q$47+'TUSD CVA'!$Q$47)*1</f>
        <v>40.589004326175157</v>
      </c>
      <c r="R47" s="84">
        <f>('TUSD BE'!$R$47+'TUSD BF'!$R$47+'TUSD CVA'!$R$47)*1</f>
        <v>15.185312481265115</v>
      </c>
      <c r="S47" s="84">
        <f>('TUSD BE'!$S$47+'TUSD BF'!$S$47+'TUSD CVA'!$S$47)*1</f>
        <v>0</v>
      </c>
      <c r="T47" s="84">
        <f>('TUSD BE'!$U$47+'TUSD BF'!$U$47+'TUSD CVA'!$U$47)*1</f>
        <v>0</v>
      </c>
      <c r="U47" s="84">
        <f>('TUSD BE'!$V$47+'TUSD BF'!$V$47+'TUSD CVA'!$V$47)*1</f>
        <v>0</v>
      </c>
      <c r="V47" s="84">
        <f>('TUSD BE'!$W$47+'TUSD BF'!$W$47+'TUSD CVA'!$W$47)*1</f>
        <v>0</v>
      </c>
      <c r="W47" s="84">
        <f>('TUSD BE'!$X$47+'TUSD BF'!$X$47+'TUSD CVA'!$X$47)*1</f>
        <v>0</v>
      </c>
      <c r="X47" s="84">
        <f>('TUSD BE'!$Y$47+'TUSD BF'!$Y$47+'TUSD CVA'!$Y$47)*1</f>
        <v>92.67426525804116</v>
      </c>
      <c r="Y47" s="84">
        <f>('TUSD BE'!$Z$47+'TUSD BF'!$Z$47+'TUSD CVA'!$Z$47)*1</f>
        <v>0</v>
      </c>
      <c r="Z47" s="84">
        <f>('TUSD BE'!$AA$47+'TUSD BF'!$AA$47+'TUSD CVA'!$AA$47)*1</f>
        <v>0</v>
      </c>
      <c r="AA47" s="84">
        <f>('TUSD BE'!$AC$47+'TUSD BF'!$AC$47+'TUSD CVA'!$AC$47)*1</f>
        <v>273.6349277448931</v>
      </c>
      <c r="AB47" s="84">
        <f ca="1">('TUSD BE'!$AE$47+'TUSD BF'!$AE$47+'TUSD CVA'!$AE$47)*1</f>
        <v>-0.63030511266429512</v>
      </c>
      <c r="AC47" s="84">
        <f ca="1">('TUSD BE'!$AF$47+'TUSD BF'!$AF$47+'TUSD CVA'!$AF$47)*1</f>
        <v>0</v>
      </c>
      <c r="AD47" s="84">
        <f>('TUSD BE'!$AH$47+'TUSD BF'!$AH$47+'TUSD CVA'!$AH$47)*1</f>
        <v>37.458314086654909</v>
      </c>
      <c r="AE47" s="84">
        <f>('TUSD BE'!$AI$47+'TUSD BF'!$AI$47+'TUSD CVA'!$AI$47)*1</f>
        <v>0</v>
      </c>
      <c r="AF47" s="84">
        <f ca="1">('TUSD BE'!$AJ$47+'TUSD BF'!$AJ$47+'TUSD CVA'!$AJ$47)*1</f>
        <v>0</v>
      </c>
      <c r="AG47" s="84">
        <f ca="1">('TUSD BE'!$AK$47+'TUSD BF'!$AK$47+'TUSD CVA'!$AK$47)*1</f>
        <v>0</v>
      </c>
      <c r="AI47" s="84">
        <v>0</v>
      </c>
      <c r="AJ47" s="84">
        <v>1.61574194917057</v>
      </c>
      <c r="AK47" s="84">
        <v>0</v>
      </c>
      <c r="AL47" s="84">
        <v>0</v>
      </c>
      <c r="AM47" s="84">
        <v>0</v>
      </c>
      <c r="AN47" s="84">
        <v>24.702005232096901</v>
      </c>
      <c r="AO47" s="84">
        <v>10.102108970403799</v>
      </c>
      <c r="AP47" s="84">
        <v>0</v>
      </c>
      <c r="AQ47" s="84">
        <v>0</v>
      </c>
      <c r="AR47" s="84">
        <v>0</v>
      </c>
      <c r="AS47" s="84">
        <v>0</v>
      </c>
      <c r="AT47" s="84">
        <v>0</v>
      </c>
      <c r="AU47" s="84">
        <v>79.029951233856295</v>
      </c>
      <c r="AV47" s="84">
        <v>0</v>
      </c>
      <c r="AW47" s="84">
        <v>0</v>
      </c>
      <c r="AX47" s="84">
        <v>205.431404323062</v>
      </c>
      <c r="AY47" s="84">
        <v>0.58231505172868403</v>
      </c>
      <c r="AZ47" s="84">
        <v>0</v>
      </c>
      <c r="BA47" s="84">
        <v>34.531941736163702</v>
      </c>
      <c r="BB47" s="84">
        <v>0</v>
      </c>
      <c r="BC47" s="84">
        <v>0</v>
      </c>
      <c r="BD47" s="84">
        <v>0</v>
      </c>
    </row>
    <row r="48" spans="1:56" ht="11.25" customHeight="1" x14ac:dyDescent="0.25">
      <c r="A48" s="132"/>
      <c r="B48" s="86" t="s">
        <v>23</v>
      </c>
      <c r="C48" s="86" t="s">
        <v>25</v>
      </c>
      <c r="D48" s="86" t="s">
        <v>25</v>
      </c>
      <c r="E48" s="86" t="s">
        <v>25</v>
      </c>
      <c r="F48" s="86" t="s">
        <v>25</v>
      </c>
      <c r="G48" s="21" t="s">
        <v>73</v>
      </c>
      <c r="H48" s="21" t="s">
        <v>69</v>
      </c>
      <c r="I48" s="21">
        <f>'MERCADO TUSD'!$U$45</f>
        <v>1791.422</v>
      </c>
      <c r="J48" s="17"/>
      <c r="L48" s="84">
        <f>('TUSD BE'!$L$48+'TUSD BF'!$L$48+'TUSD CVA'!$L$48)*1</f>
        <v>0</v>
      </c>
      <c r="M48" s="84">
        <f>('TUSD BE'!$M$48+'TUSD BF'!$M$48+'TUSD CVA'!$M$48)*1</f>
        <v>2.0733889524506908</v>
      </c>
      <c r="N48" s="84">
        <f ca="1">('TUSD BE'!$N$48+'TUSD BF'!$N$48+'TUSD CVA'!$N$48)*1</f>
        <v>0</v>
      </c>
      <c r="O48" s="84">
        <f>('TUSD BE'!$O$48+'TUSD BF'!$O$48+'TUSD CVA'!$O$48)*1</f>
        <v>0</v>
      </c>
      <c r="P48" s="84">
        <f>('TUSD BE'!$P$48+'TUSD BF'!$P$48+'TUSD CVA'!$P$48)*1</f>
        <v>0</v>
      </c>
      <c r="Q48" s="84">
        <f>('TUSD BE'!$Q$48+'TUSD BF'!$Q$48+'TUSD CVA'!$Q$48)*1</f>
        <v>40.589004326175157</v>
      </c>
      <c r="R48" s="84">
        <f>('TUSD BE'!$R$48+'TUSD BF'!$R$48+'TUSD CVA'!$R$48)*1</f>
        <v>15.185312481265115</v>
      </c>
      <c r="S48" s="84">
        <f>('TUSD BE'!$S$48+'TUSD BF'!$S$48+'TUSD CVA'!$S$48)*1</f>
        <v>0</v>
      </c>
      <c r="T48" s="84">
        <f>('TUSD BE'!$U$48+'TUSD BF'!$U$48+'TUSD CVA'!$U$48)*1</f>
        <v>0</v>
      </c>
      <c r="U48" s="84">
        <f>('TUSD BE'!$V$48+'TUSD BF'!$V$48+'TUSD CVA'!$V$48)*1</f>
        <v>0</v>
      </c>
      <c r="V48" s="84">
        <f>('TUSD BE'!$W$48+'TUSD BF'!$W$48+'TUSD CVA'!$W$48)*1</f>
        <v>0</v>
      </c>
      <c r="W48" s="84">
        <f>('TUSD BE'!$X$48+'TUSD BF'!$X$48+'TUSD CVA'!$X$48)*1</f>
        <v>0</v>
      </c>
      <c r="X48" s="84">
        <f>('TUSD BE'!$Y$48+'TUSD BF'!$Y$48+'TUSD CVA'!$Y$48)*1</f>
        <v>142.5735747288266</v>
      </c>
      <c r="Y48" s="84">
        <f>('TUSD BE'!$Z$48+'TUSD BF'!$Z$48+'TUSD CVA'!$Z$48)*1</f>
        <v>0</v>
      </c>
      <c r="Z48" s="84">
        <f>('TUSD BE'!$AA$48+'TUSD BF'!$AA$48+'TUSD CVA'!$AA$48)*1</f>
        <v>0</v>
      </c>
      <c r="AA48" s="84">
        <f>('TUSD BE'!$AC$48+'TUSD BF'!$AC$48+'TUSD CVA'!$AC$48)*1</f>
        <v>420.97637755261638</v>
      </c>
      <c r="AB48" s="84">
        <f ca="1">('TUSD BE'!$AE$48+'TUSD BF'!$AE$48+'TUSD CVA'!$AE$48)*1</f>
        <v>-0.9065728576646378</v>
      </c>
      <c r="AC48" s="84">
        <f ca="1">('TUSD BE'!$AF$48+'TUSD BF'!$AF$48+'TUSD CVA'!$AF$48)*1</f>
        <v>0</v>
      </c>
      <c r="AD48" s="84">
        <f>('TUSD BE'!$AH$48+'TUSD BF'!$AH$48+'TUSD CVA'!$AH$48)*1</f>
        <v>37.458314086654909</v>
      </c>
      <c r="AE48" s="84">
        <f>('TUSD BE'!$AI$48+'TUSD BF'!$AI$48+'TUSD CVA'!$AI$48)*1</f>
        <v>0</v>
      </c>
      <c r="AF48" s="84">
        <f ca="1">('TUSD BE'!$AJ$48+'TUSD BF'!$AJ$48+'TUSD CVA'!$AJ$48)*1</f>
        <v>0</v>
      </c>
      <c r="AG48" s="84">
        <f ca="1">('TUSD BE'!$AK$48+'TUSD BF'!$AK$48+'TUSD CVA'!$AK$48)*1</f>
        <v>0</v>
      </c>
      <c r="AI48" s="84">
        <v>0</v>
      </c>
      <c r="AJ48" s="84">
        <v>1.61574194917057</v>
      </c>
      <c r="AK48" s="84">
        <v>0</v>
      </c>
      <c r="AL48" s="84">
        <v>0</v>
      </c>
      <c r="AM48" s="84">
        <v>0</v>
      </c>
      <c r="AN48" s="84">
        <v>24.702005232096901</v>
      </c>
      <c r="AO48" s="84">
        <v>10.102108970403799</v>
      </c>
      <c r="AP48" s="84">
        <v>0</v>
      </c>
      <c r="AQ48" s="84">
        <v>0</v>
      </c>
      <c r="AR48" s="84">
        <v>0</v>
      </c>
      <c r="AS48" s="84">
        <v>0</v>
      </c>
      <c r="AT48" s="84">
        <v>0</v>
      </c>
      <c r="AU48" s="84">
        <v>121.582556130263</v>
      </c>
      <c r="AV48" s="84">
        <v>0</v>
      </c>
      <c r="AW48" s="84">
        <v>0</v>
      </c>
      <c r="AX48" s="84">
        <v>316.04805306076202</v>
      </c>
      <c r="AY48" s="84">
        <v>0.84282228125778003</v>
      </c>
      <c r="AZ48" s="84">
        <v>0</v>
      </c>
      <c r="BA48" s="84">
        <v>34.531941736163702</v>
      </c>
      <c r="BB48" s="84">
        <v>0</v>
      </c>
      <c r="BC48" s="84">
        <v>0</v>
      </c>
      <c r="BD48" s="84">
        <v>0</v>
      </c>
    </row>
    <row r="49" spans="1:56" ht="11.25" customHeight="1" x14ac:dyDescent="0.25">
      <c r="A49" s="132"/>
      <c r="B49" s="86" t="s">
        <v>85</v>
      </c>
      <c r="C49" s="86" t="s">
        <v>25</v>
      </c>
      <c r="D49" s="86" t="s">
        <v>25</v>
      </c>
      <c r="E49" s="86" t="s">
        <v>25</v>
      </c>
      <c r="F49" s="86" t="s">
        <v>25</v>
      </c>
      <c r="G49" s="21" t="s">
        <v>73</v>
      </c>
      <c r="H49" s="21" t="s">
        <v>69</v>
      </c>
      <c r="I49" s="21">
        <f>'MERCADO TUSD'!$U$46</f>
        <v>0</v>
      </c>
      <c r="J49" s="17"/>
      <c r="L49" s="84">
        <f>('TUSD BE'!$L$49+'TUSD BF'!$L$49+'TUSD CVA'!$L$49)*1</f>
        <v>0</v>
      </c>
      <c r="M49" s="84">
        <f>('TUSD BE'!$M$49+'TUSD BF'!$M$49+'TUSD CVA'!$M$49)*1</f>
        <v>2.0733889524506908</v>
      </c>
      <c r="N49" s="84">
        <f ca="1">('TUSD BE'!$N$49+'TUSD BF'!$N$49+'TUSD CVA'!$N$49)*1</f>
        <v>0</v>
      </c>
      <c r="O49" s="84">
        <f>('TUSD BE'!$O$49+'TUSD BF'!$O$49+'TUSD CVA'!$O$49)*1</f>
        <v>0</v>
      </c>
      <c r="P49" s="84">
        <f>('TUSD BE'!$P$49+'TUSD BF'!$P$49+'TUSD CVA'!$P$49)*1</f>
        <v>0</v>
      </c>
      <c r="Q49" s="84">
        <f>('TUSD BE'!$Q$49+'TUSD BF'!$Q$49+'TUSD CVA'!$Q$49)*1</f>
        <v>40.589004326175157</v>
      </c>
      <c r="R49" s="84">
        <f>('TUSD BE'!$R$49+'TUSD BF'!$R$49+'TUSD CVA'!$R$49)*1</f>
        <v>15.185312481265115</v>
      </c>
      <c r="S49" s="84">
        <f>('TUSD BE'!$S$49+'TUSD BF'!$S$49+'TUSD CVA'!$S$49)*1</f>
        <v>0</v>
      </c>
      <c r="T49" s="84">
        <f>('TUSD BE'!$U$49+'TUSD BF'!$U$49+'TUSD CVA'!$U$49)*1</f>
        <v>0</v>
      </c>
      <c r="U49" s="84">
        <f>('TUSD BE'!$V$49+'TUSD BF'!$V$49+'TUSD CVA'!$V$49)*1</f>
        <v>0</v>
      </c>
      <c r="V49" s="84">
        <f>('TUSD BE'!$W$49+'TUSD BF'!$W$49+'TUSD CVA'!$W$49)*1</f>
        <v>0</v>
      </c>
      <c r="W49" s="84">
        <f>('TUSD BE'!$X$49+'TUSD BF'!$X$49+'TUSD CVA'!$X$49)*1</f>
        <v>0</v>
      </c>
      <c r="X49" s="84">
        <f>('TUSD BE'!$Y$49+'TUSD BF'!$Y$49+'TUSD CVA'!$Y$49)*1</f>
        <v>142.5735747288266</v>
      </c>
      <c r="Y49" s="84">
        <f>('TUSD BE'!$Z$49+'TUSD BF'!$Z$49+'TUSD CVA'!$Z$49)*1</f>
        <v>0</v>
      </c>
      <c r="Z49" s="84">
        <f>('TUSD BE'!$AA$49+'TUSD BF'!$AA$49+'TUSD CVA'!$AA$49)*1</f>
        <v>0</v>
      </c>
      <c r="AA49" s="84">
        <f>('TUSD BE'!$AC$49+'TUSD BF'!$AC$49+'TUSD CVA'!$AC$49)*1</f>
        <v>420.97637755261638</v>
      </c>
      <c r="AB49" s="84">
        <f ca="1">('TUSD BE'!$AE$49+'TUSD BF'!$AE$49+'TUSD CVA'!$AE$49)*1</f>
        <v>-0.9065728576646378</v>
      </c>
      <c r="AC49" s="84">
        <f ca="1">('TUSD BE'!$AF$49+'TUSD BF'!$AF$49+'TUSD CVA'!$AF$49)*1</f>
        <v>0</v>
      </c>
      <c r="AD49" s="84">
        <f>('TUSD BE'!$AH$49+'TUSD BF'!$AH$49+'TUSD CVA'!$AH$49)*1</f>
        <v>37.458314086654909</v>
      </c>
      <c r="AE49" s="84">
        <f>('TUSD BE'!$AI$49+'TUSD BF'!$AI$49+'TUSD CVA'!$AI$49)*1</f>
        <v>0</v>
      </c>
      <c r="AF49" s="84">
        <f ca="1">('TUSD BE'!$AJ$49+'TUSD BF'!$AJ$49+'TUSD CVA'!$AJ$49)*1</f>
        <v>0</v>
      </c>
      <c r="AG49" s="84">
        <f ca="1">('TUSD BE'!$AK$49+'TUSD BF'!$AK$49+'TUSD CVA'!$AK$49)*1</f>
        <v>0</v>
      </c>
      <c r="AI49" s="84">
        <v>0</v>
      </c>
      <c r="AJ49" s="84">
        <v>1.61574194917057</v>
      </c>
      <c r="AK49" s="84">
        <v>0</v>
      </c>
      <c r="AL49" s="84">
        <v>0</v>
      </c>
      <c r="AM49" s="84">
        <v>0</v>
      </c>
      <c r="AN49" s="84">
        <v>24.702005232096901</v>
      </c>
      <c r="AO49" s="84">
        <v>10.102108970403799</v>
      </c>
      <c r="AP49" s="84">
        <v>0</v>
      </c>
      <c r="AQ49" s="84">
        <v>0</v>
      </c>
      <c r="AR49" s="84">
        <v>0</v>
      </c>
      <c r="AS49" s="84">
        <v>0</v>
      </c>
      <c r="AT49" s="84">
        <v>0</v>
      </c>
      <c r="AU49" s="84">
        <v>121.582556130263</v>
      </c>
      <c r="AV49" s="84">
        <v>0</v>
      </c>
      <c r="AW49" s="84">
        <v>0</v>
      </c>
      <c r="AX49" s="84">
        <v>316.04805306076202</v>
      </c>
      <c r="AY49" s="84">
        <v>0.84282228125778003</v>
      </c>
      <c r="AZ49" s="84">
        <v>0</v>
      </c>
      <c r="BA49" s="84">
        <v>34.531941736163702</v>
      </c>
      <c r="BB49" s="84">
        <v>0</v>
      </c>
      <c r="BC49" s="84">
        <v>0</v>
      </c>
      <c r="BD49" s="84">
        <v>0</v>
      </c>
    </row>
    <row r="50" spans="1:56" ht="11.25" customHeight="1" x14ac:dyDescent="0.25">
      <c r="A50" s="132" t="s">
        <v>44</v>
      </c>
      <c r="B50" s="132" t="s">
        <v>23</v>
      </c>
      <c r="C50" s="132" t="s">
        <v>45</v>
      </c>
      <c r="D50" s="86" t="s">
        <v>46</v>
      </c>
      <c r="E50" s="86" t="s">
        <v>25</v>
      </c>
      <c r="F50" s="86" t="s">
        <v>25</v>
      </c>
      <c r="G50" s="21" t="s">
        <v>73</v>
      </c>
      <c r="H50" s="21" t="s">
        <v>69</v>
      </c>
      <c r="I50" s="21">
        <f>'MERCADO TUSD'!$U$47</f>
        <v>1518.0680000000002</v>
      </c>
      <c r="J50" s="17"/>
      <c r="L50" s="84">
        <f>('TUSD BE'!$L$50+'TUSD BF'!$L$50+'TUSD CVA'!$L$50)*1</f>
        <v>0</v>
      </c>
      <c r="M50" s="84">
        <f>('TUSD BE'!$M$50+'TUSD BF'!$M$50+'TUSD CVA'!$M$50)*1</f>
        <v>1.14036392384788</v>
      </c>
      <c r="N50" s="84">
        <f ca="1">('TUSD BE'!$N$50+'TUSD BF'!$N$50+'TUSD CVA'!$N$50)*1</f>
        <v>0</v>
      </c>
      <c r="O50" s="84">
        <f>('TUSD BE'!$O$50+'TUSD BF'!$O$50+'TUSD CVA'!$O$50)*1</f>
        <v>0</v>
      </c>
      <c r="P50" s="84">
        <f>('TUSD BE'!$P$50+'TUSD BF'!$P$50+'TUSD CVA'!$P$50)*1</f>
        <v>0</v>
      </c>
      <c r="Q50" s="84">
        <f>('TUSD BE'!$Q$50+'TUSD BF'!$Q$50+'TUSD CVA'!$Q$50)*1</f>
        <v>22.323952379396339</v>
      </c>
      <c r="R50" s="84">
        <f>('TUSD BE'!$R$50+'TUSD BF'!$R$50+'TUSD CVA'!$R$50)*1</f>
        <v>8.3519218646958144</v>
      </c>
      <c r="S50" s="84">
        <f>('TUSD BE'!$S$50+'TUSD BF'!$S$50+'TUSD CVA'!$S$50)*1</f>
        <v>0</v>
      </c>
      <c r="T50" s="84">
        <f>('TUSD BE'!$U$50+'TUSD BF'!$U$50+'TUSD CVA'!$U$50)*1</f>
        <v>0</v>
      </c>
      <c r="U50" s="84">
        <f>('TUSD BE'!$V$50+'TUSD BF'!$V$50+'TUSD CVA'!$V$50)*1</f>
        <v>0</v>
      </c>
      <c r="V50" s="84">
        <f>('TUSD BE'!$W$50+'TUSD BF'!$W$50+'TUSD CVA'!$W$50)*1</f>
        <v>0</v>
      </c>
      <c r="W50" s="84">
        <f>('TUSD BE'!$X$50+'TUSD BF'!$X$50+'TUSD CVA'!$X$50)*1</f>
        <v>0</v>
      </c>
      <c r="X50" s="84">
        <f>('TUSD BE'!$Y$50+'TUSD BF'!$Y$50+'TUSD CVA'!$Y$50)*1</f>
        <v>78.415466100854658</v>
      </c>
      <c r="Y50" s="84">
        <f>('TUSD BE'!$Z$50+'TUSD BF'!$Z$50+'TUSD CVA'!$Z$50)*1</f>
        <v>0</v>
      </c>
      <c r="Z50" s="84">
        <f>('TUSD BE'!$AA$50+'TUSD BF'!$AA$50+'TUSD CVA'!$AA$50)*1</f>
        <v>0</v>
      </c>
      <c r="AA50" s="84">
        <f>('TUSD BE'!$AC$50+'TUSD BF'!$AC$50+'TUSD CVA'!$AC$50)*1</f>
        <v>231.53700765393904</v>
      </c>
      <c r="AB50" s="84">
        <f ca="1">('TUSD BE'!$AE$50+'TUSD BF'!$AE$50+'TUSD CVA'!$AE$50)*1</f>
        <v>-0.49861507171555092</v>
      </c>
      <c r="AC50" s="84">
        <f ca="1">('TUSD BE'!$AF$50+'TUSD BF'!$AF$50+'TUSD CVA'!$AF$50)*1</f>
        <v>0</v>
      </c>
      <c r="AD50" s="84">
        <f>('TUSD BE'!$AH$50+'TUSD BF'!$AH$50+'TUSD CVA'!$AH$50)*1</f>
        <v>20.602072747660202</v>
      </c>
      <c r="AE50" s="84">
        <f>('TUSD BE'!$AI$50+'TUSD BF'!$AI$50+'TUSD CVA'!$AI$50)*1</f>
        <v>0</v>
      </c>
      <c r="AF50" s="84">
        <f ca="1">('TUSD BE'!$AJ$50+'TUSD BF'!$AJ$50+'TUSD CVA'!$AJ$50)*1</f>
        <v>0</v>
      </c>
      <c r="AG50" s="84">
        <f ca="1">('TUSD BE'!$AK$50+'TUSD BF'!$AK$50+'TUSD CVA'!$AK$50)*1</f>
        <v>0</v>
      </c>
      <c r="AI50" s="84">
        <v>0</v>
      </c>
      <c r="AJ50" s="84">
        <v>0.88865807204381397</v>
      </c>
      <c r="AK50" s="84">
        <v>0</v>
      </c>
      <c r="AL50" s="84">
        <v>0</v>
      </c>
      <c r="AM50" s="84">
        <v>0</v>
      </c>
      <c r="AN50" s="84">
        <v>13.5861028776533</v>
      </c>
      <c r="AO50" s="84">
        <v>5.5561599337221104</v>
      </c>
      <c r="AP50" s="84">
        <v>0</v>
      </c>
      <c r="AQ50" s="84">
        <v>0</v>
      </c>
      <c r="AR50" s="84">
        <v>0</v>
      </c>
      <c r="AS50" s="84">
        <v>0</v>
      </c>
      <c r="AT50" s="84">
        <v>0</v>
      </c>
      <c r="AU50" s="84">
        <v>66.870405871644493</v>
      </c>
      <c r="AV50" s="84">
        <v>0</v>
      </c>
      <c r="AW50" s="84">
        <v>0</v>
      </c>
      <c r="AX50" s="84">
        <v>173.82642918341901</v>
      </c>
      <c r="AY50" s="84">
        <v>0.46355225469177902</v>
      </c>
      <c r="AZ50" s="84">
        <v>0</v>
      </c>
      <c r="BA50" s="84">
        <v>18.992567954889999</v>
      </c>
      <c r="BB50" s="84">
        <v>0</v>
      </c>
      <c r="BC50" s="84">
        <v>0</v>
      </c>
      <c r="BD50" s="84">
        <v>0</v>
      </c>
    </row>
    <row r="51" spans="1:56" ht="11.25" customHeight="1" x14ac:dyDescent="0.25">
      <c r="A51" s="132"/>
      <c r="B51" s="132"/>
      <c r="C51" s="132"/>
      <c r="D51" s="21" t="s">
        <v>88</v>
      </c>
      <c r="E51" s="21" t="s">
        <v>25</v>
      </c>
      <c r="F51" s="21" t="s">
        <v>25</v>
      </c>
      <c r="G51" s="21" t="s">
        <v>73</v>
      </c>
      <c r="H51" s="21" t="s">
        <v>69</v>
      </c>
      <c r="I51" s="21">
        <f>'MERCADO TUSD'!$U$48</f>
        <v>0</v>
      </c>
      <c r="J51" s="17"/>
      <c r="L51" s="84">
        <f>('TUSD BE'!$L$51+'TUSD BF'!$L$51+'TUSD CVA'!$L$51)*1</f>
        <v>0</v>
      </c>
      <c r="M51" s="84">
        <f>('TUSD BE'!$M$51+'TUSD BF'!$M$51+'TUSD CVA'!$M$51)*1</f>
        <v>1.2440333714704146</v>
      </c>
      <c r="N51" s="84">
        <f ca="1">('TUSD BE'!$N$51+'TUSD BF'!$N$51+'TUSD CVA'!$N$51)*1</f>
        <v>0</v>
      </c>
      <c r="O51" s="84">
        <f>('TUSD BE'!$O$51+'TUSD BF'!$O$51+'TUSD CVA'!$O$51)*1</f>
        <v>0</v>
      </c>
      <c r="P51" s="84">
        <f>('TUSD BE'!$P$51+'TUSD BF'!$P$51+'TUSD CVA'!$P$51)*1</f>
        <v>0</v>
      </c>
      <c r="Q51" s="84">
        <f>('TUSD BE'!$Q$51+'TUSD BF'!$Q$51+'TUSD CVA'!$Q$51)*1</f>
        <v>24.353402595705095</v>
      </c>
      <c r="R51" s="84">
        <f>('TUSD BE'!$R$51+'TUSD BF'!$R$51+'TUSD CVA'!$R$51)*1</f>
        <v>9.111187488759068</v>
      </c>
      <c r="S51" s="84">
        <f>('TUSD BE'!$S$51+'TUSD BF'!$S$51+'TUSD CVA'!$S$51)*1</f>
        <v>0</v>
      </c>
      <c r="T51" s="84">
        <f>('TUSD BE'!$U$51+'TUSD BF'!$U$51+'TUSD CVA'!$U$51)*1</f>
        <v>0</v>
      </c>
      <c r="U51" s="84">
        <f>('TUSD BE'!$V$51+'TUSD BF'!$V$51+'TUSD CVA'!$V$51)*1</f>
        <v>0</v>
      </c>
      <c r="V51" s="84">
        <f>('TUSD BE'!$W$51+'TUSD BF'!$W$51+'TUSD CVA'!$W$51)*1</f>
        <v>0</v>
      </c>
      <c r="W51" s="84">
        <f>('TUSD BE'!$X$51+'TUSD BF'!$X$51+'TUSD CVA'!$X$51)*1</f>
        <v>0</v>
      </c>
      <c r="X51" s="84">
        <f>('TUSD BE'!$Y$51+'TUSD BF'!$Y$51+'TUSD CVA'!$Y$51)*1</f>
        <v>85.54414483729596</v>
      </c>
      <c r="Y51" s="84">
        <f>('TUSD BE'!$Z$51+'TUSD BF'!$Z$51+'TUSD CVA'!$Z$51)*1</f>
        <v>0</v>
      </c>
      <c r="Z51" s="84">
        <f>('TUSD BE'!$AA$51+'TUSD BF'!$AA$51+'TUSD CVA'!$AA$51)*1</f>
        <v>0</v>
      </c>
      <c r="AA51" s="84">
        <f>('TUSD BE'!$AC$51+'TUSD BF'!$AC$51+'TUSD CVA'!$AC$51)*1</f>
        <v>252.58582653156984</v>
      </c>
      <c r="AB51" s="84">
        <f ca="1">('TUSD BE'!$AE$51+'TUSD BF'!$AE$51+'TUSD CVA'!$AE$51)*1</f>
        <v>-0.54394371459878277</v>
      </c>
      <c r="AC51" s="84">
        <f ca="1">('TUSD BE'!$AF$51+'TUSD BF'!$AF$51+'TUSD CVA'!$AF$51)*1</f>
        <v>0</v>
      </c>
      <c r="AD51" s="84">
        <f>('TUSD BE'!$AH$51+'TUSD BF'!$AH$51+'TUSD CVA'!$AH$51)*1</f>
        <v>22.474988451992946</v>
      </c>
      <c r="AE51" s="84">
        <f>('TUSD BE'!$AI$51+'TUSD BF'!$AI$51+'TUSD CVA'!$AI$51)*1</f>
        <v>0</v>
      </c>
      <c r="AF51" s="84">
        <f ca="1">('TUSD BE'!$AJ$51+'TUSD BF'!$AJ$51+'TUSD CVA'!$AJ$51)*1</f>
        <v>0</v>
      </c>
      <c r="AG51" s="84">
        <f ca="1">('TUSD BE'!$AK$51+'TUSD BF'!$AK$51+'TUSD CVA'!$AK$51)*1</f>
        <v>0</v>
      </c>
      <c r="AI51" s="84">
        <v>0</v>
      </c>
      <c r="AJ51" s="84">
        <v>0.96944516950234205</v>
      </c>
      <c r="AK51" s="84">
        <v>0</v>
      </c>
      <c r="AL51" s="84">
        <v>0</v>
      </c>
      <c r="AM51" s="84">
        <v>0</v>
      </c>
      <c r="AN51" s="84">
        <v>14.821203139258101</v>
      </c>
      <c r="AO51" s="84">
        <v>6.0612653822422997</v>
      </c>
      <c r="AP51" s="84">
        <v>0</v>
      </c>
      <c r="AQ51" s="84">
        <v>0</v>
      </c>
      <c r="AR51" s="84">
        <v>0</v>
      </c>
      <c r="AS51" s="84">
        <v>0</v>
      </c>
      <c r="AT51" s="84">
        <v>0</v>
      </c>
      <c r="AU51" s="84">
        <v>72.949533678157593</v>
      </c>
      <c r="AV51" s="84">
        <v>0</v>
      </c>
      <c r="AW51" s="84">
        <v>0</v>
      </c>
      <c r="AX51" s="84">
        <v>189.62883183645701</v>
      </c>
      <c r="AY51" s="84">
        <v>0.50569336875466797</v>
      </c>
      <c r="AZ51" s="84">
        <v>0</v>
      </c>
      <c r="BA51" s="84">
        <v>20.719165041698201</v>
      </c>
      <c r="BB51" s="84">
        <v>0</v>
      </c>
      <c r="BC51" s="84">
        <v>0</v>
      </c>
      <c r="BD51" s="84">
        <v>0</v>
      </c>
    </row>
    <row r="53" spans="1:56" ht="11.25" customHeight="1" x14ac:dyDescent="0.25">
      <c r="L53" s="129" t="s">
        <v>807</v>
      </c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129"/>
      <c r="AF53" s="129"/>
      <c r="AG53" s="129"/>
      <c r="AI53" s="129" t="s">
        <v>808</v>
      </c>
      <c r="AJ53" s="129"/>
      <c r="AK53" s="129"/>
      <c r="AL53" s="129"/>
      <c r="AM53" s="129"/>
      <c r="AN53" s="129"/>
      <c r="AO53" s="129"/>
      <c r="AP53" s="129"/>
      <c r="AQ53" s="129"/>
      <c r="AR53" s="129"/>
      <c r="AS53" s="129"/>
      <c r="AT53" s="129"/>
      <c r="AU53" s="129"/>
      <c r="AV53" s="129"/>
      <c r="AW53" s="129"/>
      <c r="AX53" s="129"/>
      <c r="AY53" s="129"/>
      <c r="AZ53" s="129"/>
      <c r="BA53" s="129"/>
      <c r="BB53" s="129"/>
      <c r="BC53" s="129"/>
      <c r="BD53" s="129"/>
    </row>
    <row r="54" spans="1:56" ht="11.25" customHeight="1" x14ac:dyDescent="0.25">
      <c r="L54" s="129" t="s">
        <v>508</v>
      </c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  <c r="AA54" s="129"/>
      <c r="AB54" s="129"/>
      <c r="AC54" s="129"/>
      <c r="AD54" s="129"/>
      <c r="AE54" s="129"/>
      <c r="AF54" s="129"/>
      <c r="AG54" s="129"/>
      <c r="AI54" s="129" t="s">
        <v>508</v>
      </c>
      <c r="AJ54" s="129"/>
      <c r="AK54" s="129"/>
      <c r="AL54" s="129"/>
      <c r="AM54" s="129"/>
      <c r="AN54" s="129"/>
      <c r="AO54" s="129"/>
      <c r="AP54" s="129"/>
      <c r="AQ54" s="129"/>
      <c r="AR54" s="129"/>
      <c r="AS54" s="129"/>
      <c r="AT54" s="129"/>
      <c r="AU54" s="129"/>
      <c r="AV54" s="129"/>
      <c r="AW54" s="129"/>
      <c r="AX54" s="129"/>
      <c r="AY54" s="129"/>
      <c r="AZ54" s="129"/>
      <c r="BA54" s="129"/>
      <c r="BB54" s="129"/>
      <c r="BC54" s="129"/>
      <c r="BD54" s="129"/>
    </row>
    <row r="55" spans="1:56" ht="11.25" customHeight="1" x14ac:dyDescent="0.25">
      <c r="L55" s="129" t="s">
        <v>509</v>
      </c>
      <c r="M55" s="129"/>
      <c r="N55" s="129"/>
      <c r="O55" s="129"/>
      <c r="P55" s="129"/>
      <c r="Q55" s="129"/>
      <c r="R55" s="129"/>
      <c r="S55" s="129"/>
      <c r="T55" s="129" t="s">
        <v>518</v>
      </c>
      <c r="U55" s="129"/>
      <c r="V55" s="129"/>
      <c r="W55" s="129"/>
      <c r="X55" s="129"/>
      <c r="Y55" s="129"/>
      <c r="Z55" s="129"/>
      <c r="AA55" s="85" t="s">
        <v>526</v>
      </c>
      <c r="AB55" s="129" t="s">
        <v>528</v>
      </c>
      <c r="AC55" s="129"/>
      <c r="AD55" s="129" t="s">
        <v>531</v>
      </c>
      <c r="AE55" s="129"/>
      <c r="AF55" s="129"/>
      <c r="AG55" s="129"/>
      <c r="AI55" s="129" t="s">
        <v>509</v>
      </c>
      <c r="AJ55" s="129"/>
      <c r="AK55" s="129"/>
      <c r="AL55" s="129"/>
      <c r="AM55" s="129"/>
      <c r="AN55" s="129"/>
      <c r="AO55" s="129"/>
      <c r="AP55" s="129"/>
      <c r="AQ55" s="129" t="s">
        <v>518</v>
      </c>
      <c r="AR55" s="129"/>
      <c r="AS55" s="129"/>
      <c r="AT55" s="129"/>
      <c r="AU55" s="129"/>
      <c r="AV55" s="129"/>
      <c r="AW55" s="129"/>
      <c r="AX55" s="85" t="s">
        <v>526</v>
      </c>
      <c r="AY55" s="129" t="s">
        <v>528</v>
      </c>
      <c r="AZ55" s="129"/>
      <c r="BA55" s="129" t="s">
        <v>531</v>
      </c>
      <c r="BB55" s="129"/>
      <c r="BC55" s="129"/>
      <c r="BD55" s="129"/>
    </row>
    <row r="56" spans="1:56" ht="11.25" customHeight="1" x14ac:dyDescent="0.25">
      <c r="L56" s="85" t="s">
        <v>593</v>
      </c>
      <c r="M56" s="85" t="s">
        <v>510</v>
      </c>
      <c r="N56" s="85" t="s">
        <v>511</v>
      </c>
      <c r="O56" s="85" t="s">
        <v>512</v>
      </c>
      <c r="P56" s="85" t="s">
        <v>513</v>
      </c>
      <c r="Q56" s="85" t="s">
        <v>514</v>
      </c>
      <c r="R56" s="85" t="s">
        <v>515</v>
      </c>
      <c r="S56" s="85" t="s">
        <v>516</v>
      </c>
      <c r="T56" s="85" t="s">
        <v>519</v>
      </c>
      <c r="U56" s="85" t="s">
        <v>520</v>
      </c>
      <c r="V56" s="85" t="s">
        <v>521</v>
      </c>
      <c r="W56" s="85" t="s">
        <v>522</v>
      </c>
      <c r="X56" s="85" t="s">
        <v>523</v>
      </c>
      <c r="Y56" s="85" t="s">
        <v>524</v>
      </c>
      <c r="Z56" s="85" t="s">
        <v>525</v>
      </c>
      <c r="AA56" s="85" t="s">
        <v>527</v>
      </c>
      <c r="AB56" s="85" t="s">
        <v>529</v>
      </c>
      <c r="AC56" s="85" t="s">
        <v>530</v>
      </c>
      <c r="AD56" s="85" t="s">
        <v>532</v>
      </c>
      <c r="AE56" s="85" t="s">
        <v>533</v>
      </c>
      <c r="AF56" s="85" t="s">
        <v>534</v>
      </c>
      <c r="AG56" s="85" t="s">
        <v>535</v>
      </c>
      <c r="AI56" s="85" t="s">
        <v>593</v>
      </c>
      <c r="AJ56" s="85" t="s">
        <v>510</v>
      </c>
      <c r="AK56" s="85" t="s">
        <v>511</v>
      </c>
      <c r="AL56" s="85" t="s">
        <v>512</v>
      </c>
      <c r="AM56" s="85" t="s">
        <v>513</v>
      </c>
      <c r="AN56" s="85" t="s">
        <v>514</v>
      </c>
      <c r="AO56" s="85" t="s">
        <v>515</v>
      </c>
      <c r="AP56" s="85" t="s">
        <v>516</v>
      </c>
      <c r="AQ56" s="85" t="s">
        <v>519</v>
      </c>
      <c r="AR56" s="85" t="s">
        <v>520</v>
      </c>
      <c r="AS56" s="85" t="s">
        <v>521</v>
      </c>
      <c r="AT56" s="85" t="s">
        <v>522</v>
      </c>
      <c r="AU56" s="85" t="s">
        <v>523</v>
      </c>
      <c r="AV56" s="85" t="s">
        <v>524</v>
      </c>
      <c r="AW56" s="85" t="s">
        <v>525</v>
      </c>
      <c r="AX56" s="85" t="s">
        <v>527</v>
      </c>
      <c r="AY56" s="85" t="s">
        <v>529</v>
      </c>
      <c r="AZ56" s="85" t="s">
        <v>530</v>
      </c>
      <c r="BA56" s="85" t="s">
        <v>532</v>
      </c>
      <c r="BB56" s="85" t="s">
        <v>533</v>
      </c>
      <c r="BC56" s="85" t="s">
        <v>534</v>
      </c>
      <c r="BD56" s="85" t="s">
        <v>535</v>
      </c>
    </row>
    <row r="57" spans="1:56" ht="11.25" customHeight="1" x14ac:dyDescent="0.25">
      <c r="A57" s="9" t="s">
        <v>34</v>
      </c>
      <c r="B57" s="9" t="s">
        <v>809</v>
      </c>
      <c r="C57" s="9" t="s">
        <v>810</v>
      </c>
      <c r="D57" s="9" t="s">
        <v>811</v>
      </c>
      <c r="E57" s="9" t="s">
        <v>812</v>
      </c>
      <c r="F57" s="9" t="s">
        <v>813</v>
      </c>
      <c r="G57" s="9" t="s">
        <v>814</v>
      </c>
      <c r="L57" s="84">
        <f>$I$5*$L$5</f>
        <v>0</v>
      </c>
      <c r="M57" s="84">
        <f>$I$5*$M$5</f>
        <v>0</v>
      </c>
      <c r="N57" s="84">
        <f ca="1">$I$5*$N$5</f>
        <v>0</v>
      </c>
      <c r="O57" s="84">
        <f>$I$5*$O$5</f>
        <v>0</v>
      </c>
      <c r="P57" s="84">
        <f>$I$5*$P$5</f>
        <v>0</v>
      </c>
      <c r="Q57" s="84">
        <f>$I$5*$Q$5</f>
        <v>0</v>
      </c>
      <c r="R57" s="84">
        <f>$I$5*$R$5</f>
        <v>0</v>
      </c>
      <c r="S57" s="84">
        <f>$I$5*$S$5</f>
        <v>0</v>
      </c>
      <c r="T57" s="84">
        <f>$I$5*$T$5</f>
        <v>0</v>
      </c>
      <c r="U57" s="84">
        <f>$I$5*$U$5</f>
        <v>0</v>
      </c>
      <c r="V57" s="84">
        <f>$I$5*$V$5</f>
        <v>0</v>
      </c>
      <c r="W57" s="84">
        <f>$I$5*$W$5</f>
        <v>0</v>
      </c>
      <c r="X57" s="84">
        <f>$I$5*$X$5</f>
        <v>0</v>
      </c>
      <c r="Y57" s="84">
        <f>$I$5*$Y$5</f>
        <v>0</v>
      </c>
      <c r="Z57" s="84">
        <f>$I$5*$Z$5</f>
        <v>0</v>
      </c>
      <c r="AA57" s="84">
        <f>$I$5*$AA$5</f>
        <v>0</v>
      </c>
      <c r="AB57" s="84">
        <f ca="1">$I$5*$AB$5</f>
        <v>0</v>
      </c>
      <c r="AC57" s="84">
        <f ca="1">$I$5*$AC$5</f>
        <v>0</v>
      </c>
      <c r="AD57" s="84">
        <f>$I$5*$AD$5</f>
        <v>0</v>
      </c>
      <c r="AE57" s="84">
        <f>$I$5*$AE$5</f>
        <v>0</v>
      </c>
      <c r="AF57" s="84">
        <f ca="1">$I$5*$AF$5</f>
        <v>0</v>
      </c>
      <c r="AG57" s="84">
        <f ca="1">$I$5*$AG$5</f>
        <v>0</v>
      </c>
      <c r="AI57" s="84">
        <f>$I$5*$AI$5</f>
        <v>0</v>
      </c>
      <c r="AJ57" s="84">
        <f>$I$5*$AJ$5</f>
        <v>0</v>
      </c>
      <c r="AK57" s="84">
        <f>$I$5*$AK$5</f>
        <v>0</v>
      </c>
      <c r="AL57" s="84">
        <f>$I$5*$AL$5</f>
        <v>0</v>
      </c>
      <c r="AM57" s="84">
        <f>$I$5*$AM$5</f>
        <v>0</v>
      </c>
      <c r="AN57" s="84">
        <f>$I$5*$AN$5</f>
        <v>0</v>
      </c>
      <c r="AO57" s="84">
        <f>$I$5*$AO$5</f>
        <v>0</v>
      </c>
      <c r="AP57" s="84">
        <f>$I$5*$AP$5</f>
        <v>0</v>
      </c>
      <c r="AQ57" s="84">
        <f>$I$5*$AQ$5</f>
        <v>0</v>
      </c>
      <c r="AR57" s="84">
        <f>$I$5*$AR$5</f>
        <v>0</v>
      </c>
      <c r="AS57" s="84">
        <f>$I$5*$AS$5</f>
        <v>0</v>
      </c>
      <c r="AT57" s="84">
        <f>$I$5*$AT$5</f>
        <v>0</v>
      </c>
      <c r="AU57" s="84">
        <f>$I$5*$AU$5</f>
        <v>0</v>
      </c>
      <c r="AV57" s="84">
        <f>$I$5*$AV$5</f>
        <v>0</v>
      </c>
      <c r="AW57" s="84">
        <f>$I$5*$AW$5</f>
        <v>0</v>
      </c>
      <c r="AX57" s="84">
        <f>$I$5*$AX$5</f>
        <v>0</v>
      </c>
      <c r="AY57" s="84">
        <f>$I$5*$AY$5</f>
        <v>0</v>
      </c>
      <c r="AZ57" s="84">
        <f>$I$5*$AZ$5</f>
        <v>0</v>
      </c>
      <c r="BA57" s="84">
        <f>$I$5*$BA$5</f>
        <v>0</v>
      </c>
      <c r="BB57" s="84">
        <f>$I$5*$BB$5</f>
        <v>0</v>
      </c>
      <c r="BC57" s="84">
        <f>$I$5*$BC$5</f>
        <v>0</v>
      </c>
      <c r="BD57" s="84">
        <f>$I$5*$BD$5</f>
        <v>0</v>
      </c>
    </row>
    <row r="58" spans="1:56" ht="11.25" customHeight="1" x14ac:dyDescent="0.25">
      <c r="A58" s="9" t="s">
        <v>34</v>
      </c>
      <c r="B58" s="9" t="s">
        <v>809</v>
      </c>
      <c r="C58" s="9" t="s">
        <v>810</v>
      </c>
      <c r="D58" s="9" t="s">
        <v>811</v>
      </c>
      <c r="E58" s="9" t="s">
        <v>812</v>
      </c>
      <c r="F58" s="9" t="s">
        <v>813</v>
      </c>
      <c r="G58" s="9" t="s">
        <v>815</v>
      </c>
      <c r="L58" s="84">
        <f>$I$6*$L$6</f>
        <v>0</v>
      </c>
      <c r="M58" s="84">
        <f>$I$6*$M$6</f>
        <v>0</v>
      </c>
      <c r="N58" s="84">
        <f ca="1">$I$6*$N$6</f>
        <v>0</v>
      </c>
      <c r="O58" s="84">
        <f>$I$6*$O$6</f>
        <v>0</v>
      </c>
      <c r="P58" s="84">
        <f>$I$6*$P$6</f>
        <v>0</v>
      </c>
      <c r="Q58" s="84">
        <f>$I$6*$Q$6</f>
        <v>0</v>
      </c>
      <c r="R58" s="84">
        <f>$I$6*$R$6</f>
        <v>0</v>
      </c>
      <c r="S58" s="84">
        <f>$I$6*$S$6</f>
        <v>0</v>
      </c>
      <c r="T58" s="84">
        <f>$I$6*$T$6</f>
        <v>0</v>
      </c>
      <c r="U58" s="84">
        <f>$I$6*$U$6</f>
        <v>0</v>
      </c>
      <c r="V58" s="84">
        <f>$I$6*$V$6</f>
        <v>0</v>
      </c>
      <c r="W58" s="84">
        <f>$I$6*$W$6</f>
        <v>0</v>
      </c>
      <c r="X58" s="84">
        <f>$I$6*$X$6</f>
        <v>0</v>
      </c>
      <c r="Y58" s="84">
        <f>$I$6*$Y$6</f>
        <v>0</v>
      </c>
      <c r="Z58" s="84">
        <f>$I$6*$Z$6</f>
        <v>0</v>
      </c>
      <c r="AA58" s="84">
        <f>$I$6*$AA$6</f>
        <v>0</v>
      </c>
      <c r="AB58" s="84">
        <f ca="1">$I$6*$AB$6</f>
        <v>0</v>
      </c>
      <c r="AC58" s="84">
        <f ca="1">$I$6*$AC$6</f>
        <v>0</v>
      </c>
      <c r="AD58" s="84">
        <f>$I$6*$AD$6</f>
        <v>0</v>
      </c>
      <c r="AE58" s="84">
        <f>$I$6*$AE$6</f>
        <v>0</v>
      </c>
      <c r="AF58" s="84">
        <f ca="1">$I$6*$AF$6</f>
        <v>0</v>
      </c>
      <c r="AG58" s="84">
        <f ca="1">$I$6*$AG$6</f>
        <v>0</v>
      </c>
      <c r="AI58" s="84">
        <f>$I$6*$AI$6</f>
        <v>0</v>
      </c>
      <c r="AJ58" s="84">
        <f>$I$6*$AJ$6</f>
        <v>0</v>
      </c>
      <c r="AK58" s="84">
        <f>$I$6*$AK$6</f>
        <v>0</v>
      </c>
      <c r="AL58" s="84">
        <f>$I$6*$AL$6</f>
        <v>0</v>
      </c>
      <c r="AM58" s="84">
        <f>$I$6*$AM$6</f>
        <v>0</v>
      </c>
      <c r="AN58" s="84">
        <f>$I$6*$AN$6</f>
        <v>0</v>
      </c>
      <c r="AO58" s="84">
        <f>$I$6*$AO$6</f>
        <v>0</v>
      </c>
      <c r="AP58" s="84">
        <f>$I$6*$AP$6</f>
        <v>0</v>
      </c>
      <c r="AQ58" s="84">
        <f>$I$6*$AQ$6</f>
        <v>0</v>
      </c>
      <c r="AR58" s="84">
        <f>$I$6*$AR$6</f>
        <v>0</v>
      </c>
      <c r="AS58" s="84">
        <f>$I$6*$AS$6</f>
        <v>0</v>
      </c>
      <c r="AT58" s="84">
        <f>$I$6*$AT$6</f>
        <v>0</v>
      </c>
      <c r="AU58" s="84">
        <f>$I$6*$AU$6</f>
        <v>0</v>
      </c>
      <c r="AV58" s="84">
        <f>$I$6*$AV$6</f>
        <v>0</v>
      </c>
      <c r="AW58" s="84">
        <f>$I$6*$AW$6</f>
        <v>0</v>
      </c>
      <c r="AX58" s="84">
        <f>$I$6*$AX$6</f>
        <v>0</v>
      </c>
      <c r="AY58" s="84">
        <f>$I$6*$AY$6</f>
        <v>0</v>
      </c>
      <c r="AZ58" s="84">
        <f>$I$6*$AZ$6</f>
        <v>0</v>
      </c>
      <c r="BA58" s="84">
        <f>$I$6*$BA$6</f>
        <v>0</v>
      </c>
      <c r="BB58" s="84">
        <f>$I$6*$BB$6</f>
        <v>0</v>
      </c>
      <c r="BC58" s="84">
        <f>$I$6*$BC$6</f>
        <v>0</v>
      </c>
      <c r="BD58" s="84">
        <f>$I$6*$BD$6</f>
        <v>0</v>
      </c>
    </row>
    <row r="59" spans="1:56" ht="11.25" customHeight="1" x14ac:dyDescent="0.25">
      <c r="A59" s="9" t="s">
        <v>34</v>
      </c>
      <c r="B59" s="9" t="s">
        <v>809</v>
      </c>
      <c r="C59" s="9" t="s">
        <v>810</v>
      </c>
      <c r="D59" s="9" t="s">
        <v>811</v>
      </c>
      <c r="E59" s="9" t="s">
        <v>812</v>
      </c>
      <c r="F59" s="9" t="s">
        <v>813</v>
      </c>
      <c r="G59" s="9" t="s">
        <v>816</v>
      </c>
      <c r="L59" s="84">
        <f>$I$7*$L$7</f>
        <v>0</v>
      </c>
      <c r="M59" s="84">
        <f>$I$7*$M$7</f>
        <v>0</v>
      </c>
      <c r="N59" s="84">
        <f ca="1">$I$7*$N$7</f>
        <v>0</v>
      </c>
      <c r="O59" s="84">
        <f>$I$7*$O$7</f>
        <v>0</v>
      </c>
      <c r="P59" s="84">
        <f>$I$7*$P$7</f>
        <v>0</v>
      </c>
      <c r="Q59" s="84">
        <f>$I$7*$Q$7</f>
        <v>0</v>
      </c>
      <c r="R59" s="84">
        <f>$I$7*$R$7</f>
        <v>0</v>
      </c>
      <c r="S59" s="84">
        <f>$I$7*$S$7</f>
        <v>0</v>
      </c>
      <c r="T59" s="84">
        <f>$I$7*$T$7</f>
        <v>0</v>
      </c>
      <c r="U59" s="84">
        <f>$I$7*$U$7</f>
        <v>0</v>
      </c>
      <c r="V59" s="84">
        <f>$I$7*$V$7</f>
        <v>0</v>
      </c>
      <c r="W59" s="84">
        <f>$I$7*$W$7</f>
        <v>0</v>
      </c>
      <c r="X59" s="84">
        <f>$I$7*$X$7</f>
        <v>0</v>
      </c>
      <c r="Y59" s="84">
        <f>$I$7*$Y$7</f>
        <v>0</v>
      </c>
      <c r="Z59" s="84">
        <f>$I$7*$Z$7</f>
        <v>0</v>
      </c>
      <c r="AA59" s="84">
        <f>$I$7*$AA$7</f>
        <v>0</v>
      </c>
      <c r="AB59" s="84">
        <f ca="1">$I$7*$AB$7</f>
        <v>0</v>
      </c>
      <c r="AC59" s="84">
        <f ca="1">$I$7*$AC$7</f>
        <v>0</v>
      </c>
      <c r="AD59" s="84">
        <f>$I$7*$AD$7</f>
        <v>0</v>
      </c>
      <c r="AE59" s="84">
        <f>$I$7*$AE$7</f>
        <v>0</v>
      </c>
      <c r="AF59" s="84">
        <f ca="1">$I$7*$AF$7</f>
        <v>0</v>
      </c>
      <c r="AG59" s="84">
        <f ca="1">$I$7*$AG$7</f>
        <v>0</v>
      </c>
      <c r="AI59" s="84">
        <f>$I$7*$AI$7</f>
        <v>0</v>
      </c>
      <c r="AJ59" s="84">
        <f>$I$7*$AJ$7</f>
        <v>0</v>
      </c>
      <c r="AK59" s="84">
        <f>$I$7*$AK$7</f>
        <v>0</v>
      </c>
      <c r="AL59" s="84">
        <f>$I$7*$AL$7</f>
        <v>0</v>
      </c>
      <c r="AM59" s="84">
        <f>$I$7*$AM$7</f>
        <v>0</v>
      </c>
      <c r="AN59" s="84">
        <f>$I$7*$AN$7</f>
        <v>0</v>
      </c>
      <c r="AO59" s="84">
        <f>$I$7*$AO$7</f>
        <v>0</v>
      </c>
      <c r="AP59" s="84">
        <f>$I$7*$AP$7</f>
        <v>0</v>
      </c>
      <c r="AQ59" s="84">
        <f>$I$7*$AQ$7</f>
        <v>0</v>
      </c>
      <c r="AR59" s="84">
        <f>$I$7*$AR$7</f>
        <v>0</v>
      </c>
      <c r="AS59" s="84">
        <f>$I$7*$AS$7</f>
        <v>0</v>
      </c>
      <c r="AT59" s="84">
        <f>$I$7*$AT$7</f>
        <v>0</v>
      </c>
      <c r="AU59" s="84">
        <f>$I$7*$AU$7</f>
        <v>0</v>
      </c>
      <c r="AV59" s="84">
        <f>$I$7*$AV$7</f>
        <v>0</v>
      </c>
      <c r="AW59" s="84">
        <f>$I$7*$AW$7</f>
        <v>0</v>
      </c>
      <c r="AX59" s="84">
        <f>$I$7*$AX$7</f>
        <v>0</v>
      </c>
      <c r="AY59" s="84">
        <f>$I$7*$AY$7</f>
        <v>0</v>
      </c>
      <c r="AZ59" s="84">
        <f>$I$7*$AZ$7</f>
        <v>0</v>
      </c>
      <c r="BA59" s="84">
        <f>$I$7*$BA$7</f>
        <v>0</v>
      </c>
      <c r="BB59" s="84">
        <f>$I$7*$BB$7</f>
        <v>0</v>
      </c>
      <c r="BC59" s="84">
        <f>$I$7*$BC$7</f>
        <v>0</v>
      </c>
      <c r="BD59" s="84">
        <f>$I$7*$BD$7</f>
        <v>0</v>
      </c>
    </row>
    <row r="60" spans="1:56" ht="11.25" customHeight="1" x14ac:dyDescent="0.25">
      <c r="A60" s="9" t="s">
        <v>34</v>
      </c>
      <c r="B60" s="9" t="s">
        <v>809</v>
      </c>
      <c r="C60" s="9" t="s">
        <v>810</v>
      </c>
      <c r="D60" s="9" t="s">
        <v>811</v>
      </c>
      <c r="E60" s="9" t="s">
        <v>817</v>
      </c>
      <c r="F60" s="9" t="s">
        <v>818</v>
      </c>
      <c r="G60" s="9" t="s">
        <v>819</v>
      </c>
      <c r="L60" s="84">
        <f>$I$8*$L$8</f>
        <v>0</v>
      </c>
      <c r="M60" s="84">
        <f>$I$8*$M$8</f>
        <v>0</v>
      </c>
      <c r="N60" s="84">
        <f ca="1">$I$8*$N$8</f>
        <v>0</v>
      </c>
      <c r="O60" s="84">
        <f>$I$8*$O$8</f>
        <v>0</v>
      </c>
      <c r="P60" s="84">
        <f>$I$8*$P$8</f>
        <v>0</v>
      </c>
      <c r="Q60" s="84">
        <f>$I$8*$Q$8</f>
        <v>0</v>
      </c>
      <c r="R60" s="84">
        <f>$I$8*$R$8</f>
        <v>0</v>
      </c>
      <c r="S60" s="84">
        <f>$I$8*$S$8</f>
        <v>0</v>
      </c>
      <c r="T60" s="84">
        <f>$I$8*$T$8</f>
        <v>0</v>
      </c>
      <c r="U60" s="84">
        <f>$I$8*$U$8</f>
        <v>0</v>
      </c>
      <c r="V60" s="84">
        <f>$I$8*$V$8</f>
        <v>0</v>
      </c>
      <c r="W60" s="84">
        <f>$I$8*$W$8</f>
        <v>0</v>
      </c>
      <c r="X60" s="84">
        <f>$I$8*$X$8</f>
        <v>0</v>
      </c>
      <c r="Y60" s="84">
        <f>$I$8*$Y$8</f>
        <v>0</v>
      </c>
      <c r="Z60" s="84">
        <f>$I$8*$Z$8</f>
        <v>0</v>
      </c>
      <c r="AA60" s="84">
        <f>$I$8*$AA$8</f>
        <v>0</v>
      </c>
      <c r="AB60" s="84">
        <f ca="1">$I$8*$AB$8</f>
        <v>0</v>
      </c>
      <c r="AC60" s="84">
        <f ca="1">$I$8*$AC$8</f>
        <v>0</v>
      </c>
      <c r="AD60" s="84">
        <f>$I$8*$AD$8</f>
        <v>0</v>
      </c>
      <c r="AE60" s="84">
        <f>$I$8*$AE$8</f>
        <v>0</v>
      </c>
      <c r="AF60" s="84">
        <f ca="1">$I$8*$AF$8</f>
        <v>0</v>
      </c>
      <c r="AG60" s="84">
        <f ca="1">$I$8*$AG$8</f>
        <v>0</v>
      </c>
      <c r="AI60" s="84">
        <f>$I$8*$AI$8</f>
        <v>0</v>
      </c>
      <c r="AJ60" s="84">
        <f>$I$8*$AJ$8</f>
        <v>0</v>
      </c>
      <c r="AK60" s="84">
        <f>$I$8*$AK$8</f>
        <v>0</v>
      </c>
      <c r="AL60" s="84">
        <f>$I$8*$AL$8</f>
        <v>0</v>
      </c>
      <c r="AM60" s="84">
        <f>$I$8*$AM$8</f>
        <v>0</v>
      </c>
      <c r="AN60" s="84">
        <f>$I$8*$AN$8</f>
        <v>0</v>
      </c>
      <c r="AO60" s="84">
        <f>$I$8*$AO$8</f>
        <v>0</v>
      </c>
      <c r="AP60" s="84">
        <f>$I$8*$AP$8</f>
        <v>0</v>
      </c>
      <c r="AQ60" s="84">
        <f>$I$8*$AQ$8</f>
        <v>0</v>
      </c>
      <c r="AR60" s="84">
        <f>$I$8*$AR$8</f>
        <v>0</v>
      </c>
      <c r="AS60" s="84">
        <f>$I$8*$AS$8</f>
        <v>0</v>
      </c>
      <c r="AT60" s="84">
        <f>$I$8*$AT$8</f>
        <v>0</v>
      </c>
      <c r="AU60" s="84">
        <f>$I$8*$AU$8</f>
        <v>0</v>
      </c>
      <c r="AV60" s="84">
        <f>$I$8*$AV$8</f>
        <v>0</v>
      </c>
      <c r="AW60" s="84">
        <f>$I$8*$AW$8</f>
        <v>0</v>
      </c>
      <c r="AX60" s="84">
        <f>$I$8*$AX$8</f>
        <v>0</v>
      </c>
      <c r="AY60" s="84">
        <f>$I$8*$AY$8</f>
        <v>0</v>
      </c>
      <c r="AZ60" s="84">
        <f>$I$8*$AZ$8</f>
        <v>0</v>
      </c>
      <c r="BA60" s="84">
        <f>$I$8*$BA$8</f>
        <v>0</v>
      </c>
      <c r="BB60" s="84">
        <f>$I$8*$BB$8</f>
        <v>0</v>
      </c>
      <c r="BC60" s="84">
        <f>$I$8*$BC$8</f>
        <v>0</v>
      </c>
      <c r="BD60" s="84">
        <f>$I$8*$BD$8</f>
        <v>0</v>
      </c>
    </row>
    <row r="61" spans="1:56" ht="11.25" customHeight="1" x14ac:dyDescent="0.25">
      <c r="A61" s="9" t="s">
        <v>34</v>
      </c>
      <c r="B61" s="9" t="s">
        <v>820</v>
      </c>
      <c r="C61" s="9" t="s">
        <v>821</v>
      </c>
      <c r="D61" s="9" t="s">
        <v>822</v>
      </c>
      <c r="E61" s="9" t="s">
        <v>823</v>
      </c>
      <c r="F61" s="9" t="s">
        <v>824</v>
      </c>
      <c r="G61" s="9" t="s">
        <v>825</v>
      </c>
      <c r="L61" s="84">
        <f>$I$9*$L$9</f>
        <v>0</v>
      </c>
      <c r="M61" s="84">
        <f>$I$9*$M$9</f>
        <v>0</v>
      </c>
      <c r="N61" s="84">
        <f ca="1">$I$9*$N$9</f>
        <v>0</v>
      </c>
      <c r="O61" s="84">
        <f>$I$9*$O$9</f>
        <v>0</v>
      </c>
      <c r="P61" s="84">
        <f>$I$9*$P$9</f>
        <v>0</v>
      </c>
      <c r="Q61" s="84">
        <f>$I$9*$Q$9</f>
        <v>0</v>
      </c>
      <c r="R61" s="84">
        <f>$I$9*$R$9</f>
        <v>0</v>
      </c>
      <c r="S61" s="84">
        <f>$I$9*$S$9</f>
        <v>0</v>
      </c>
      <c r="T61" s="84">
        <f>$I$9*$T$9</f>
        <v>0</v>
      </c>
      <c r="U61" s="84">
        <f>$I$9*$U$9</f>
        <v>0</v>
      </c>
      <c r="V61" s="84">
        <f>$I$9*$V$9</f>
        <v>0</v>
      </c>
      <c r="W61" s="84">
        <f>$I$9*$W$9</f>
        <v>0</v>
      </c>
      <c r="X61" s="84">
        <f>$I$9*$X$9</f>
        <v>0</v>
      </c>
      <c r="Y61" s="84">
        <f>$I$9*$Y$9</f>
        <v>0</v>
      </c>
      <c r="Z61" s="84">
        <f>$I$9*$Z$9</f>
        <v>0</v>
      </c>
      <c r="AA61" s="84">
        <f>$I$9*$AA$9</f>
        <v>0</v>
      </c>
      <c r="AB61" s="84">
        <f ca="1">$I$9*$AB$9</f>
        <v>0</v>
      </c>
      <c r="AC61" s="84">
        <f ca="1">$I$9*$AC$9</f>
        <v>0</v>
      </c>
      <c r="AD61" s="84">
        <f>$I$9*$AD$9</f>
        <v>0</v>
      </c>
      <c r="AE61" s="84">
        <f>$I$9*$AE$9</f>
        <v>0</v>
      </c>
      <c r="AF61" s="84">
        <f ca="1">$I$9*$AF$9</f>
        <v>0</v>
      </c>
      <c r="AG61" s="84">
        <f ca="1">$I$9*$AG$9</f>
        <v>0</v>
      </c>
      <c r="AI61" s="84">
        <f>$I$9*$AI$9</f>
        <v>0</v>
      </c>
      <c r="AJ61" s="84">
        <f>$I$9*$AJ$9</f>
        <v>0</v>
      </c>
      <c r="AK61" s="84">
        <f>$I$9*$AK$9</f>
        <v>0</v>
      </c>
      <c r="AL61" s="84">
        <f>$I$9*$AL$9</f>
        <v>0</v>
      </c>
      <c r="AM61" s="84">
        <f>$I$9*$AM$9</f>
        <v>0</v>
      </c>
      <c r="AN61" s="84">
        <f>$I$9*$AN$9</f>
        <v>0</v>
      </c>
      <c r="AO61" s="84">
        <f>$I$9*$AO$9</f>
        <v>0</v>
      </c>
      <c r="AP61" s="84">
        <f>$I$9*$AP$9</f>
        <v>0</v>
      </c>
      <c r="AQ61" s="84">
        <f>$I$9*$AQ$9</f>
        <v>0</v>
      </c>
      <c r="AR61" s="84">
        <f>$I$9*$AR$9</f>
        <v>0</v>
      </c>
      <c r="AS61" s="84">
        <f>$I$9*$AS$9</f>
        <v>0</v>
      </c>
      <c r="AT61" s="84">
        <f>$I$9*$AT$9</f>
        <v>0</v>
      </c>
      <c r="AU61" s="84">
        <f>$I$9*$AU$9</f>
        <v>0</v>
      </c>
      <c r="AV61" s="84">
        <f>$I$9*$AV$9</f>
        <v>0</v>
      </c>
      <c r="AW61" s="84">
        <f>$I$9*$AW$9</f>
        <v>0</v>
      </c>
      <c r="AX61" s="84">
        <f>$I$9*$AX$9</f>
        <v>0</v>
      </c>
      <c r="AY61" s="84">
        <f>$I$9*$AY$9</f>
        <v>0</v>
      </c>
      <c r="AZ61" s="84">
        <f>$I$9*$AZ$9</f>
        <v>0</v>
      </c>
      <c r="BA61" s="84">
        <f>$I$9*$BA$9</f>
        <v>0</v>
      </c>
      <c r="BB61" s="84">
        <f>$I$9*$BB$9</f>
        <v>0</v>
      </c>
      <c r="BC61" s="84">
        <f>$I$9*$BC$9</f>
        <v>0</v>
      </c>
      <c r="BD61" s="84">
        <f>$I$9*$BD$9</f>
        <v>0</v>
      </c>
    </row>
    <row r="62" spans="1:56" ht="11.25" customHeight="1" x14ac:dyDescent="0.25">
      <c r="A62" s="9" t="s">
        <v>34</v>
      </c>
      <c r="B62" s="9" t="s">
        <v>826</v>
      </c>
      <c r="C62" s="9" t="s">
        <v>827</v>
      </c>
      <c r="D62" s="9" t="s">
        <v>828</v>
      </c>
      <c r="E62" s="9" t="s">
        <v>829</v>
      </c>
      <c r="F62" s="9" t="s">
        <v>830</v>
      </c>
      <c r="G62" s="9" t="s">
        <v>831</v>
      </c>
      <c r="L62" s="84">
        <f>$I$10*$L$10</f>
        <v>0</v>
      </c>
      <c r="M62" s="84">
        <f>$I$10*$M$10</f>
        <v>0</v>
      </c>
      <c r="N62" s="84">
        <f ca="1">$I$10*$N$10</f>
        <v>0</v>
      </c>
      <c r="O62" s="84">
        <f>$I$10*$O$10</f>
        <v>0</v>
      </c>
      <c r="P62" s="84">
        <f>$I$10*$P$10</f>
        <v>0</v>
      </c>
      <c r="Q62" s="84">
        <f>$I$10*$Q$10</f>
        <v>0</v>
      </c>
      <c r="R62" s="84">
        <f>$I$10*$R$10</f>
        <v>0</v>
      </c>
      <c r="S62" s="84">
        <f>$I$10*$S$10</f>
        <v>0</v>
      </c>
      <c r="T62" s="84">
        <f>$I$10*$T$10</f>
        <v>0</v>
      </c>
      <c r="U62" s="84">
        <f>$I$10*$U$10</f>
        <v>0</v>
      </c>
      <c r="V62" s="84">
        <f>$I$10*$V$10</f>
        <v>0</v>
      </c>
      <c r="W62" s="84">
        <f>$I$10*$W$10</f>
        <v>0</v>
      </c>
      <c r="X62" s="84">
        <f>$I$10*$X$10</f>
        <v>42121.581419217589</v>
      </c>
      <c r="Y62" s="84">
        <f>$I$10*$Y$10</f>
        <v>0</v>
      </c>
      <c r="Z62" s="84">
        <f>$I$10*$Z$10</f>
        <v>0</v>
      </c>
      <c r="AA62" s="84">
        <f>$I$10*$AA$10</f>
        <v>39025.412184664267</v>
      </c>
      <c r="AB62" s="84">
        <f ca="1">$I$10*$AB$10</f>
        <v>-106.6064864529487</v>
      </c>
      <c r="AC62" s="84">
        <f ca="1">$I$10*$AC$10</f>
        <v>0</v>
      </c>
      <c r="AD62" s="84">
        <f>$I$10*$AD$10</f>
        <v>0</v>
      </c>
      <c r="AE62" s="84">
        <f>$I$10*$AE$10</f>
        <v>0</v>
      </c>
      <c r="AF62" s="84">
        <f ca="1">$I$10*$AF$10</f>
        <v>0</v>
      </c>
      <c r="AG62" s="84">
        <f ca="1">$I$10*$AG$10</f>
        <v>0</v>
      </c>
      <c r="AI62" s="84">
        <f>$I$10*$AI$10</f>
        <v>0</v>
      </c>
      <c r="AJ62" s="84">
        <f>$I$10*$AJ$10</f>
        <v>0</v>
      </c>
      <c r="AK62" s="84">
        <f>$I$10*$AK$10</f>
        <v>0</v>
      </c>
      <c r="AL62" s="84">
        <f>$I$10*$AL$10</f>
        <v>0</v>
      </c>
      <c r="AM62" s="84">
        <f>$I$10*$AM$10</f>
        <v>0</v>
      </c>
      <c r="AN62" s="84">
        <f>$I$10*$AN$10</f>
        <v>0</v>
      </c>
      <c r="AO62" s="84">
        <f>$I$10*$AO$10</f>
        <v>0</v>
      </c>
      <c r="AP62" s="84">
        <f>$I$10*$AP$10</f>
        <v>0</v>
      </c>
      <c r="AQ62" s="84">
        <f>$I$10*$AQ$10</f>
        <v>0</v>
      </c>
      <c r="AR62" s="84">
        <f>$I$10*$AR$10</f>
        <v>0</v>
      </c>
      <c r="AS62" s="84">
        <f>$I$10*$AS$10</f>
        <v>0</v>
      </c>
      <c r="AT62" s="84">
        <f>$I$10*$AT$10</f>
        <v>0</v>
      </c>
      <c r="AU62" s="84">
        <f>$I$10*$AU$10</f>
        <v>35920.107502357314</v>
      </c>
      <c r="AV62" s="84">
        <f>$I$10*$AV$10</f>
        <v>0</v>
      </c>
      <c r="AW62" s="84">
        <f>$I$10*$AW$10</f>
        <v>0</v>
      </c>
      <c r="AX62" s="84">
        <f>$I$10*$AX$10</f>
        <v>29298.344064692224</v>
      </c>
      <c r="AY62" s="84">
        <f>$I$10*$AY$10</f>
        <v>102.54026545103648</v>
      </c>
      <c r="AZ62" s="84">
        <f>$I$10*$AZ$10</f>
        <v>0</v>
      </c>
      <c r="BA62" s="84">
        <f>$I$10*$BA$10</f>
        <v>0</v>
      </c>
      <c r="BB62" s="84">
        <f>$I$10*$BB$10</f>
        <v>0</v>
      </c>
      <c r="BC62" s="84">
        <f>$I$10*$BC$10</f>
        <v>0</v>
      </c>
      <c r="BD62" s="84">
        <f>$I$10*$BD$10</f>
        <v>0</v>
      </c>
    </row>
    <row r="63" spans="1:56" ht="11.25" customHeight="1" x14ac:dyDescent="0.25">
      <c r="A63" s="9" t="s">
        <v>34</v>
      </c>
      <c r="B63" s="9" t="s">
        <v>826</v>
      </c>
      <c r="C63" s="9" t="s">
        <v>827</v>
      </c>
      <c r="D63" s="9" t="s">
        <v>828</v>
      </c>
      <c r="E63" s="9" t="s">
        <v>829</v>
      </c>
      <c r="F63" s="9" t="s">
        <v>830</v>
      </c>
      <c r="G63" s="9" t="s">
        <v>832</v>
      </c>
      <c r="L63" s="84">
        <f>$I$11*$L$11</f>
        <v>0</v>
      </c>
      <c r="M63" s="84">
        <f>$I$11*$M$11</f>
        <v>1.5798506891870874</v>
      </c>
      <c r="N63" s="84">
        <f ca="1">$I$11*$N$11</f>
        <v>0</v>
      </c>
      <c r="O63" s="84">
        <f>$I$11*$O$11</f>
        <v>0</v>
      </c>
      <c r="P63" s="84">
        <f>$I$11*$P$11</f>
        <v>0</v>
      </c>
      <c r="Q63" s="84">
        <f>$I$11*$Q$11</f>
        <v>78.145198249098513</v>
      </c>
      <c r="R63" s="84">
        <f>$I$11*$R$11</f>
        <v>34.804736207059641</v>
      </c>
      <c r="S63" s="84">
        <f>$I$11*$S$11</f>
        <v>0</v>
      </c>
      <c r="T63" s="84">
        <f>$I$11*$T$11</f>
        <v>0</v>
      </c>
      <c r="U63" s="84">
        <f>$I$11*$U$11</f>
        <v>0</v>
      </c>
      <c r="V63" s="84">
        <f>$I$11*$V$11</f>
        <v>0</v>
      </c>
      <c r="W63" s="84">
        <f>$I$11*$W$11</f>
        <v>0</v>
      </c>
      <c r="X63" s="84">
        <f>$I$11*$X$11</f>
        <v>2009.1156610716152</v>
      </c>
      <c r="Y63" s="84">
        <f>$I$11*$Y$11</f>
        <v>0</v>
      </c>
      <c r="Z63" s="84">
        <f>$I$11*$Z$11</f>
        <v>0</v>
      </c>
      <c r="AA63" s="84">
        <f>$I$11*$AA$11</f>
        <v>4719.7995235042245</v>
      </c>
      <c r="AB63" s="84">
        <f ca="1">$I$11*$AB$11</f>
        <v>-9.5129656442568074</v>
      </c>
      <c r="AC63" s="84">
        <f ca="1">$I$11*$AC$11</f>
        <v>0</v>
      </c>
      <c r="AD63" s="84">
        <f>$I$11*$AD$11</f>
        <v>39.415623051692677</v>
      </c>
      <c r="AE63" s="84">
        <f>$I$11*$AE$11</f>
        <v>0</v>
      </c>
      <c r="AF63" s="84">
        <f ca="1">$I$11*$AF$11</f>
        <v>0</v>
      </c>
      <c r="AG63" s="84">
        <f ca="1">$I$11*$AG$11</f>
        <v>0</v>
      </c>
      <c r="AI63" s="84">
        <f>$I$11*$AI$11</f>
        <v>0</v>
      </c>
      <c r="AJ63" s="84">
        <f>$I$11*$AJ$11</f>
        <v>1.4962600832946775</v>
      </c>
      <c r="AK63" s="84">
        <f>$I$11*$AK$11</f>
        <v>0</v>
      </c>
      <c r="AL63" s="84">
        <f>$I$11*$AL$11</f>
        <v>0</v>
      </c>
      <c r="AM63" s="84">
        <f>$I$11*$AM$11</f>
        <v>0</v>
      </c>
      <c r="AN63" s="84">
        <f>$I$11*$AN$11</f>
        <v>49.256786513010496</v>
      </c>
      <c r="AO63" s="84">
        <f>$I$11*$AO$11</f>
        <v>23.154033760165508</v>
      </c>
      <c r="AP63" s="84">
        <f>$I$11*$AP$11</f>
        <v>0</v>
      </c>
      <c r="AQ63" s="84">
        <f>$I$11*$AQ$11</f>
        <v>0</v>
      </c>
      <c r="AR63" s="84">
        <f>$I$11*$AR$11</f>
        <v>0</v>
      </c>
      <c r="AS63" s="84">
        <f>$I$11*$AS$11</f>
        <v>0</v>
      </c>
      <c r="AT63" s="84">
        <f>$I$11*$AT$11</f>
        <v>0</v>
      </c>
      <c r="AU63" s="84">
        <f>$I$11*$AU$11</f>
        <v>1713.3153623674407</v>
      </c>
      <c r="AV63" s="84">
        <f>$I$11*$AV$11</f>
        <v>0</v>
      </c>
      <c r="AW63" s="84">
        <f>$I$11*$AW$11</f>
        <v>0</v>
      </c>
      <c r="AX63" s="84">
        <f>$I$11*$AX$11</f>
        <v>3543.3897879546339</v>
      </c>
      <c r="AY63" s="84">
        <f>$I$11*$AY$11</f>
        <v>8.9756231207736565</v>
      </c>
      <c r="AZ63" s="84">
        <f>$I$11*$AZ$11</f>
        <v>0</v>
      </c>
      <c r="BA63" s="84">
        <f>$I$11*$BA$11</f>
        <v>36.336376054309447</v>
      </c>
      <c r="BB63" s="84">
        <f>$I$11*$BB$11</f>
        <v>0</v>
      </c>
      <c r="BC63" s="84">
        <f>$I$11*$BC$11</f>
        <v>0</v>
      </c>
      <c r="BD63" s="84">
        <f>$I$11*$BD$11</f>
        <v>0</v>
      </c>
    </row>
    <row r="64" spans="1:56" ht="11.25" customHeight="1" x14ac:dyDescent="0.25">
      <c r="A64" s="9" t="s">
        <v>34</v>
      </c>
      <c r="B64" s="9" t="s">
        <v>826</v>
      </c>
      <c r="C64" s="9" t="s">
        <v>827</v>
      </c>
      <c r="D64" s="9" t="s">
        <v>828</v>
      </c>
      <c r="E64" s="9" t="s">
        <v>829</v>
      </c>
      <c r="F64" s="9" t="s">
        <v>830</v>
      </c>
      <c r="G64" s="9" t="s">
        <v>833</v>
      </c>
      <c r="L64" s="84">
        <f>$I$12*$L$12</f>
        <v>0</v>
      </c>
      <c r="M64" s="84">
        <f>$I$12*$M$12</f>
        <v>214.04219681959407</v>
      </c>
      <c r="N64" s="84">
        <f ca="1">$I$12*$N$12</f>
        <v>0</v>
      </c>
      <c r="O64" s="84">
        <f>$I$12*$O$12</f>
        <v>0</v>
      </c>
      <c r="P64" s="84">
        <f>$I$12*$P$12</f>
        <v>0</v>
      </c>
      <c r="Q64" s="84">
        <f>$I$12*$Q$12</f>
        <v>10587.310572207489</v>
      </c>
      <c r="R64" s="84">
        <f>$I$12*$R$12</f>
        <v>4715.434343557331</v>
      </c>
      <c r="S64" s="84">
        <f>$I$12*$S$12</f>
        <v>0</v>
      </c>
      <c r="T64" s="84">
        <f>$I$12*$T$12</f>
        <v>0</v>
      </c>
      <c r="U64" s="84">
        <f>$I$12*$U$12</f>
        <v>0</v>
      </c>
      <c r="V64" s="84">
        <f>$I$12*$V$12</f>
        <v>0</v>
      </c>
      <c r="W64" s="84">
        <f>$I$12*$W$12</f>
        <v>0</v>
      </c>
      <c r="X64" s="84">
        <f>$I$12*$X$12</f>
        <v>0</v>
      </c>
      <c r="Y64" s="84">
        <f>$I$12*$Y$12</f>
        <v>0</v>
      </c>
      <c r="Z64" s="84">
        <f>$I$12*$Z$12</f>
        <v>0</v>
      </c>
      <c r="AA64" s="84">
        <f>$I$12*$AA$12</f>
        <v>0</v>
      </c>
      <c r="AB64" s="84">
        <f ca="1">$I$12*$AB$12</f>
        <v>-25.502852921845548</v>
      </c>
      <c r="AC64" s="84">
        <f ca="1">$I$12*$AC$12</f>
        <v>0</v>
      </c>
      <c r="AD64" s="84">
        <f>$I$12*$AD$12</f>
        <v>5340.1290417757073</v>
      </c>
      <c r="AE64" s="84">
        <f>$I$12*$AE$12</f>
        <v>0</v>
      </c>
      <c r="AF64" s="84">
        <f ca="1">$I$12*$AF$12</f>
        <v>0</v>
      </c>
      <c r="AG64" s="84">
        <f ca="1">$I$12*$AG$12</f>
        <v>0</v>
      </c>
      <c r="AI64" s="84">
        <f>$I$12*$AI$12</f>
        <v>0</v>
      </c>
      <c r="AJ64" s="84">
        <f>$I$12*$AJ$12</f>
        <v>202.71712854501007</v>
      </c>
      <c r="AK64" s="84">
        <f>$I$12*$AK$12</f>
        <v>0</v>
      </c>
      <c r="AL64" s="84">
        <f>$I$12*$AL$12</f>
        <v>0</v>
      </c>
      <c r="AM64" s="84">
        <f>$I$12*$AM$12</f>
        <v>0</v>
      </c>
      <c r="AN64" s="84">
        <f>$I$12*$AN$12</f>
        <v>6673.4349427308462</v>
      </c>
      <c r="AO64" s="84">
        <f>$I$12*$AO$12</f>
        <v>3136.9674901436101</v>
      </c>
      <c r="AP64" s="84">
        <f>$I$12*$AP$12</f>
        <v>0</v>
      </c>
      <c r="AQ64" s="84">
        <f>$I$12*$AQ$12</f>
        <v>0</v>
      </c>
      <c r="AR64" s="84">
        <f>$I$12*$AR$12</f>
        <v>0</v>
      </c>
      <c r="AS64" s="84">
        <f>$I$12*$AS$12</f>
        <v>0</v>
      </c>
      <c r="AT64" s="84">
        <f>$I$12*$AT$12</f>
        <v>0</v>
      </c>
      <c r="AU64" s="84">
        <f>$I$12*$AU$12</f>
        <v>0</v>
      </c>
      <c r="AV64" s="84">
        <f>$I$12*$AV$12</f>
        <v>0</v>
      </c>
      <c r="AW64" s="84">
        <f>$I$12*$AW$12</f>
        <v>0</v>
      </c>
      <c r="AX64" s="84">
        <f>$I$12*$AX$12</f>
        <v>0</v>
      </c>
      <c r="AY64" s="84">
        <f>$I$12*$AY$12</f>
        <v>20.893626644170485</v>
      </c>
      <c r="AZ64" s="84">
        <f>$I$12*$AZ$12</f>
        <v>0</v>
      </c>
      <c r="BA64" s="84">
        <f>$I$12*$BA$12</f>
        <v>4922.9448126703737</v>
      </c>
      <c r="BB64" s="84">
        <f>$I$12*$BB$12</f>
        <v>0</v>
      </c>
      <c r="BC64" s="84">
        <f>$I$12*$BC$12</f>
        <v>0</v>
      </c>
      <c r="BD64" s="84">
        <f>$I$12*$BD$12</f>
        <v>0</v>
      </c>
    </row>
    <row r="65" spans="1:56" ht="11.25" customHeight="1" x14ac:dyDescent="0.25">
      <c r="A65" s="9" t="s">
        <v>34</v>
      </c>
      <c r="B65" s="9" t="s">
        <v>826</v>
      </c>
      <c r="C65" s="9" t="s">
        <v>827</v>
      </c>
      <c r="D65" s="9" t="s">
        <v>828</v>
      </c>
      <c r="E65" s="9" t="s">
        <v>834</v>
      </c>
      <c r="F65" s="9" t="s">
        <v>835</v>
      </c>
      <c r="G65" s="9" t="s">
        <v>836</v>
      </c>
      <c r="L65" s="84">
        <f>$I$13*$L$13</f>
        <v>0</v>
      </c>
      <c r="M65" s="84">
        <f>$I$13*$M$13</f>
        <v>0</v>
      </c>
      <c r="N65" s="84">
        <f ca="1">$I$13*$N$13</f>
        <v>0</v>
      </c>
      <c r="O65" s="84">
        <f>$I$13*$O$13</f>
        <v>0</v>
      </c>
      <c r="P65" s="84">
        <f>$I$13*$P$13</f>
        <v>0</v>
      </c>
      <c r="Q65" s="84">
        <f>$I$13*$Q$13</f>
        <v>0</v>
      </c>
      <c r="R65" s="84">
        <f>$I$13*$R$13</f>
        <v>0</v>
      </c>
      <c r="S65" s="84">
        <f>$I$13*$S$13</f>
        <v>0</v>
      </c>
      <c r="T65" s="84">
        <f>$I$13*$T$13</f>
        <v>0</v>
      </c>
      <c r="U65" s="84">
        <f>$I$13*$U$13</f>
        <v>0</v>
      </c>
      <c r="V65" s="84">
        <f>$I$13*$V$13</f>
        <v>0</v>
      </c>
      <c r="W65" s="84">
        <f>$I$13*$W$13</f>
        <v>0</v>
      </c>
      <c r="X65" s="84">
        <f>$I$13*$X$13</f>
        <v>0</v>
      </c>
      <c r="Y65" s="84">
        <f>$I$13*$Y$13</f>
        <v>0</v>
      </c>
      <c r="Z65" s="84">
        <f>$I$13*$Z$13</f>
        <v>0</v>
      </c>
      <c r="AA65" s="84">
        <f>$I$13*$AA$13</f>
        <v>0</v>
      </c>
      <c r="AB65" s="84">
        <f ca="1">$I$13*$AB$13</f>
        <v>0</v>
      </c>
      <c r="AC65" s="84">
        <f ca="1">$I$13*$AC$13</f>
        <v>0</v>
      </c>
      <c r="AD65" s="84">
        <f>$I$13*$AD$13</f>
        <v>0</v>
      </c>
      <c r="AE65" s="84">
        <f>$I$13*$AE$13</f>
        <v>0</v>
      </c>
      <c r="AF65" s="84">
        <f ca="1">$I$13*$AF$13</f>
        <v>0</v>
      </c>
      <c r="AG65" s="84">
        <f ca="1">$I$13*$AG$13</f>
        <v>0</v>
      </c>
      <c r="AI65" s="84">
        <f>$I$13*$AI$13</f>
        <v>0</v>
      </c>
      <c r="AJ65" s="84">
        <f>$I$13*$AJ$13</f>
        <v>0</v>
      </c>
      <c r="AK65" s="84">
        <f>$I$13*$AK$13</f>
        <v>0</v>
      </c>
      <c r="AL65" s="84">
        <f>$I$13*$AL$13</f>
        <v>0</v>
      </c>
      <c r="AM65" s="84">
        <f>$I$13*$AM$13</f>
        <v>0</v>
      </c>
      <c r="AN65" s="84">
        <f>$I$13*$AN$13</f>
        <v>0</v>
      </c>
      <c r="AO65" s="84">
        <f>$I$13*$AO$13</f>
        <v>0</v>
      </c>
      <c r="AP65" s="84">
        <f>$I$13*$AP$13</f>
        <v>0</v>
      </c>
      <c r="AQ65" s="84">
        <f>$I$13*$AQ$13</f>
        <v>0</v>
      </c>
      <c r="AR65" s="84">
        <f>$I$13*$AR$13</f>
        <v>0</v>
      </c>
      <c r="AS65" s="84">
        <f>$I$13*$AS$13</f>
        <v>0</v>
      </c>
      <c r="AT65" s="84">
        <f>$I$13*$AT$13</f>
        <v>0</v>
      </c>
      <c r="AU65" s="84">
        <f>$I$13*$AU$13</f>
        <v>0</v>
      </c>
      <c r="AV65" s="84">
        <f>$I$13*$AV$13</f>
        <v>0</v>
      </c>
      <c r="AW65" s="84">
        <f>$I$13*$AW$13</f>
        <v>0</v>
      </c>
      <c r="AX65" s="84">
        <f>$I$13*$AX$13</f>
        <v>0</v>
      </c>
      <c r="AY65" s="84">
        <f>$I$13*$AY$13</f>
        <v>0</v>
      </c>
      <c r="AZ65" s="84">
        <f>$I$13*$AZ$13</f>
        <v>0</v>
      </c>
      <c r="BA65" s="84">
        <f>$I$13*$BA$13</f>
        <v>0</v>
      </c>
      <c r="BB65" s="84">
        <f>$I$13*$BB$13</f>
        <v>0</v>
      </c>
      <c r="BC65" s="84">
        <f>$I$13*$BC$13</f>
        <v>0</v>
      </c>
      <c r="BD65" s="84">
        <f>$I$13*$BD$13</f>
        <v>0</v>
      </c>
    </row>
    <row r="66" spans="1:56" ht="11.25" customHeight="1" x14ac:dyDescent="0.25">
      <c r="A66" s="9" t="s">
        <v>34</v>
      </c>
      <c r="B66" s="9" t="s">
        <v>826</v>
      </c>
      <c r="C66" s="9" t="s">
        <v>827</v>
      </c>
      <c r="D66" s="9" t="s">
        <v>828</v>
      </c>
      <c r="E66" s="9" t="s">
        <v>834</v>
      </c>
      <c r="F66" s="9" t="s">
        <v>835</v>
      </c>
      <c r="G66" s="9" t="s">
        <v>837</v>
      </c>
      <c r="L66" s="84">
        <f>$I$14*$L$14</f>
        <v>0</v>
      </c>
      <c r="M66" s="84">
        <f>$I$14*$M$14</f>
        <v>0</v>
      </c>
      <c r="N66" s="84">
        <f ca="1">$I$14*$N$14</f>
        <v>0</v>
      </c>
      <c r="O66" s="84">
        <f>$I$14*$O$14</f>
        <v>0</v>
      </c>
      <c r="P66" s="84">
        <f>$I$14*$P$14</f>
        <v>0</v>
      </c>
      <c r="Q66" s="84">
        <f>$I$14*$Q$14</f>
        <v>0</v>
      </c>
      <c r="R66" s="84">
        <f>$I$14*$R$14</f>
        <v>0</v>
      </c>
      <c r="S66" s="84">
        <f>$I$14*$S$14</f>
        <v>0</v>
      </c>
      <c r="T66" s="84">
        <f>$I$14*$T$14</f>
        <v>0</v>
      </c>
      <c r="U66" s="84">
        <f>$I$14*$U$14</f>
        <v>0</v>
      </c>
      <c r="V66" s="84">
        <f>$I$14*$V$14</f>
        <v>0</v>
      </c>
      <c r="W66" s="84">
        <f>$I$14*$W$14</f>
        <v>0</v>
      </c>
      <c r="X66" s="84">
        <f>$I$14*$X$14</f>
        <v>0</v>
      </c>
      <c r="Y66" s="84">
        <f>$I$14*$Y$14</f>
        <v>0</v>
      </c>
      <c r="Z66" s="84">
        <f>$I$14*$Z$14</f>
        <v>0</v>
      </c>
      <c r="AA66" s="84">
        <f>$I$14*$AA$14</f>
        <v>0</v>
      </c>
      <c r="AB66" s="84">
        <f ca="1">$I$14*$AB$14</f>
        <v>0</v>
      </c>
      <c r="AC66" s="84">
        <f ca="1">$I$14*$AC$14</f>
        <v>0</v>
      </c>
      <c r="AD66" s="84">
        <f>$I$14*$AD$14</f>
        <v>0</v>
      </c>
      <c r="AE66" s="84">
        <f>$I$14*$AE$14</f>
        <v>0</v>
      </c>
      <c r="AF66" s="84">
        <f ca="1">$I$14*$AF$14</f>
        <v>0</v>
      </c>
      <c r="AG66" s="84">
        <f ca="1">$I$14*$AG$14</f>
        <v>0</v>
      </c>
      <c r="AI66" s="84">
        <f>$I$14*$AI$14</f>
        <v>0</v>
      </c>
      <c r="AJ66" s="84">
        <f>$I$14*$AJ$14</f>
        <v>0</v>
      </c>
      <c r="AK66" s="84">
        <f>$I$14*$AK$14</f>
        <v>0</v>
      </c>
      <c r="AL66" s="84">
        <f>$I$14*$AL$14</f>
        <v>0</v>
      </c>
      <c r="AM66" s="84">
        <f>$I$14*$AM$14</f>
        <v>0</v>
      </c>
      <c r="AN66" s="84">
        <f>$I$14*$AN$14</f>
        <v>0</v>
      </c>
      <c r="AO66" s="84">
        <f>$I$14*$AO$14</f>
        <v>0</v>
      </c>
      <c r="AP66" s="84">
        <f>$I$14*$AP$14</f>
        <v>0</v>
      </c>
      <c r="AQ66" s="84">
        <f>$I$14*$AQ$14</f>
        <v>0</v>
      </c>
      <c r="AR66" s="84">
        <f>$I$14*$AR$14</f>
        <v>0</v>
      </c>
      <c r="AS66" s="84">
        <f>$I$14*$AS$14</f>
        <v>0</v>
      </c>
      <c r="AT66" s="84">
        <f>$I$14*$AT$14</f>
        <v>0</v>
      </c>
      <c r="AU66" s="84">
        <f>$I$14*$AU$14</f>
        <v>0</v>
      </c>
      <c r="AV66" s="84">
        <f>$I$14*$AV$14</f>
        <v>0</v>
      </c>
      <c r="AW66" s="84">
        <f>$I$14*$AW$14</f>
        <v>0</v>
      </c>
      <c r="AX66" s="84">
        <f>$I$14*$AX$14</f>
        <v>0</v>
      </c>
      <c r="AY66" s="84">
        <f>$I$14*$AY$14</f>
        <v>0</v>
      </c>
      <c r="AZ66" s="84">
        <f>$I$14*$AZ$14</f>
        <v>0</v>
      </c>
      <c r="BA66" s="84">
        <f>$I$14*$BA$14</f>
        <v>0</v>
      </c>
      <c r="BB66" s="84">
        <f>$I$14*$BB$14</f>
        <v>0</v>
      </c>
      <c r="BC66" s="84">
        <f>$I$14*$BC$14</f>
        <v>0</v>
      </c>
      <c r="BD66" s="84">
        <f>$I$14*$BD$14</f>
        <v>0</v>
      </c>
    </row>
    <row r="67" spans="1:56" ht="11.25" customHeight="1" x14ac:dyDescent="0.25">
      <c r="A67" s="9" t="s">
        <v>80</v>
      </c>
      <c r="B67" s="9" t="s">
        <v>838</v>
      </c>
      <c r="C67" s="9" t="s">
        <v>839</v>
      </c>
      <c r="D67" s="9" t="s">
        <v>840</v>
      </c>
      <c r="E67" s="9" t="s">
        <v>841</v>
      </c>
      <c r="F67" s="9" t="s">
        <v>842</v>
      </c>
      <c r="G67" s="9" t="s">
        <v>843</v>
      </c>
      <c r="L67" s="84">
        <f>$I$15*$L$15</f>
        <v>0</v>
      </c>
      <c r="M67" s="84">
        <f>$I$15*$M$15</f>
        <v>2.1813758449732715E-10</v>
      </c>
      <c r="N67" s="84">
        <f ca="1">$I$15*$N$15</f>
        <v>0</v>
      </c>
      <c r="O67" s="84">
        <f>$I$15*$O$15</f>
        <v>0</v>
      </c>
      <c r="P67" s="84">
        <f>$I$15*$P$15</f>
        <v>0</v>
      </c>
      <c r="Q67" s="84">
        <f>$I$15*$Q$15</f>
        <v>0</v>
      </c>
      <c r="R67" s="84">
        <f>$I$15*$R$15</f>
        <v>0</v>
      </c>
      <c r="S67" s="84">
        <f>$I$15*$S$15</f>
        <v>0</v>
      </c>
      <c r="T67" s="84">
        <f>$I$15*$T$15</f>
        <v>0</v>
      </c>
      <c r="U67" s="84">
        <f>$I$15*$U$15</f>
        <v>0</v>
      </c>
      <c r="V67" s="84">
        <f>$I$15*$V$15</f>
        <v>0</v>
      </c>
      <c r="W67" s="84">
        <f>$I$15*$W$15</f>
        <v>0</v>
      </c>
      <c r="X67" s="84">
        <f>$I$15*$X$15</f>
        <v>0</v>
      </c>
      <c r="Y67" s="84">
        <f>$I$15*$Y$15</f>
        <v>0</v>
      </c>
      <c r="Z67" s="84">
        <f>$I$15*$Z$15</f>
        <v>0</v>
      </c>
      <c r="AA67" s="84">
        <f>$I$15*$AA$15</f>
        <v>5.085122489761593E-8</v>
      </c>
      <c r="AB67" s="84">
        <f ca="1">$I$15*$AB$15</f>
        <v>-7.5699881611508206E-11</v>
      </c>
      <c r="AC67" s="84">
        <f ca="1">$I$15*$AC$15</f>
        <v>0</v>
      </c>
      <c r="AD67" s="84">
        <f>$I$15*$AD$15</f>
        <v>0</v>
      </c>
      <c r="AE67" s="84">
        <f>$I$15*$AE$15</f>
        <v>0</v>
      </c>
      <c r="AF67" s="84">
        <f ca="1">$I$15*$AF$15</f>
        <v>0</v>
      </c>
      <c r="AG67" s="84">
        <f ca="1">$I$15*$AG$15</f>
        <v>0</v>
      </c>
      <c r="AI67" s="84">
        <f>$I$15*$AI$15</f>
        <v>0</v>
      </c>
      <c r="AJ67" s="84">
        <f>$I$15*$AJ$15</f>
        <v>2.0082332148324802E-10</v>
      </c>
      <c r="AK67" s="84">
        <f>$I$15*$AK$15</f>
        <v>0</v>
      </c>
      <c r="AL67" s="84">
        <f>$I$15*$AL$15</f>
        <v>0</v>
      </c>
      <c r="AM67" s="84">
        <f>$I$15*$AM$15</f>
        <v>0</v>
      </c>
      <c r="AN67" s="84">
        <f>$I$15*$AN$15</f>
        <v>0</v>
      </c>
      <c r="AO67" s="84">
        <f>$I$15*$AO$15</f>
        <v>0</v>
      </c>
      <c r="AP67" s="84">
        <f>$I$15*$AP$15</f>
        <v>0</v>
      </c>
      <c r="AQ67" s="84">
        <f>$I$15*$AQ$15</f>
        <v>0</v>
      </c>
      <c r="AR67" s="84">
        <f>$I$15*$AR$15</f>
        <v>0</v>
      </c>
      <c r="AS67" s="84">
        <f>$I$15*$AS$15</f>
        <v>0</v>
      </c>
      <c r="AT67" s="84">
        <f>$I$15*$AT$15</f>
        <v>0</v>
      </c>
      <c r="AU67" s="84">
        <f>$I$15*$AU$15</f>
        <v>0</v>
      </c>
      <c r="AV67" s="84">
        <f>$I$15*$AV$15</f>
        <v>0</v>
      </c>
      <c r="AW67" s="84">
        <f>$I$15*$AW$15</f>
        <v>0</v>
      </c>
      <c r="AX67" s="84">
        <f>$I$15*$AX$15</f>
        <v>3.81764175846707E-8</v>
      </c>
      <c r="AY67" s="84">
        <f>$I$15*$AY$15</f>
        <v>7.0224854736033001E-11</v>
      </c>
      <c r="AZ67" s="84">
        <f>$I$15*$AZ$15</f>
        <v>0</v>
      </c>
      <c r="BA67" s="84">
        <f>$I$15*$BA$15</f>
        <v>0</v>
      </c>
      <c r="BB67" s="84">
        <f>$I$15*$BB$15</f>
        <v>0</v>
      </c>
      <c r="BC67" s="84">
        <f>$I$15*$BC$15</f>
        <v>0</v>
      </c>
      <c r="BD67" s="84">
        <f>$I$15*$BD$15</f>
        <v>0</v>
      </c>
    </row>
    <row r="68" spans="1:56" ht="11.25" customHeight="1" x14ac:dyDescent="0.25">
      <c r="A68" s="9" t="s">
        <v>80</v>
      </c>
      <c r="B68" s="9" t="s">
        <v>838</v>
      </c>
      <c r="C68" s="9" t="s">
        <v>839</v>
      </c>
      <c r="D68" s="9" t="s">
        <v>840</v>
      </c>
      <c r="E68" s="9" t="s">
        <v>844</v>
      </c>
      <c r="F68" s="9" t="s">
        <v>845</v>
      </c>
      <c r="G68" s="9" t="s">
        <v>846</v>
      </c>
      <c r="L68" s="84">
        <f>$I$16*$L$16</f>
        <v>0</v>
      </c>
      <c r="M68" s="84">
        <f>$I$16*$M$16</f>
        <v>2.1813758449732715E-10</v>
      </c>
      <c r="N68" s="84">
        <f ca="1">$I$16*$N$16</f>
        <v>0</v>
      </c>
      <c r="O68" s="84">
        <f>$I$16*$O$16</f>
        <v>0</v>
      </c>
      <c r="P68" s="84">
        <f>$I$16*$P$16</f>
        <v>0</v>
      </c>
      <c r="Q68" s="84">
        <f>$I$16*$Q$16</f>
        <v>0</v>
      </c>
      <c r="R68" s="84">
        <f>$I$16*$R$16</f>
        <v>0</v>
      </c>
      <c r="S68" s="84">
        <f>$I$16*$S$16</f>
        <v>0</v>
      </c>
      <c r="T68" s="84">
        <f>$I$16*$T$16</f>
        <v>0</v>
      </c>
      <c r="U68" s="84">
        <f>$I$16*$U$16</f>
        <v>0</v>
      </c>
      <c r="V68" s="84">
        <f>$I$16*$V$16</f>
        <v>0</v>
      </c>
      <c r="W68" s="84">
        <f>$I$16*$W$16</f>
        <v>0</v>
      </c>
      <c r="X68" s="84">
        <f>$I$16*$X$16</f>
        <v>0</v>
      </c>
      <c r="Y68" s="84">
        <f>$I$16*$Y$16</f>
        <v>0</v>
      </c>
      <c r="Z68" s="84">
        <f>$I$16*$Z$16</f>
        <v>0</v>
      </c>
      <c r="AA68" s="84">
        <f>$I$16*$AA$16</f>
        <v>1.5355981643320039E-7</v>
      </c>
      <c r="AB68" s="84">
        <f ca="1">$I$16*$AB$16</f>
        <v>-2.2804747473876215E-10</v>
      </c>
      <c r="AC68" s="84">
        <f ca="1">$I$16*$AC$16</f>
        <v>0</v>
      </c>
      <c r="AD68" s="84">
        <f>$I$16*$AD$16</f>
        <v>0</v>
      </c>
      <c r="AE68" s="84">
        <f>$I$16*$AE$16</f>
        <v>0</v>
      </c>
      <c r="AF68" s="84">
        <f ca="1">$I$16*$AF$16</f>
        <v>0</v>
      </c>
      <c r="AG68" s="84">
        <f ca="1">$I$16*$AG$16</f>
        <v>0</v>
      </c>
      <c r="AI68" s="84">
        <f>$I$16*$AI$16</f>
        <v>0</v>
      </c>
      <c r="AJ68" s="84">
        <f>$I$16*$AJ$16</f>
        <v>2.0082332148324802E-10</v>
      </c>
      <c r="AK68" s="84">
        <f>$I$16*$AK$16</f>
        <v>0</v>
      </c>
      <c r="AL68" s="84">
        <f>$I$16*$AL$16</f>
        <v>0</v>
      </c>
      <c r="AM68" s="84">
        <f>$I$16*$AM$16</f>
        <v>0</v>
      </c>
      <c r="AN68" s="84">
        <f>$I$16*$AN$16</f>
        <v>0</v>
      </c>
      <c r="AO68" s="84">
        <f>$I$16*$AO$16</f>
        <v>0</v>
      </c>
      <c r="AP68" s="84">
        <f>$I$16*$AP$16</f>
        <v>0</v>
      </c>
      <c r="AQ68" s="84">
        <f>$I$16*$AQ$16</f>
        <v>0</v>
      </c>
      <c r="AR68" s="84">
        <f>$I$16*$AR$16</f>
        <v>0</v>
      </c>
      <c r="AS68" s="84">
        <f>$I$16*$AS$16</f>
        <v>0</v>
      </c>
      <c r="AT68" s="84">
        <f>$I$16*$AT$16</f>
        <v>0</v>
      </c>
      <c r="AU68" s="84">
        <f>$I$16*$AU$16</f>
        <v>0</v>
      </c>
      <c r="AV68" s="84">
        <f>$I$16*$AV$16</f>
        <v>0</v>
      </c>
      <c r="AW68" s="84">
        <f>$I$16*$AW$16</f>
        <v>0</v>
      </c>
      <c r="AX68" s="84">
        <f>$I$16*$AX$16</f>
        <v>1.1528519279742999E-7</v>
      </c>
      <c r="AY68" s="84">
        <f>$I$16*$AY$16</f>
        <v>2.1145662373442201E-10</v>
      </c>
      <c r="AZ68" s="84">
        <f>$I$16*$AZ$16</f>
        <v>0</v>
      </c>
      <c r="BA68" s="84">
        <f>$I$16*$BA$16</f>
        <v>0</v>
      </c>
      <c r="BB68" s="84">
        <f>$I$16*$BB$16</f>
        <v>0</v>
      </c>
      <c r="BC68" s="84">
        <f>$I$16*$BC$16</f>
        <v>0</v>
      </c>
      <c r="BD68" s="84">
        <f>$I$16*$BD$16</f>
        <v>0</v>
      </c>
    </row>
    <row r="69" spans="1:56" ht="11.25" customHeight="1" x14ac:dyDescent="0.25">
      <c r="A69" s="9" t="s">
        <v>22</v>
      </c>
      <c r="B69" s="9" t="s">
        <v>847</v>
      </c>
      <c r="C69" s="9" t="s">
        <v>848</v>
      </c>
      <c r="D69" s="9" t="s">
        <v>849</v>
      </c>
      <c r="E69" s="9" t="s">
        <v>850</v>
      </c>
      <c r="F69" s="9" t="s">
        <v>851</v>
      </c>
      <c r="G69" s="9" t="s">
        <v>852</v>
      </c>
      <c r="L69" s="84">
        <f>$I$17*$L$17</f>
        <v>0</v>
      </c>
      <c r="M69" s="84">
        <f>$I$17*$M$17</f>
        <v>0</v>
      </c>
      <c r="N69" s="84">
        <f ca="1">$I$17*$N$17</f>
        <v>0</v>
      </c>
      <c r="O69" s="84">
        <f>$I$17*$O$17</f>
        <v>0</v>
      </c>
      <c r="P69" s="84">
        <f>$I$17*$P$17</f>
        <v>0</v>
      </c>
      <c r="Q69" s="84">
        <f>$I$17*$Q$17</f>
        <v>0</v>
      </c>
      <c r="R69" s="84">
        <f>$I$17*$R$17</f>
        <v>0</v>
      </c>
      <c r="S69" s="84">
        <f>$I$17*$S$17</f>
        <v>0</v>
      </c>
      <c r="T69" s="84">
        <f>$I$17*$T$17</f>
        <v>0</v>
      </c>
      <c r="U69" s="84">
        <f>$I$17*$U$17</f>
        <v>0</v>
      </c>
      <c r="V69" s="84">
        <f>$I$17*$V$17</f>
        <v>0</v>
      </c>
      <c r="W69" s="84">
        <f>$I$17*$W$17</f>
        <v>0</v>
      </c>
      <c r="X69" s="84">
        <f>$I$17*$X$17</f>
        <v>0</v>
      </c>
      <c r="Y69" s="84">
        <f>$I$17*$Y$17</f>
        <v>0</v>
      </c>
      <c r="Z69" s="84">
        <f>$I$17*$Z$17</f>
        <v>0</v>
      </c>
      <c r="AA69" s="84">
        <f>$I$17*$AA$17</f>
        <v>0</v>
      </c>
      <c r="AB69" s="84">
        <f ca="1">$I$17*$AB$17</f>
        <v>0</v>
      </c>
      <c r="AC69" s="84">
        <f ca="1">$I$17*$AC$17</f>
        <v>0</v>
      </c>
      <c r="AD69" s="84">
        <f>$I$17*$AD$17</f>
        <v>0</v>
      </c>
      <c r="AE69" s="84">
        <f>$I$17*$AE$17</f>
        <v>0</v>
      </c>
      <c r="AF69" s="84">
        <f ca="1">$I$17*$AF$17</f>
        <v>0</v>
      </c>
      <c r="AG69" s="84">
        <f ca="1">$I$17*$AG$17</f>
        <v>0</v>
      </c>
      <c r="AI69" s="84">
        <f>$I$17*$AI$17</f>
        <v>0</v>
      </c>
      <c r="AJ69" s="84">
        <f>$I$17*$AJ$17</f>
        <v>0</v>
      </c>
      <c r="AK69" s="84">
        <f>$I$17*$AK$17</f>
        <v>0</v>
      </c>
      <c r="AL69" s="84">
        <f>$I$17*$AL$17</f>
        <v>0</v>
      </c>
      <c r="AM69" s="84">
        <f>$I$17*$AM$17</f>
        <v>0</v>
      </c>
      <c r="AN69" s="84">
        <f>$I$17*$AN$17</f>
        <v>0</v>
      </c>
      <c r="AO69" s="84">
        <f>$I$17*$AO$17</f>
        <v>0</v>
      </c>
      <c r="AP69" s="84">
        <f>$I$17*$AP$17</f>
        <v>0</v>
      </c>
      <c r="AQ69" s="84">
        <f>$I$17*$AQ$17</f>
        <v>0</v>
      </c>
      <c r="AR69" s="84">
        <f>$I$17*$AR$17</f>
        <v>0</v>
      </c>
      <c r="AS69" s="84">
        <f>$I$17*$AS$17</f>
        <v>0</v>
      </c>
      <c r="AT69" s="84">
        <f>$I$17*$AT$17</f>
        <v>0</v>
      </c>
      <c r="AU69" s="84">
        <f>$I$17*$AU$17</f>
        <v>0</v>
      </c>
      <c r="AV69" s="84">
        <f>$I$17*$AV$17</f>
        <v>0</v>
      </c>
      <c r="AW69" s="84">
        <f>$I$17*$AW$17</f>
        <v>0</v>
      </c>
      <c r="AX69" s="84">
        <f>$I$17*$AX$17</f>
        <v>0</v>
      </c>
      <c r="AY69" s="84">
        <f>$I$17*$AY$17</f>
        <v>0</v>
      </c>
      <c r="AZ69" s="84">
        <f>$I$17*$AZ$17</f>
        <v>0</v>
      </c>
      <c r="BA69" s="84">
        <f>$I$17*$BA$17</f>
        <v>0</v>
      </c>
      <c r="BB69" s="84">
        <f>$I$17*$BB$17</f>
        <v>0</v>
      </c>
      <c r="BC69" s="84">
        <f>$I$17*$BC$17</f>
        <v>0</v>
      </c>
      <c r="BD69" s="84">
        <f>$I$17*$BD$17</f>
        <v>0</v>
      </c>
    </row>
    <row r="70" spans="1:56" ht="11.25" customHeight="1" x14ac:dyDescent="0.25">
      <c r="A70" s="9" t="s">
        <v>22</v>
      </c>
      <c r="B70" s="9" t="s">
        <v>847</v>
      </c>
      <c r="C70" s="9" t="s">
        <v>848</v>
      </c>
      <c r="D70" s="9" t="s">
        <v>849</v>
      </c>
      <c r="E70" s="9" t="s">
        <v>850</v>
      </c>
      <c r="F70" s="9" t="s">
        <v>851</v>
      </c>
      <c r="G70" s="9" t="s">
        <v>853</v>
      </c>
      <c r="L70" s="84">
        <f>$I$18*$L$18</f>
        <v>0</v>
      </c>
      <c r="M70" s="84">
        <f>$I$18*$M$18</f>
        <v>1.0366944762253454E-2</v>
      </c>
      <c r="N70" s="84">
        <f ca="1">$I$18*$N$18</f>
        <v>0</v>
      </c>
      <c r="O70" s="84">
        <f>$I$18*$O$18</f>
        <v>0</v>
      </c>
      <c r="P70" s="84">
        <f>$I$18*$P$18</f>
        <v>0</v>
      </c>
      <c r="Q70" s="84">
        <f>$I$18*$Q$18</f>
        <v>0.2029450216308758</v>
      </c>
      <c r="R70" s="84">
        <f>$I$18*$R$18</f>
        <v>7.5926562406325573E-2</v>
      </c>
      <c r="S70" s="84">
        <f>$I$18*$S$18</f>
        <v>0</v>
      </c>
      <c r="T70" s="84">
        <f>$I$18*$T$18</f>
        <v>0</v>
      </c>
      <c r="U70" s="84">
        <f>$I$18*$U$18</f>
        <v>0</v>
      </c>
      <c r="V70" s="84">
        <f>$I$18*$V$18</f>
        <v>0</v>
      </c>
      <c r="W70" s="84">
        <f>$I$18*$W$18</f>
        <v>0</v>
      </c>
      <c r="X70" s="84">
        <f>$I$18*$X$18</f>
        <v>1.2831568194700413</v>
      </c>
      <c r="Y70" s="84">
        <f>$I$18*$Y$18</f>
        <v>0</v>
      </c>
      <c r="Z70" s="84">
        <f>$I$18*$Z$18</f>
        <v>0</v>
      </c>
      <c r="AA70" s="84">
        <f>$I$18*$AA$18</f>
        <v>3.7887879113111702</v>
      </c>
      <c r="AB70" s="84">
        <f ca="1">$I$18*$AB$18</f>
        <v>-7.6902283588738849E-3</v>
      </c>
      <c r="AC70" s="84">
        <f ca="1">$I$18*$AC$18</f>
        <v>0</v>
      </c>
      <c r="AD70" s="84">
        <f>$I$18*$AD$18</f>
        <v>0.18729157043327455</v>
      </c>
      <c r="AE70" s="84">
        <f>$I$18*$AE$18</f>
        <v>0</v>
      </c>
      <c r="AF70" s="84">
        <f ca="1">$I$18*$AF$18</f>
        <v>0</v>
      </c>
      <c r="AG70" s="84">
        <f ca="1">$I$18*$AG$18</f>
        <v>0</v>
      </c>
      <c r="AI70" s="84">
        <f>$I$18*$AI$18</f>
        <v>0</v>
      </c>
      <c r="AJ70" s="84">
        <f>$I$18*$AJ$18</f>
        <v>8.0787097458528499E-3</v>
      </c>
      <c r="AK70" s="84">
        <f>$I$18*$AK$18</f>
        <v>0</v>
      </c>
      <c r="AL70" s="84">
        <f>$I$18*$AL$18</f>
        <v>0</v>
      </c>
      <c r="AM70" s="84">
        <f>$I$18*$AM$18</f>
        <v>0</v>
      </c>
      <c r="AN70" s="84">
        <f>$I$18*$AN$18</f>
        <v>0.12351002616048451</v>
      </c>
      <c r="AO70" s="84">
        <f>$I$18*$AO$18</f>
        <v>5.0510544852019001E-2</v>
      </c>
      <c r="AP70" s="84">
        <f>$I$18*$AP$18</f>
        <v>0</v>
      </c>
      <c r="AQ70" s="84">
        <f>$I$18*$AQ$18</f>
        <v>0</v>
      </c>
      <c r="AR70" s="84">
        <f>$I$18*$AR$18</f>
        <v>0</v>
      </c>
      <c r="AS70" s="84">
        <f>$I$18*$AS$18</f>
        <v>0</v>
      </c>
      <c r="AT70" s="84">
        <f>$I$18*$AT$18</f>
        <v>0</v>
      </c>
      <c r="AU70" s="84">
        <f>$I$18*$AU$18</f>
        <v>1.0942388059889701</v>
      </c>
      <c r="AV70" s="84">
        <f>$I$18*$AV$18</f>
        <v>0</v>
      </c>
      <c r="AW70" s="84">
        <f>$I$18*$AW$18</f>
        <v>0</v>
      </c>
      <c r="AX70" s="84">
        <f>$I$18*$AX$18</f>
        <v>2.8444325498164647</v>
      </c>
      <c r="AY70" s="84">
        <f>$I$18*$AY$18</f>
        <v>7.1913549172491998E-3</v>
      </c>
      <c r="AZ70" s="84">
        <f>$I$18*$AZ$18</f>
        <v>0</v>
      </c>
      <c r="BA70" s="84">
        <f>$I$18*$BA$18</f>
        <v>0.17265970868081851</v>
      </c>
      <c r="BB70" s="84">
        <f>$I$18*$BB$18</f>
        <v>0</v>
      </c>
      <c r="BC70" s="84">
        <f>$I$18*$BC$18</f>
        <v>0</v>
      </c>
      <c r="BD70" s="84">
        <f>$I$18*$BD$18</f>
        <v>0</v>
      </c>
    </row>
    <row r="71" spans="1:56" ht="11.25" customHeight="1" x14ac:dyDescent="0.25">
      <c r="A71" s="9" t="s">
        <v>22</v>
      </c>
      <c r="B71" s="9" t="s">
        <v>847</v>
      </c>
      <c r="C71" s="9" t="s">
        <v>848</v>
      </c>
      <c r="D71" s="9" t="s">
        <v>849</v>
      </c>
      <c r="E71" s="9" t="s">
        <v>850</v>
      </c>
      <c r="F71" s="9" t="s">
        <v>851</v>
      </c>
      <c r="G71" s="9" t="s">
        <v>854</v>
      </c>
      <c r="L71" s="84">
        <f>$I$19*$L$19</f>
        <v>0</v>
      </c>
      <c r="M71" s="84">
        <f>$I$19*$M$19</f>
        <v>2.0028937280673675</v>
      </c>
      <c r="N71" s="84">
        <f ca="1">$I$19*$N$19</f>
        <v>0</v>
      </c>
      <c r="O71" s="84">
        <f>$I$19*$O$19</f>
        <v>0</v>
      </c>
      <c r="P71" s="84">
        <f>$I$19*$P$19</f>
        <v>0</v>
      </c>
      <c r="Q71" s="84">
        <f>$I$19*$Q$19</f>
        <v>39.208978179085207</v>
      </c>
      <c r="R71" s="84">
        <f>$I$19*$R$19</f>
        <v>14.669011856902102</v>
      </c>
      <c r="S71" s="84">
        <f>$I$19*$S$19</f>
        <v>0</v>
      </c>
      <c r="T71" s="84">
        <f>$I$19*$T$19</f>
        <v>0</v>
      </c>
      <c r="U71" s="84">
        <f>$I$19*$U$19</f>
        <v>0</v>
      </c>
      <c r="V71" s="84">
        <f>$I$19*$V$19</f>
        <v>0</v>
      </c>
      <c r="W71" s="84">
        <f>$I$19*$W$19</f>
        <v>0</v>
      </c>
      <c r="X71" s="84">
        <f>$I$19*$X$19</f>
        <v>82.634515676240554</v>
      </c>
      <c r="Y71" s="84">
        <f>$I$19*$Y$19</f>
        <v>0</v>
      </c>
      <c r="Z71" s="84">
        <f>$I$19*$Z$19</f>
        <v>0</v>
      </c>
      <c r="AA71" s="84">
        <f>$I$19*$AA$19</f>
        <v>243.99800760632516</v>
      </c>
      <c r="AB71" s="84">
        <f ca="1">$I$19*$AB$19</f>
        <v>-0.57074632885655696</v>
      </c>
      <c r="AC71" s="84">
        <f ca="1">$I$19*$AC$19</f>
        <v>0</v>
      </c>
      <c r="AD71" s="84">
        <f>$I$19*$AD$19</f>
        <v>36.184731407708647</v>
      </c>
      <c r="AE71" s="84">
        <f>$I$19*$AE$19</f>
        <v>0</v>
      </c>
      <c r="AF71" s="84">
        <f ca="1">$I$19*$AF$19</f>
        <v>0</v>
      </c>
      <c r="AG71" s="84">
        <f ca="1">$I$19*$AG$19</f>
        <v>0</v>
      </c>
      <c r="AI71" s="84">
        <f>$I$19*$AI$19</f>
        <v>0</v>
      </c>
      <c r="AJ71" s="84">
        <f>$I$19*$AJ$19</f>
        <v>1.5608067228987708</v>
      </c>
      <c r="AK71" s="84">
        <f>$I$19*$AK$19</f>
        <v>0</v>
      </c>
      <c r="AL71" s="84">
        <f>$I$19*$AL$19</f>
        <v>0</v>
      </c>
      <c r="AM71" s="84">
        <f>$I$19*$AM$19</f>
        <v>0</v>
      </c>
      <c r="AN71" s="84">
        <f>$I$19*$AN$19</f>
        <v>23.862137054205608</v>
      </c>
      <c r="AO71" s="84">
        <f>$I$19*$AO$19</f>
        <v>9.758637265410071</v>
      </c>
      <c r="AP71" s="84">
        <f>$I$19*$AP$19</f>
        <v>0</v>
      </c>
      <c r="AQ71" s="84">
        <f>$I$19*$AQ$19</f>
        <v>0</v>
      </c>
      <c r="AR71" s="84">
        <f>$I$19*$AR$19</f>
        <v>0</v>
      </c>
      <c r="AS71" s="84">
        <f>$I$19*$AS$19</f>
        <v>0</v>
      </c>
      <c r="AT71" s="84">
        <f>$I$19*$AT$19</f>
        <v>0</v>
      </c>
      <c r="AU71" s="84">
        <f>$I$19*$AU$19</f>
        <v>70.468322353406663</v>
      </c>
      <c r="AV71" s="84">
        <f>$I$19*$AV$19</f>
        <v>0</v>
      </c>
      <c r="AW71" s="84">
        <f>$I$19*$AW$19</f>
        <v>0</v>
      </c>
      <c r="AX71" s="84">
        <f>$I$19*$AX$19</f>
        <v>183.18147947899189</v>
      </c>
      <c r="AY71" s="84">
        <f>$I$19*$AY$19</f>
        <v>0.52656285085710441</v>
      </c>
      <c r="AZ71" s="84">
        <f>$I$19*$AZ$19</f>
        <v>0</v>
      </c>
      <c r="BA71" s="84">
        <f>$I$19*$BA$19</f>
        <v>33.357855717134136</v>
      </c>
      <c r="BB71" s="84">
        <f>$I$19*$BB$19</f>
        <v>0</v>
      </c>
      <c r="BC71" s="84">
        <f>$I$19*$BC$19</f>
        <v>0</v>
      </c>
      <c r="BD71" s="84">
        <f>$I$19*$BD$19</f>
        <v>0</v>
      </c>
    </row>
    <row r="72" spans="1:56" ht="11.25" customHeight="1" x14ac:dyDescent="0.25">
      <c r="A72" s="9" t="s">
        <v>22</v>
      </c>
      <c r="B72" s="9" t="s">
        <v>855</v>
      </c>
      <c r="C72" s="9" t="s">
        <v>856</v>
      </c>
      <c r="D72" s="9" t="s">
        <v>857</v>
      </c>
      <c r="E72" s="9" t="s">
        <v>858</v>
      </c>
      <c r="F72" s="9" t="s">
        <v>859</v>
      </c>
      <c r="G72" s="9" t="s">
        <v>860</v>
      </c>
      <c r="L72" s="84">
        <f>$I$20*$L$20</f>
        <v>0</v>
      </c>
      <c r="M72" s="84">
        <f>$I$20*$M$20</f>
        <v>5226.3314041628355</v>
      </c>
      <c r="N72" s="84">
        <f ca="1">$I$20*$N$20</f>
        <v>0</v>
      </c>
      <c r="O72" s="84">
        <f>$I$20*$O$20</f>
        <v>0</v>
      </c>
      <c r="P72" s="84">
        <f>$I$20*$P$20</f>
        <v>0</v>
      </c>
      <c r="Q72" s="84">
        <f>$I$20*$Q$20</f>
        <v>102311.52612386427</v>
      </c>
      <c r="R72" s="84">
        <f>$I$20*$R$20</f>
        <v>38277.17679746302</v>
      </c>
      <c r="S72" s="84">
        <f>$I$20*$S$20</f>
        <v>0</v>
      </c>
      <c r="T72" s="84">
        <f>$I$20*$T$20</f>
        <v>0</v>
      </c>
      <c r="U72" s="84">
        <f>$I$20*$U$20</f>
        <v>0</v>
      </c>
      <c r="V72" s="84">
        <f>$I$20*$V$20</f>
        <v>0</v>
      </c>
      <c r="W72" s="84">
        <f>$I$20*$W$20</f>
        <v>0</v>
      </c>
      <c r="X72" s="84">
        <f>$I$20*$X$20</f>
        <v>359381.07518528611</v>
      </c>
      <c r="Y72" s="84">
        <f>$I$20*$Y$20</f>
        <v>0</v>
      </c>
      <c r="Z72" s="84">
        <f>$I$20*$Z$20</f>
        <v>0</v>
      </c>
      <c r="AA72" s="84">
        <f>$I$20*$AA$20</f>
        <v>1061142.9465819313</v>
      </c>
      <c r="AB72" s="84">
        <f ca="1">$I$20*$AB$20</f>
        <v>-2285.1719117023804</v>
      </c>
      <c r="AC72" s="84">
        <f ca="1">$I$20*$AC$20</f>
        <v>0</v>
      </c>
      <c r="AD72" s="84">
        <f>$I$20*$AD$20</f>
        <v>94420.086027122525</v>
      </c>
      <c r="AE72" s="84">
        <f>$I$20*$AE$20</f>
        <v>0</v>
      </c>
      <c r="AF72" s="84">
        <f ca="1">$I$20*$AF$20</f>
        <v>0</v>
      </c>
      <c r="AG72" s="84">
        <f ca="1">$I$20*$AG$20</f>
        <v>0</v>
      </c>
      <c r="AI72" s="84">
        <f>$I$20*$AI$20</f>
        <v>0</v>
      </c>
      <c r="AJ72" s="84">
        <f>$I$20*$AJ$20</f>
        <v>4072.7538747577305</v>
      </c>
      <c r="AK72" s="84">
        <f>$I$20*$AK$20</f>
        <v>0</v>
      </c>
      <c r="AL72" s="84">
        <f>$I$20*$AL$20</f>
        <v>0</v>
      </c>
      <c r="AM72" s="84">
        <f>$I$20*$AM$20</f>
        <v>0</v>
      </c>
      <c r="AN72" s="84">
        <f>$I$20*$AN$20</f>
        <v>62265.628230394934</v>
      </c>
      <c r="AO72" s="84">
        <f>$I$20*$AO$20</f>
        <v>25464.09312053672</v>
      </c>
      <c r="AP72" s="84">
        <f>$I$20*$AP$20</f>
        <v>0</v>
      </c>
      <c r="AQ72" s="84">
        <f>$I$20*$AQ$20</f>
        <v>0</v>
      </c>
      <c r="AR72" s="84">
        <f>$I$20*$AR$20</f>
        <v>0</v>
      </c>
      <c r="AS72" s="84">
        <f>$I$20*$AS$20</f>
        <v>0</v>
      </c>
      <c r="AT72" s="84">
        <f>$I$20*$AT$20</f>
        <v>0</v>
      </c>
      <c r="AU72" s="84">
        <f>$I$20*$AU$20</f>
        <v>306469.62334342621</v>
      </c>
      <c r="AV72" s="84">
        <f>$I$20*$AV$20</f>
        <v>0</v>
      </c>
      <c r="AW72" s="84">
        <f>$I$20*$AW$20</f>
        <v>0</v>
      </c>
      <c r="AX72" s="84">
        <f>$I$20*$AX$20</f>
        <v>796653.16195672413</v>
      </c>
      <c r="AY72" s="84">
        <f>$I$20*$AY$20</f>
        <v>2124.4776825203298</v>
      </c>
      <c r="AZ72" s="84">
        <f>$I$20*$AZ$20</f>
        <v>0</v>
      </c>
      <c r="BA72" s="84">
        <f>$I$20*$BA$20</f>
        <v>87043.664108037512</v>
      </c>
      <c r="BB72" s="84">
        <f>$I$20*$BB$20</f>
        <v>0</v>
      </c>
      <c r="BC72" s="84">
        <f>$I$20*$BC$20</f>
        <v>0</v>
      </c>
      <c r="BD72" s="84">
        <f>$I$20*$BD$20</f>
        <v>0</v>
      </c>
    </row>
    <row r="73" spans="1:56" ht="11.25" customHeight="1" x14ac:dyDescent="0.25">
      <c r="A73" s="9" t="s">
        <v>22</v>
      </c>
      <c r="B73" s="9" t="s">
        <v>855</v>
      </c>
      <c r="C73" s="9" t="s">
        <v>856</v>
      </c>
      <c r="D73" s="9" t="s">
        <v>861</v>
      </c>
      <c r="E73" s="9" t="s">
        <v>862</v>
      </c>
      <c r="F73" s="9" t="s">
        <v>863</v>
      </c>
      <c r="G73" s="9" t="s">
        <v>864</v>
      </c>
      <c r="L73" s="84">
        <f>$I$21*$L$21</f>
        <v>0</v>
      </c>
      <c r="M73" s="84">
        <f>$I$21*$M$21</f>
        <v>567.60266606709126</v>
      </c>
      <c r="N73" s="84">
        <f ca="1">$I$21*$N$21</f>
        <v>0</v>
      </c>
      <c r="O73" s="84">
        <f>$I$21*$O$21</f>
        <v>0</v>
      </c>
      <c r="P73" s="84">
        <f>$I$21*$P$21</f>
        <v>0</v>
      </c>
      <c r="Q73" s="84">
        <f>$I$21*$Q$21</f>
        <v>0</v>
      </c>
      <c r="R73" s="84">
        <f>$I$21*$R$21</f>
        <v>0</v>
      </c>
      <c r="S73" s="84">
        <f>$I$21*$S$21</f>
        <v>0</v>
      </c>
      <c r="T73" s="84">
        <f>$I$21*$T$21</f>
        <v>0</v>
      </c>
      <c r="U73" s="84">
        <f>$I$21*$U$21</f>
        <v>0</v>
      </c>
      <c r="V73" s="84">
        <f>$I$21*$V$21</f>
        <v>0</v>
      </c>
      <c r="W73" s="84">
        <f>$I$21*$W$21</f>
        <v>0</v>
      </c>
      <c r="X73" s="84">
        <f>$I$21*$X$21</f>
        <v>39030.371523464652</v>
      </c>
      <c r="Y73" s="84">
        <f>$I$21*$Y$21</f>
        <v>0</v>
      </c>
      <c r="Z73" s="84">
        <f>$I$21*$Z$21</f>
        <v>0</v>
      </c>
      <c r="AA73" s="84">
        <f>$I$21*$AA$21</f>
        <v>115244.80921329404</v>
      </c>
      <c r="AB73" s="84">
        <f ca="1">$I$21*$AB$21</f>
        <v>-229.71330808194065</v>
      </c>
      <c r="AC73" s="84">
        <f ca="1">$I$21*$AC$21</f>
        <v>0</v>
      </c>
      <c r="AD73" s="84">
        <f>$I$21*$AD$21</f>
        <v>10254.4382311063</v>
      </c>
      <c r="AE73" s="84">
        <f>$I$21*$AE$21</f>
        <v>0</v>
      </c>
      <c r="AF73" s="84">
        <f ca="1">$I$21*$AF$21</f>
        <v>0</v>
      </c>
      <c r="AG73" s="84">
        <f ca="1">$I$21*$AG$21</f>
        <v>0</v>
      </c>
      <c r="AI73" s="84">
        <f>$I$21*$AI$21</f>
        <v>0</v>
      </c>
      <c r="AJ73" s="84">
        <f>$I$21*$AJ$21</f>
        <v>442.31905303713893</v>
      </c>
      <c r="AK73" s="84">
        <f>$I$21*$AK$21</f>
        <v>0</v>
      </c>
      <c r="AL73" s="84">
        <f>$I$21*$AL$21</f>
        <v>0</v>
      </c>
      <c r="AM73" s="84">
        <f>$I$21*$AM$21</f>
        <v>0</v>
      </c>
      <c r="AN73" s="84">
        <f>$I$21*$AN$21</f>
        <v>0</v>
      </c>
      <c r="AO73" s="84">
        <f>$I$21*$AO$21</f>
        <v>0</v>
      </c>
      <c r="AP73" s="84">
        <f>$I$21*$AP$21</f>
        <v>0</v>
      </c>
      <c r="AQ73" s="84">
        <f>$I$21*$AQ$21</f>
        <v>0</v>
      </c>
      <c r="AR73" s="84">
        <f>$I$21*$AR$21</f>
        <v>0</v>
      </c>
      <c r="AS73" s="84">
        <f>$I$21*$AS$21</f>
        <v>0</v>
      </c>
      <c r="AT73" s="84">
        <f>$I$21*$AT$21</f>
        <v>0</v>
      </c>
      <c r="AU73" s="84">
        <f>$I$21*$AU$21</f>
        <v>33283.954235996163</v>
      </c>
      <c r="AV73" s="84">
        <f>$I$21*$AV$21</f>
        <v>0</v>
      </c>
      <c r="AW73" s="84">
        <f>$I$21*$AW$21</f>
        <v>0</v>
      </c>
      <c r="AX73" s="84">
        <f>$I$21*$AX$21</f>
        <v>86520.050813702197</v>
      </c>
      <c r="AY73" s="84">
        <f>$I$21*$AY$21</f>
        <v>217.18460193735453</v>
      </c>
      <c r="AZ73" s="84">
        <f>$I$21*$AZ$21</f>
        <v>0</v>
      </c>
      <c r="BA73" s="84">
        <f>$I$21*$BA$21</f>
        <v>9453.3262419252333</v>
      </c>
      <c r="BB73" s="84">
        <f>$I$21*$BB$21</f>
        <v>0</v>
      </c>
      <c r="BC73" s="84">
        <f>$I$21*$BC$21</f>
        <v>0</v>
      </c>
      <c r="BD73" s="84">
        <f>$I$21*$BD$21</f>
        <v>0</v>
      </c>
    </row>
    <row r="74" spans="1:56" ht="11.25" customHeight="1" x14ac:dyDescent="0.25">
      <c r="A74" s="9" t="s">
        <v>22</v>
      </c>
      <c r="B74" s="9" t="s">
        <v>855</v>
      </c>
      <c r="C74" s="9" t="s">
        <v>856</v>
      </c>
      <c r="D74" s="9" t="s">
        <v>865</v>
      </c>
      <c r="E74" s="9" t="s">
        <v>866</v>
      </c>
      <c r="F74" s="9" t="s">
        <v>867</v>
      </c>
      <c r="G74" s="9" t="s">
        <v>868</v>
      </c>
      <c r="L74" s="84">
        <f>$I$22*$L$22</f>
        <v>0</v>
      </c>
      <c r="M74" s="84">
        <f>$I$22*$M$22</f>
        <v>1510.6993888453262</v>
      </c>
      <c r="N74" s="84">
        <f ca="1">$I$22*$N$22</f>
        <v>0</v>
      </c>
      <c r="O74" s="84">
        <f>$I$22*$O$22</f>
        <v>0</v>
      </c>
      <c r="P74" s="84">
        <f>$I$22*$P$22</f>
        <v>0</v>
      </c>
      <c r="Q74" s="84">
        <f>$I$22*$Q$22</f>
        <v>0</v>
      </c>
      <c r="R74" s="84">
        <f>$I$22*$R$22</f>
        <v>0</v>
      </c>
      <c r="S74" s="84">
        <f>$I$22*$S$22</f>
        <v>0</v>
      </c>
      <c r="T74" s="84">
        <f>$I$22*$T$22</f>
        <v>0</v>
      </c>
      <c r="U74" s="84">
        <f>$I$22*$U$22</f>
        <v>0</v>
      </c>
      <c r="V74" s="84">
        <f>$I$22*$V$22</f>
        <v>0</v>
      </c>
      <c r="W74" s="84">
        <f>$I$22*$W$22</f>
        <v>0</v>
      </c>
      <c r="X74" s="84">
        <f>$I$22*$X$22</f>
        <v>103881.04554803936</v>
      </c>
      <c r="Y74" s="84">
        <f>$I$22*$Y$22</f>
        <v>0</v>
      </c>
      <c r="Z74" s="84">
        <f>$I$22*$Z$22</f>
        <v>0</v>
      </c>
      <c r="AA74" s="84">
        <f>$I$22*$AA$22</f>
        <v>306729.11396357091</v>
      </c>
      <c r="AB74" s="84">
        <f ca="1">$I$22*$AB$22</f>
        <v>-611.39204389855149</v>
      </c>
      <c r="AC74" s="84">
        <f ca="1">$I$22*$AC$22</f>
        <v>0</v>
      </c>
      <c r="AD74" s="84">
        <f>$I$22*$AD$22</f>
        <v>27292.637076608342</v>
      </c>
      <c r="AE74" s="84">
        <f>$I$22*$AE$22</f>
        <v>0</v>
      </c>
      <c r="AF74" s="84">
        <f ca="1">$I$22*$AF$22</f>
        <v>0</v>
      </c>
      <c r="AG74" s="84">
        <f ca="1">$I$22*$AG$22</f>
        <v>0</v>
      </c>
      <c r="AI74" s="84">
        <f>$I$22*$AI$22</f>
        <v>0</v>
      </c>
      <c r="AJ74" s="84">
        <f>$I$22*$AJ$22</f>
        <v>1177.2515582561859</v>
      </c>
      <c r="AK74" s="84">
        <f>$I$22*$AK$22</f>
        <v>0</v>
      </c>
      <c r="AL74" s="84">
        <f>$I$22*$AL$22</f>
        <v>0</v>
      </c>
      <c r="AM74" s="84">
        <f>$I$22*$AM$22</f>
        <v>0</v>
      </c>
      <c r="AN74" s="84">
        <f>$I$22*$AN$22</f>
        <v>0</v>
      </c>
      <c r="AO74" s="84">
        <f>$I$22*$AO$22</f>
        <v>0</v>
      </c>
      <c r="AP74" s="84">
        <f>$I$22*$AP$22</f>
        <v>0</v>
      </c>
      <c r="AQ74" s="84">
        <f>$I$22*$AQ$22</f>
        <v>0</v>
      </c>
      <c r="AR74" s="84">
        <f>$I$22*$AR$22</f>
        <v>0</v>
      </c>
      <c r="AS74" s="84">
        <f>$I$22*$AS$22</f>
        <v>0</v>
      </c>
      <c r="AT74" s="84">
        <f>$I$22*$AT$22</f>
        <v>0</v>
      </c>
      <c r="AU74" s="84">
        <f>$I$22*$AU$22</f>
        <v>88586.703919272724</v>
      </c>
      <c r="AV74" s="84">
        <f>$I$22*$AV$22</f>
        <v>0</v>
      </c>
      <c r="AW74" s="84">
        <f>$I$22*$AW$22</f>
        <v>0</v>
      </c>
      <c r="AX74" s="84">
        <f>$I$22*$AX$22</f>
        <v>230276.90971359255</v>
      </c>
      <c r="AY74" s="84">
        <f>$I$22*$AY$22</f>
        <v>578.04634302862019</v>
      </c>
      <c r="AZ74" s="84">
        <f>$I$22*$AZ$22</f>
        <v>0</v>
      </c>
      <c r="BA74" s="84">
        <f>$I$22*$BA$22</f>
        <v>25160.442383376456</v>
      </c>
      <c r="BB74" s="84">
        <f>$I$22*$BB$22</f>
        <v>0</v>
      </c>
      <c r="BC74" s="84">
        <f>$I$22*$BC$22</f>
        <v>0</v>
      </c>
      <c r="BD74" s="84">
        <f>$I$22*$BD$22</f>
        <v>0</v>
      </c>
    </row>
    <row r="75" spans="1:56" ht="11.25" customHeight="1" x14ac:dyDescent="0.25">
      <c r="A75" s="9" t="s">
        <v>22</v>
      </c>
      <c r="B75" s="9" t="s">
        <v>855</v>
      </c>
      <c r="C75" s="9" t="s">
        <v>856</v>
      </c>
      <c r="D75" s="9" t="s">
        <v>869</v>
      </c>
      <c r="E75" s="9" t="s">
        <v>870</v>
      </c>
      <c r="F75" s="9" t="s">
        <v>871</v>
      </c>
      <c r="G75" s="9" t="s">
        <v>872</v>
      </c>
      <c r="L75" s="84">
        <f>$I$23*$L$23</f>
        <v>0</v>
      </c>
      <c r="M75" s="84">
        <f>$I$23*$M$23</f>
        <v>753.67895760477859</v>
      </c>
      <c r="N75" s="84">
        <f ca="1">$I$23*$N$23</f>
        <v>0</v>
      </c>
      <c r="O75" s="84">
        <f>$I$23*$O$23</f>
        <v>0</v>
      </c>
      <c r="P75" s="84">
        <f>$I$23*$P$23</f>
        <v>0</v>
      </c>
      <c r="Q75" s="84">
        <f>$I$23*$Q$23</f>
        <v>0</v>
      </c>
      <c r="R75" s="84">
        <f>$I$23*$R$23</f>
        <v>0</v>
      </c>
      <c r="S75" s="84">
        <f>$I$23*$S$23</f>
        <v>0</v>
      </c>
      <c r="T75" s="84">
        <f>$I$23*$T$23</f>
        <v>0</v>
      </c>
      <c r="U75" s="84">
        <f>$I$23*$U$23</f>
        <v>0</v>
      </c>
      <c r="V75" s="84">
        <f>$I$23*$V$23</f>
        <v>0</v>
      </c>
      <c r="W75" s="84">
        <f>$I$23*$W$23</f>
        <v>0</v>
      </c>
      <c r="X75" s="84">
        <f>$I$23*$X$23</f>
        <v>51825.636987503196</v>
      </c>
      <c r="Y75" s="84">
        <f>$I$23*$Y$23</f>
        <v>0</v>
      </c>
      <c r="Z75" s="84">
        <f>$I$23*$Z$23</f>
        <v>0</v>
      </c>
      <c r="AA75" s="84">
        <f>$I$23*$AA$23</f>
        <v>153025.3342167536</v>
      </c>
      <c r="AB75" s="84">
        <f ca="1">$I$23*$AB$23</f>
        <v>-305.01986148648257</v>
      </c>
      <c r="AC75" s="84">
        <f ca="1">$I$23*$AC$23</f>
        <v>0</v>
      </c>
      <c r="AD75" s="84">
        <f>$I$23*$AD$23</f>
        <v>13616.134628813146</v>
      </c>
      <c r="AE75" s="84">
        <f>$I$23*$AE$23</f>
        <v>0</v>
      </c>
      <c r="AF75" s="84">
        <f ca="1">$I$23*$AF$23</f>
        <v>0</v>
      </c>
      <c r="AG75" s="84">
        <f ca="1">$I$23*$AG$23</f>
        <v>0</v>
      </c>
      <c r="AI75" s="84">
        <f>$I$23*$AI$23</f>
        <v>0</v>
      </c>
      <c r="AJ75" s="84">
        <f>$I$23*$AJ$23</f>
        <v>587.32381426545021</v>
      </c>
      <c r="AK75" s="84">
        <f>$I$23*$AK$23</f>
        <v>0</v>
      </c>
      <c r="AL75" s="84">
        <f>$I$23*$AL$23</f>
        <v>0</v>
      </c>
      <c r="AM75" s="84">
        <f>$I$23*$AM$23</f>
        <v>0</v>
      </c>
      <c r="AN75" s="84">
        <f>$I$23*$AN$23</f>
        <v>0</v>
      </c>
      <c r="AO75" s="84">
        <f>$I$23*$AO$23</f>
        <v>0</v>
      </c>
      <c r="AP75" s="84">
        <f>$I$23*$AP$23</f>
        <v>0</v>
      </c>
      <c r="AQ75" s="84">
        <f>$I$23*$AQ$23</f>
        <v>0</v>
      </c>
      <c r="AR75" s="84">
        <f>$I$23*$AR$23</f>
        <v>0</v>
      </c>
      <c r="AS75" s="84">
        <f>$I$23*$AS$23</f>
        <v>0</v>
      </c>
      <c r="AT75" s="84">
        <f>$I$23*$AT$23</f>
        <v>0</v>
      </c>
      <c r="AU75" s="84">
        <f>$I$23*$AU$23</f>
        <v>44195.380735906452</v>
      </c>
      <c r="AV75" s="84">
        <f>$I$23*$AV$23</f>
        <v>0</v>
      </c>
      <c r="AW75" s="84">
        <f>$I$23*$AW$23</f>
        <v>0</v>
      </c>
      <c r="AX75" s="84">
        <f>$I$23*$AX$23</f>
        <v>114883.78333564012</v>
      </c>
      <c r="AY75" s="84">
        <f>$I$23*$AY$23</f>
        <v>288.38388926208142</v>
      </c>
      <c r="AZ75" s="84">
        <f>$I$23*$AZ$23</f>
        <v>0</v>
      </c>
      <c r="BA75" s="84">
        <f>$I$23*$BA$23</f>
        <v>12552.395353037269</v>
      </c>
      <c r="BB75" s="84">
        <f>$I$23*$BB$23</f>
        <v>0</v>
      </c>
      <c r="BC75" s="84">
        <f>$I$23*$BC$23</f>
        <v>0</v>
      </c>
      <c r="BD75" s="84">
        <f>$I$23*$BD$23</f>
        <v>0</v>
      </c>
    </row>
    <row r="76" spans="1:56" ht="11.25" customHeight="1" x14ac:dyDescent="0.25">
      <c r="A76" s="9" t="s">
        <v>22</v>
      </c>
      <c r="B76" s="9" t="s">
        <v>855</v>
      </c>
      <c r="C76" s="9" t="s">
        <v>856</v>
      </c>
      <c r="D76" s="9" t="s">
        <v>873</v>
      </c>
      <c r="E76" s="9" t="s">
        <v>874</v>
      </c>
      <c r="F76" s="9" t="s">
        <v>875</v>
      </c>
      <c r="G76" s="9" t="s">
        <v>876</v>
      </c>
      <c r="L76" s="84">
        <f>$I$24*$L$24</f>
        <v>0</v>
      </c>
      <c r="M76" s="84">
        <f>$I$24*$M$24</f>
        <v>215.38986454743514</v>
      </c>
      <c r="N76" s="84">
        <f ca="1">$I$24*$N$24</f>
        <v>0</v>
      </c>
      <c r="O76" s="84">
        <f>$I$24*$O$24</f>
        <v>0</v>
      </c>
      <c r="P76" s="84">
        <f>$I$24*$P$24</f>
        <v>0</v>
      </c>
      <c r="Q76" s="84">
        <f>$I$24*$Q$24</f>
        <v>0</v>
      </c>
      <c r="R76" s="84">
        <f>$I$24*$R$24</f>
        <v>0</v>
      </c>
      <c r="S76" s="84">
        <f>$I$24*$S$24</f>
        <v>0</v>
      </c>
      <c r="T76" s="84">
        <f>$I$24*$T$24</f>
        <v>0</v>
      </c>
      <c r="U76" s="84">
        <f>$I$24*$U$24</f>
        <v>0</v>
      </c>
      <c r="V76" s="84">
        <f>$I$24*$V$24</f>
        <v>0</v>
      </c>
      <c r="W76" s="84">
        <f>$I$24*$W$24</f>
        <v>0</v>
      </c>
      <c r="X76" s="84">
        <f>$I$24*$X$24</f>
        <v>14810.970663554695</v>
      </c>
      <c r="Y76" s="84">
        <f>$I$24*$Y$24</f>
        <v>0</v>
      </c>
      <c r="Z76" s="84">
        <f>$I$24*$Z$24</f>
        <v>0</v>
      </c>
      <c r="AA76" s="84">
        <f>$I$24*$AA$24</f>
        <v>43732.289029298452</v>
      </c>
      <c r="AB76" s="84">
        <f ca="1">$I$24*$AB$24</f>
        <v>-87.16998927320769</v>
      </c>
      <c r="AC76" s="84">
        <f ca="1">$I$24*$AC$24</f>
        <v>0</v>
      </c>
      <c r="AD76" s="84">
        <f>$I$24*$AD$24</f>
        <v>3891.2820422639725</v>
      </c>
      <c r="AE76" s="84">
        <f>$I$24*$AE$24</f>
        <v>0</v>
      </c>
      <c r="AF76" s="84">
        <f ca="1">$I$24*$AF$24</f>
        <v>0</v>
      </c>
      <c r="AG76" s="84">
        <f ca="1">$I$24*$AG$24</f>
        <v>0</v>
      </c>
      <c r="AI76" s="84">
        <f>$I$24*$AI$24</f>
        <v>0</v>
      </c>
      <c r="AJ76" s="84">
        <f>$I$24*$AJ$24</f>
        <v>167.84812090568633</v>
      </c>
      <c r="AK76" s="84">
        <f>$I$24*$AK$24</f>
        <v>0</v>
      </c>
      <c r="AL76" s="84">
        <f>$I$24*$AL$24</f>
        <v>0</v>
      </c>
      <c r="AM76" s="84">
        <f>$I$24*$AM$24</f>
        <v>0</v>
      </c>
      <c r="AN76" s="84">
        <f>$I$24*$AN$24</f>
        <v>0</v>
      </c>
      <c r="AO76" s="84">
        <f>$I$24*$AO$24</f>
        <v>0</v>
      </c>
      <c r="AP76" s="84">
        <f>$I$24*$AP$24</f>
        <v>0</v>
      </c>
      <c r="AQ76" s="84">
        <f>$I$24*$AQ$24</f>
        <v>0</v>
      </c>
      <c r="AR76" s="84">
        <f>$I$24*$AR$24</f>
        <v>0</v>
      </c>
      <c r="AS76" s="84">
        <f>$I$24*$AS$24</f>
        <v>0</v>
      </c>
      <c r="AT76" s="84">
        <f>$I$24*$AT$24</f>
        <v>0</v>
      </c>
      <c r="AU76" s="84">
        <f>$I$24*$AU$24</f>
        <v>12630.360678480112</v>
      </c>
      <c r="AV76" s="84">
        <f>$I$24*$AV$24</f>
        <v>0</v>
      </c>
      <c r="AW76" s="84">
        <f>$I$24*$AW$24</f>
        <v>0</v>
      </c>
      <c r="AX76" s="84">
        <f>$I$24*$AX$24</f>
        <v>32832.019896111145</v>
      </c>
      <c r="AY76" s="84">
        <f>$I$24*$AY$24</f>
        <v>82.415684050973155</v>
      </c>
      <c r="AZ76" s="84">
        <f>$I$24*$AZ$24</f>
        <v>0</v>
      </c>
      <c r="BA76" s="84">
        <f>$I$24*$BA$24</f>
        <v>3587.2817033778942</v>
      </c>
      <c r="BB76" s="84">
        <f>$I$24*$BB$24</f>
        <v>0</v>
      </c>
      <c r="BC76" s="84">
        <f>$I$24*$BC$24</f>
        <v>0</v>
      </c>
      <c r="BD76" s="84">
        <f>$I$24*$BD$24</f>
        <v>0</v>
      </c>
    </row>
    <row r="77" spans="1:56" ht="11.25" customHeight="1" x14ac:dyDescent="0.25">
      <c r="A77" s="9" t="s">
        <v>22</v>
      </c>
      <c r="B77" s="9" t="s">
        <v>877</v>
      </c>
      <c r="C77" s="9" t="s">
        <v>878</v>
      </c>
      <c r="D77" s="9" t="s">
        <v>879</v>
      </c>
      <c r="E77" s="9" t="s">
        <v>880</v>
      </c>
      <c r="F77" s="9" t="s">
        <v>881</v>
      </c>
      <c r="G77" s="9" t="s">
        <v>882</v>
      </c>
      <c r="L77" s="84">
        <f>$I$25*$L$25</f>
        <v>0</v>
      </c>
      <c r="M77" s="84">
        <f>$I$25*$M$25</f>
        <v>0</v>
      </c>
      <c r="N77" s="84">
        <f ca="1">$I$25*$N$25</f>
        <v>0</v>
      </c>
      <c r="O77" s="84">
        <f>$I$25*$O$25</f>
        <v>0</v>
      </c>
      <c r="P77" s="84">
        <f>$I$25*$P$25</f>
        <v>0</v>
      </c>
      <c r="Q77" s="84">
        <f>$I$25*$Q$25</f>
        <v>0</v>
      </c>
      <c r="R77" s="84">
        <f>$I$25*$R$25</f>
        <v>0</v>
      </c>
      <c r="S77" s="84">
        <f>$I$25*$S$25</f>
        <v>0</v>
      </c>
      <c r="T77" s="84">
        <f>$I$25*$T$25</f>
        <v>0</v>
      </c>
      <c r="U77" s="84">
        <f>$I$25*$U$25</f>
        <v>0</v>
      </c>
      <c r="V77" s="84">
        <f>$I$25*$V$25</f>
        <v>0</v>
      </c>
      <c r="W77" s="84">
        <f>$I$25*$W$25</f>
        <v>0</v>
      </c>
      <c r="X77" s="84">
        <f>$I$25*$X$25</f>
        <v>0</v>
      </c>
      <c r="Y77" s="84">
        <f>$I$25*$Y$25</f>
        <v>0</v>
      </c>
      <c r="Z77" s="84">
        <f>$I$25*$Z$25</f>
        <v>0</v>
      </c>
      <c r="AA77" s="84">
        <f>$I$25*$AA$25</f>
        <v>0</v>
      </c>
      <c r="AB77" s="84">
        <f ca="1">$I$25*$AB$25</f>
        <v>0</v>
      </c>
      <c r="AC77" s="84">
        <f ca="1">$I$25*$AC$25</f>
        <v>0</v>
      </c>
      <c r="AD77" s="84">
        <f>$I$25*$AD$25</f>
        <v>0</v>
      </c>
      <c r="AE77" s="84">
        <f>$I$25*$AE$25</f>
        <v>0</v>
      </c>
      <c r="AF77" s="84">
        <f ca="1">$I$25*$AF$25</f>
        <v>0</v>
      </c>
      <c r="AG77" s="84">
        <f ca="1">$I$25*$AG$25</f>
        <v>0</v>
      </c>
      <c r="AI77" s="84">
        <f>$I$25*$AI$25</f>
        <v>0</v>
      </c>
      <c r="AJ77" s="84">
        <f>$I$25*$AJ$25</f>
        <v>0</v>
      </c>
      <c r="AK77" s="84">
        <f>$I$25*$AK$25</f>
        <v>0</v>
      </c>
      <c r="AL77" s="84">
        <f>$I$25*$AL$25</f>
        <v>0</v>
      </c>
      <c r="AM77" s="84">
        <f>$I$25*$AM$25</f>
        <v>0</v>
      </c>
      <c r="AN77" s="84">
        <f>$I$25*$AN$25</f>
        <v>0</v>
      </c>
      <c r="AO77" s="84">
        <f>$I$25*$AO$25</f>
        <v>0</v>
      </c>
      <c r="AP77" s="84">
        <f>$I$25*$AP$25</f>
        <v>0</v>
      </c>
      <c r="AQ77" s="84">
        <f>$I$25*$AQ$25</f>
        <v>0</v>
      </c>
      <c r="AR77" s="84">
        <f>$I$25*$AR$25</f>
        <v>0</v>
      </c>
      <c r="AS77" s="84">
        <f>$I$25*$AS$25</f>
        <v>0</v>
      </c>
      <c r="AT77" s="84">
        <f>$I$25*$AT$25</f>
        <v>0</v>
      </c>
      <c r="AU77" s="84">
        <f>$I$25*$AU$25</f>
        <v>0</v>
      </c>
      <c r="AV77" s="84">
        <f>$I$25*$AV$25</f>
        <v>0</v>
      </c>
      <c r="AW77" s="84">
        <f>$I$25*$AW$25</f>
        <v>0</v>
      </c>
      <c r="AX77" s="84">
        <f>$I$25*$AX$25</f>
        <v>0</v>
      </c>
      <c r="AY77" s="84">
        <f>$I$25*$AY$25</f>
        <v>0</v>
      </c>
      <c r="AZ77" s="84">
        <f>$I$25*$AZ$25</f>
        <v>0</v>
      </c>
      <c r="BA77" s="84">
        <f>$I$25*$BA$25</f>
        <v>0</v>
      </c>
      <c r="BB77" s="84">
        <f>$I$25*$BB$25</f>
        <v>0</v>
      </c>
      <c r="BC77" s="84">
        <f>$I$25*$BC$25</f>
        <v>0</v>
      </c>
      <c r="BD77" s="84">
        <f>$I$25*$BD$25</f>
        <v>0</v>
      </c>
    </row>
    <row r="78" spans="1:56" ht="11.25" customHeight="1" x14ac:dyDescent="0.25">
      <c r="A78" s="9" t="s">
        <v>22</v>
      </c>
      <c r="B78" s="9" t="s">
        <v>877</v>
      </c>
      <c r="C78" s="9" t="s">
        <v>878</v>
      </c>
      <c r="D78" s="9" t="s">
        <v>883</v>
      </c>
      <c r="E78" s="9" t="s">
        <v>884</v>
      </c>
      <c r="F78" s="9" t="s">
        <v>885</v>
      </c>
      <c r="G78" s="9" t="s">
        <v>886</v>
      </c>
      <c r="L78" s="84">
        <f>$I$26*$L$26</f>
        <v>0</v>
      </c>
      <c r="M78" s="84">
        <f>$I$26*$M$26</f>
        <v>0</v>
      </c>
      <c r="N78" s="84">
        <f ca="1">$I$26*$N$26</f>
        <v>0</v>
      </c>
      <c r="O78" s="84">
        <f>$I$26*$O$26</f>
        <v>0</v>
      </c>
      <c r="P78" s="84">
        <f>$I$26*$P$26</f>
        <v>0</v>
      </c>
      <c r="Q78" s="84">
        <f>$I$26*$Q$26</f>
        <v>0</v>
      </c>
      <c r="R78" s="84">
        <f>$I$26*$R$26</f>
        <v>0</v>
      </c>
      <c r="S78" s="84">
        <f>$I$26*$S$26</f>
        <v>0</v>
      </c>
      <c r="T78" s="84">
        <f>$I$26*$T$26</f>
        <v>0</v>
      </c>
      <c r="U78" s="84">
        <f>$I$26*$U$26</f>
        <v>0</v>
      </c>
      <c r="V78" s="84">
        <f>$I$26*$V$26</f>
        <v>0</v>
      </c>
      <c r="W78" s="84">
        <f>$I$26*$W$26</f>
        <v>0</v>
      </c>
      <c r="X78" s="84">
        <f>$I$26*$X$26</f>
        <v>0</v>
      </c>
      <c r="Y78" s="84">
        <f>$I$26*$Y$26</f>
        <v>0</v>
      </c>
      <c r="Z78" s="84">
        <f>$I$26*$Z$26</f>
        <v>0</v>
      </c>
      <c r="AA78" s="84">
        <f>$I$26*$AA$26</f>
        <v>0</v>
      </c>
      <c r="AB78" s="84">
        <f ca="1">$I$26*$AB$26</f>
        <v>0</v>
      </c>
      <c r="AC78" s="84">
        <f ca="1">$I$26*$AC$26</f>
        <v>0</v>
      </c>
      <c r="AD78" s="84">
        <f>$I$26*$AD$26</f>
        <v>0</v>
      </c>
      <c r="AE78" s="84">
        <f>$I$26*$AE$26</f>
        <v>0</v>
      </c>
      <c r="AF78" s="84">
        <f ca="1">$I$26*$AF$26</f>
        <v>0</v>
      </c>
      <c r="AG78" s="84">
        <f ca="1">$I$26*$AG$26</f>
        <v>0</v>
      </c>
      <c r="AI78" s="84">
        <f>$I$26*$AI$26</f>
        <v>0</v>
      </c>
      <c r="AJ78" s="84">
        <f>$I$26*$AJ$26</f>
        <v>0</v>
      </c>
      <c r="AK78" s="84">
        <f>$I$26*$AK$26</f>
        <v>0</v>
      </c>
      <c r="AL78" s="84">
        <f>$I$26*$AL$26</f>
        <v>0</v>
      </c>
      <c r="AM78" s="84">
        <f>$I$26*$AM$26</f>
        <v>0</v>
      </c>
      <c r="AN78" s="84">
        <f>$I$26*$AN$26</f>
        <v>0</v>
      </c>
      <c r="AO78" s="84">
        <f>$I$26*$AO$26</f>
        <v>0</v>
      </c>
      <c r="AP78" s="84">
        <f>$I$26*$AP$26</f>
        <v>0</v>
      </c>
      <c r="AQ78" s="84">
        <f>$I$26*$AQ$26</f>
        <v>0</v>
      </c>
      <c r="AR78" s="84">
        <f>$I$26*$AR$26</f>
        <v>0</v>
      </c>
      <c r="AS78" s="84">
        <f>$I$26*$AS$26</f>
        <v>0</v>
      </c>
      <c r="AT78" s="84">
        <f>$I$26*$AT$26</f>
        <v>0</v>
      </c>
      <c r="AU78" s="84">
        <f>$I$26*$AU$26</f>
        <v>0</v>
      </c>
      <c r="AV78" s="84">
        <f>$I$26*$AV$26</f>
        <v>0</v>
      </c>
      <c r="AW78" s="84">
        <f>$I$26*$AW$26</f>
        <v>0</v>
      </c>
      <c r="AX78" s="84">
        <f>$I$26*$AX$26</f>
        <v>0</v>
      </c>
      <c r="AY78" s="84">
        <f>$I$26*$AY$26</f>
        <v>0</v>
      </c>
      <c r="AZ78" s="84">
        <f>$I$26*$AZ$26</f>
        <v>0</v>
      </c>
      <c r="BA78" s="84">
        <f>$I$26*$BA$26</f>
        <v>0</v>
      </c>
      <c r="BB78" s="84">
        <f>$I$26*$BB$26</f>
        <v>0</v>
      </c>
      <c r="BC78" s="84">
        <f>$I$26*$BC$26</f>
        <v>0</v>
      </c>
      <c r="BD78" s="84">
        <f>$I$26*$BD$26</f>
        <v>0</v>
      </c>
    </row>
    <row r="79" spans="1:56" ht="11.25" customHeight="1" x14ac:dyDescent="0.25">
      <c r="A79" s="9" t="s">
        <v>22</v>
      </c>
      <c r="B79" s="9" t="s">
        <v>877</v>
      </c>
      <c r="C79" s="9" t="s">
        <v>878</v>
      </c>
      <c r="D79" s="9" t="s">
        <v>887</v>
      </c>
      <c r="E79" s="9" t="s">
        <v>888</v>
      </c>
      <c r="F79" s="9" t="s">
        <v>889</v>
      </c>
      <c r="G79" s="9" t="s">
        <v>890</v>
      </c>
      <c r="L79" s="84">
        <f>$I$27*$L$27</f>
        <v>0</v>
      </c>
      <c r="M79" s="84">
        <f>$I$27*$M$27</f>
        <v>0</v>
      </c>
      <c r="N79" s="84">
        <f ca="1">$I$27*$N$27</f>
        <v>0</v>
      </c>
      <c r="O79" s="84">
        <f>$I$27*$O$27</f>
        <v>0</v>
      </c>
      <c r="P79" s="84">
        <f>$I$27*$P$27</f>
        <v>0</v>
      </c>
      <c r="Q79" s="84">
        <f>$I$27*$Q$27</f>
        <v>0</v>
      </c>
      <c r="R79" s="84">
        <f>$I$27*$R$27</f>
        <v>0</v>
      </c>
      <c r="S79" s="84">
        <f>$I$27*$S$27</f>
        <v>0</v>
      </c>
      <c r="T79" s="84">
        <f>$I$27*$T$27</f>
        <v>0</v>
      </c>
      <c r="U79" s="84">
        <f>$I$27*$U$27</f>
        <v>0</v>
      </c>
      <c r="V79" s="84">
        <f>$I$27*$V$27</f>
        <v>0</v>
      </c>
      <c r="W79" s="84">
        <f>$I$27*$W$27</f>
        <v>0</v>
      </c>
      <c r="X79" s="84">
        <f>$I$27*$X$27</f>
        <v>0</v>
      </c>
      <c r="Y79" s="84">
        <f>$I$27*$Y$27</f>
        <v>0</v>
      </c>
      <c r="Z79" s="84">
        <f>$I$27*$Z$27</f>
        <v>0</v>
      </c>
      <c r="AA79" s="84">
        <f>$I$27*$AA$27</f>
        <v>0</v>
      </c>
      <c r="AB79" s="84">
        <f ca="1">$I$27*$AB$27</f>
        <v>0</v>
      </c>
      <c r="AC79" s="84">
        <f ca="1">$I$27*$AC$27</f>
        <v>0</v>
      </c>
      <c r="AD79" s="84">
        <f>$I$27*$AD$27</f>
        <v>0</v>
      </c>
      <c r="AE79" s="84">
        <f>$I$27*$AE$27</f>
        <v>0</v>
      </c>
      <c r="AF79" s="84">
        <f ca="1">$I$27*$AF$27</f>
        <v>0</v>
      </c>
      <c r="AG79" s="84">
        <f ca="1">$I$27*$AG$27</f>
        <v>0</v>
      </c>
      <c r="AI79" s="84">
        <f>$I$27*$AI$27</f>
        <v>0</v>
      </c>
      <c r="AJ79" s="84">
        <f>$I$27*$AJ$27</f>
        <v>0</v>
      </c>
      <c r="AK79" s="84">
        <f>$I$27*$AK$27</f>
        <v>0</v>
      </c>
      <c r="AL79" s="84">
        <f>$I$27*$AL$27</f>
        <v>0</v>
      </c>
      <c r="AM79" s="84">
        <f>$I$27*$AM$27</f>
        <v>0</v>
      </c>
      <c r="AN79" s="84">
        <f>$I$27*$AN$27</f>
        <v>0</v>
      </c>
      <c r="AO79" s="84">
        <f>$I$27*$AO$27</f>
        <v>0</v>
      </c>
      <c r="AP79" s="84">
        <f>$I$27*$AP$27</f>
        <v>0</v>
      </c>
      <c r="AQ79" s="84">
        <f>$I$27*$AQ$27</f>
        <v>0</v>
      </c>
      <c r="AR79" s="84">
        <f>$I$27*$AR$27</f>
        <v>0</v>
      </c>
      <c r="AS79" s="84">
        <f>$I$27*$AS$27</f>
        <v>0</v>
      </c>
      <c r="AT79" s="84">
        <f>$I$27*$AT$27</f>
        <v>0</v>
      </c>
      <c r="AU79" s="84">
        <f>$I$27*$AU$27</f>
        <v>0</v>
      </c>
      <c r="AV79" s="84">
        <f>$I$27*$AV$27</f>
        <v>0</v>
      </c>
      <c r="AW79" s="84">
        <f>$I$27*$AW$27</f>
        <v>0</v>
      </c>
      <c r="AX79" s="84">
        <f>$I$27*$AX$27</f>
        <v>0</v>
      </c>
      <c r="AY79" s="84">
        <f>$I$27*$AY$27</f>
        <v>0</v>
      </c>
      <c r="AZ79" s="84">
        <f>$I$27*$AZ$27</f>
        <v>0</v>
      </c>
      <c r="BA79" s="84">
        <f>$I$27*$BA$27</f>
        <v>0</v>
      </c>
      <c r="BB79" s="84">
        <f>$I$27*$BB$27</f>
        <v>0</v>
      </c>
      <c r="BC79" s="84">
        <f>$I$27*$BC$27</f>
        <v>0</v>
      </c>
      <c r="BD79" s="84">
        <f>$I$27*$BD$27</f>
        <v>0</v>
      </c>
    </row>
    <row r="80" spans="1:56" ht="11.25" customHeight="1" x14ac:dyDescent="0.25">
      <c r="A80" s="9" t="s">
        <v>22</v>
      </c>
      <c r="B80" s="9" t="s">
        <v>877</v>
      </c>
      <c r="C80" s="9" t="s">
        <v>878</v>
      </c>
      <c r="D80" s="9" t="s">
        <v>891</v>
      </c>
      <c r="E80" s="9" t="s">
        <v>892</v>
      </c>
      <c r="F80" s="9" t="s">
        <v>893</v>
      </c>
      <c r="G80" s="9" t="s">
        <v>894</v>
      </c>
      <c r="L80" s="84">
        <f>$I$28*$L$28</f>
        <v>0</v>
      </c>
      <c r="M80" s="84">
        <f>$I$28*$M$28</f>
        <v>0</v>
      </c>
      <c r="N80" s="84">
        <f ca="1">$I$28*$N$28</f>
        <v>0</v>
      </c>
      <c r="O80" s="84">
        <f>$I$28*$O$28</f>
        <v>0</v>
      </c>
      <c r="P80" s="84">
        <f>$I$28*$P$28</f>
        <v>0</v>
      </c>
      <c r="Q80" s="84">
        <f>$I$28*$Q$28</f>
        <v>0</v>
      </c>
      <c r="R80" s="84">
        <f>$I$28*$R$28</f>
        <v>0</v>
      </c>
      <c r="S80" s="84">
        <f>$I$28*$S$28</f>
        <v>0</v>
      </c>
      <c r="T80" s="84">
        <f>$I$28*$T$28</f>
        <v>0</v>
      </c>
      <c r="U80" s="84">
        <f>$I$28*$U$28</f>
        <v>0</v>
      </c>
      <c r="V80" s="84">
        <f>$I$28*$V$28</f>
        <v>0</v>
      </c>
      <c r="W80" s="84">
        <f>$I$28*$W$28</f>
        <v>0</v>
      </c>
      <c r="X80" s="84">
        <f>$I$28*$X$28</f>
        <v>0</v>
      </c>
      <c r="Y80" s="84">
        <f>$I$28*$Y$28</f>
        <v>0</v>
      </c>
      <c r="Z80" s="84">
        <f>$I$28*$Z$28</f>
        <v>0</v>
      </c>
      <c r="AA80" s="84">
        <f>$I$28*$AA$28</f>
        <v>0</v>
      </c>
      <c r="AB80" s="84">
        <f ca="1">$I$28*$AB$28</f>
        <v>0</v>
      </c>
      <c r="AC80" s="84">
        <f ca="1">$I$28*$AC$28</f>
        <v>0</v>
      </c>
      <c r="AD80" s="84">
        <f>$I$28*$AD$28</f>
        <v>0</v>
      </c>
      <c r="AE80" s="84">
        <f>$I$28*$AE$28</f>
        <v>0</v>
      </c>
      <c r="AF80" s="84">
        <f ca="1">$I$28*$AF$28</f>
        <v>0</v>
      </c>
      <c r="AG80" s="84">
        <f ca="1">$I$28*$AG$28</f>
        <v>0</v>
      </c>
      <c r="AI80" s="84">
        <f>$I$28*$AI$28</f>
        <v>0</v>
      </c>
      <c r="AJ80" s="84">
        <f>$I$28*$AJ$28</f>
        <v>0</v>
      </c>
      <c r="AK80" s="84">
        <f>$I$28*$AK$28</f>
        <v>0</v>
      </c>
      <c r="AL80" s="84">
        <f>$I$28*$AL$28</f>
        <v>0</v>
      </c>
      <c r="AM80" s="84">
        <f>$I$28*$AM$28</f>
        <v>0</v>
      </c>
      <c r="AN80" s="84">
        <f>$I$28*$AN$28</f>
        <v>0</v>
      </c>
      <c r="AO80" s="84">
        <f>$I$28*$AO$28</f>
        <v>0</v>
      </c>
      <c r="AP80" s="84">
        <f>$I$28*$AP$28</f>
        <v>0</v>
      </c>
      <c r="AQ80" s="84">
        <f>$I$28*$AQ$28</f>
        <v>0</v>
      </c>
      <c r="AR80" s="84">
        <f>$I$28*$AR$28</f>
        <v>0</v>
      </c>
      <c r="AS80" s="84">
        <f>$I$28*$AS$28</f>
        <v>0</v>
      </c>
      <c r="AT80" s="84">
        <f>$I$28*$AT$28</f>
        <v>0</v>
      </c>
      <c r="AU80" s="84">
        <f>$I$28*$AU$28</f>
        <v>0</v>
      </c>
      <c r="AV80" s="84">
        <f>$I$28*$AV$28</f>
        <v>0</v>
      </c>
      <c r="AW80" s="84">
        <f>$I$28*$AW$28</f>
        <v>0</v>
      </c>
      <c r="AX80" s="84">
        <f>$I$28*$AX$28</f>
        <v>0</v>
      </c>
      <c r="AY80" s="84">
        <f>$I$28*$AY$28</f>
        <v>0</v>
      </c>
      <c r="AZ80" s="84">
        <f>$I$28*$AZ$28</f>
        <v>0</v>
      </c>
      <c r="BA80" s="84">
        <f>$I$28*$BA$28</f>
        <v>0</v>
      </c>
      <c r="BB80" s="84">
        <f>$I$28*$BB$28</f>
        <v>0</v>
      </c>
      <c r="BC80" s="84">
        <f>$I$28*$BC$28</f>
        <v>0</v>
      </c>
      <c r="BD80" s="84">
        <f>$I$28*$BD$28</f>
        <v>0</v>
      </c>
    </row>
    <row r="81" spans="1:56" ht="11.25" customHeight="1" x14ac:dyDescent="0.25">
      <c r="A81" s="9" t="s">
        <v>22</v>
      </c>
      <c r="B81" s="9" t="s">
        <v>877</v>
      </c>
      <c r="C81" s="9" t="s">
        <v>878</v>
      </c>
      <c r="D81" s="9" t="s">
        <v>895</v>
      </c>
      <c r="E81" s="9" t="s">
        <v>896</v>
      </c>
      <c r="F81" s="9" t="s">
        <v>897</v>
      </c>
      <c r="G81" s="9" t="s">
        <v>898</v>
      </c>
      <c r="L81" s="84">
        <f>$I$29*$L$29</f>
        <v>0</v>
      </c>
      <c r="M81" s="84">
        <f>$I$29*$M$29</f>
        <v>0</v>
      </c>
      <c r="N81" s="84">
        <f ca="1">$I$29*$N$29</f>
        <v>0</v>
      </c>
      <c r="O81" s="84">
        <f>$I$29*$O$29</f>
        <v>0</v>
      </c>
      <c r="P81" s="84">
        <f>$I$29*$P$29</f>
        <v>0</v>
      </c>
      <c r="Q81" s="84">
        <f>$I$29*$Q$29</f>
        <v>0</v>
      </c>
      <c r="R81" s="84">
        <f>$I$29*$R$29</f>
        <v>0</v>
      </c>
      <c r="S81" s="84">
        <f>$I$29*$S$29</f>
        <v>0</v>
      </c>
      <c r="T81" s="84">
        <f>$I$29*$T$29</f>
        <v>0</v>
      </c>
      <c r="U81" s="84">
        <f>$I$29*$U$29</f>
        <v>0</v>
      </c>
      <c r="V81" s="84">
        <f>$I$29*$V$29</f>
        <v>0</v>
      </c>
      <c r="W81" s="84">
        <f>$I$29*$W$29</f>
        <v>0</v>
      </c>
      <c r="X81" s="84">
        <f>$I$29*$X$29</f>
        <v>0</v>
      </c>
      <c r="Y81" s="84">
        <f>$I$29*$Y$29</f>
        <v>0</v>
      </c>
      <c r="Z81" s="84">
        <f>$I$29*$Z$29</f>
        <v>0</v>
      </c>
      <c r="AA81" s="84">
        <f>$I$29*$AA$29</f>
        <v>0</v>
      </c>
      <c r="AB81" s="84">
        <f ca="1">$I$29*$AB$29</f>
        <v>0</v>
      </c>
      <c r="AC81" s="84">
        <f ca="1">$I$29*$AC$29</f>
        <v>0</v>
      </c>
      <c r="AD81" s="84">
        <f>$I$29*$AD$29</f>
        <v>0</v>
      </c>
      <c r="AE81" s="84">
        <f>$I$29*$AE$29</f>
        <v>0</v>
      </c>
      <c r="AF81" s="84">
        <f ca="1">$I$29*$AF$29</f>
        <v>0</v>
      </c>
      <c r="AG81" s="84">
        <f ca="1">$I$29*$AG$29</f>
        <v>0</v>
      </c>
      <c r="AI81" s="84">
        <f>$I$29*$AI$29</f>
        <v>0</v>
      </c>
      <c r="AJ81" s="84">
        <f>$I$29*$AJ$29</f>
        <v>0</v>
      </c>
      <c r="AK81" s="84">
        <f>$I$29*$AK$29</f>
        <v>0</v>
      </c>
      <c r="AL81" s="84">
        <f>$I$29*$AL$29</f>
        <v>0</v>
      </c>
      <c r="AM81" s="84">
        <f>$I$29*$AM$29</f>
        <v>0</v>
      </c>
      <c r="AN81" s="84">
        <f>$I$29*$AN$29</f>
        <v>0</v>
      </c>
      <c r="AO81" s="84">
        <f>$I$29*$AO$29</f>
        <v>0</v>
      </c>
      <c r="AP81" s="84">
        <f>$I$29*$AP$29</f>
        <v>0</v>
      </c>
      <c r="AQ81" s="84">
        <f>$I$29*$AQ$29</f>
        <v>0</v>
      </c>
      <c r="AR81" s="84">
        <f>$I$29*$AR$29</f>
        <v>0</v>
      </c>
      <c r="AS81" s="84">
        <f>$I$29*$AS$29</f>
        <v>0</v>
      </c>
      <c r="AT81" s="84">
        <f>$I$29*$AT$29</f>
        <v>0</v>
      </c>
      <c r="AU81" s="84">
        <f>$I$29*$AU$29</f>
        <v>0</v>
      </c>
      <c r="AV81" s="84">
        <f>$I$29*$AV$29</f>
        <v>0</v>
      </c>
      <c r="AW81" s="84">
        <f>$I$29*$AW$29</f>
        <v>0</v>
      </c>
      <c r="AX81" s="84">
        <f>$I$29*$AX$29</f>
        <v>0</v>
      </c>
      <c r="AY81" s="84">
        <f>$I$29*$AY$29</f>
        <v>0</v>
      </c>
      <c r="AZ81" s="84">
        <f>$I$29*$AZ$29</f>
        <v>0</v>
      </c>
      <c r="BA81" s="84">
        <f>$I$29*$BA$29</f>
        <v>0</v>
      </c>
      <c r="BB81" s="84">
        <f>$I$29*$BB$29</f>
        <v>0</v>
      </c>
      <c r="BC81" s="84">
        <f>$I$29*$BC$29</f>
        <v>0</v>
      </c>
      <c r="BD81" s="84">
        <f>$I$29*$BD$29</f>
        <v>0</v>
      </c>
    </row>
    <row r="82" spans="1:56" ht="11.25" customHeight="1" x14ac:dyDescent="0.25">
      <c r="A82" s="9" t="s">
        <v>41</v>
      </c>
      <c r="B82" s="9" t="s">
        <v>899</v>
      </c>
      <c r="C82" s="9" t="s">
        <v>900</v>
      </c>
      <c r="D82" s="9" t="s">
        <v>901</v>
      </c>
      <c r="E82" s="9" t="s">
        <v>902</v>
      </c>
      <c r="F82" s="9" t="s">
        <v>903</v>
      </c>
      <c r="G82" s="9" t="s">
        <v>904</v>
      </c>
      <c r="L82" s="84">
        <f>$I$30*$L$30</f>
        <v>0</v>
      </c>
      <c r="M82" s="84">
        <f>$I$30*$M$30</f>
        <v>0.66460409481854443</v>
      </c>
      <c r="N82" s="84">
        <f ca="1">$I$30*$N$30</f>
        <v>0</v>
      </c>
      <c r="O82" s="84">
        <f>$I$30*$O$30</f>
        <v>0</v>
      </c>
      <c r="P82" s="84">
        <f>$I$30*$P$30</f>
        <v>0</v>
      </c>
      <c r="Q82" s="84">
        <f>$I$30*$Q$30</f>
        <v>13.010399446712185</v>
      </c>
      <c r="R82" s="84">
        <f>$I$30*$R$30</f>
        <v>4.8675000627447202</v>
      </c>
      <c r="S82" s="84">
        <f>$I$30*$S$30</f>
        <v>0</v>
      </c>
      <c r="T82" s="84">
        <f>$I$30*$T$30</f>
        <v>0</v>
      </c>
      <c r="U82" s="84">
        <f>$I$30*$U$30</f>
        <v>0</v>
      </c>
      <c r="V82" s="84">
        <f>$I$30*$V$30</f>
        <v>0</v>
      </c>
      <c r="W82" s="84">
        <f>$I$30*$W$30</f>
        <v>0</v>
      </c>
      <c r="X82" s="84">
        <f>$I$30*$X$30</f>
        <v>121.86120020093445</v>
      </c>
      <c r="Y82" s="84">
        <f>$I$30*$Y$30</f>
        <v>0</v>
      </c>
      <c r="Z82" s="84">
        <f>$I$30*$Z$30</f>
        <v>0</v>
      </c>
      <c r="AA82" s="84">
        <f>$I$30*$AA$30</f>
        <v>359.81772734145284</v>
      </c>
      <c r="AB82" s="84">
        <f ca="1">$I$30*$AB$30</f>
        <v>-0.71224578365692881</v>
      </c>
      <c r="AC82" s="84">
        <f ca="1">$I$30*$AC$30</f>
        <v>0</v>
      </c>
      <c r="AD82" s="84">
        <f>$I$30*$AD$30</f>
        <v>12.006887997336365</v>
      </c>
      <c r="AE82" s="84">
        <f>$I$30*$AE$30</f>
        <v>0</v>
      </c>
      <c r="AF82" s="84">
        <f ca="1">$I$30*$AF$30</f>
        <v>0</v>
      </c>
      <c r="AG82" s="84">
        <f ca="1">$I$30*$AG$30</f>
        <v>0</v>
      </c>
      <c r="AI82" s="84">
        <f>$I$30*$AI$30</f>
        <v>0</v>
      </c>
      <c r="AJ82" s="84">
        <f>$I$30*$AJ$30</f>
        <v>0.48485184410710414</v>
      </c>
      <c r="AK82" s="84">
        <f>$I$30*$AK$30</f>
        <v>0</v>
      </c>
      <c r="AL82" s="84">
        <f>$I$30*$AL$30</f>
        <v>0</v>
      </c>
      <c r="AM82" s="84">
        <f>$I$30*$AM$30</f>
        <v>0</v>
      </c>
      <c r="AN82" s="84">
        <f>$I$30*$AN$30</f>
        <v>7.4125777300476479</v>
      </c>
      <c r="AO82" s="84">
        <f>$I$30*$AO$30</f>
        <v>3.0314408598387845</v>
      </c>
      <c r="AP82" s="84">
        <f>$I$30*$AP$30</f>
        <v>0</v>
      </c>
      <c r="AQ82" s="84">
        <f>$I$30*$AQ$30</f>
        <v>0</v>
      </c>
      <c r="AR82" s="84">
        <f>$I$30*$AR$30</f>
        <v>0</v>
      </c>
      <c r="AS82" s="84">
        <f>$I$30*$AS$30</f>
        <v>0</v>
      </c>
      <c r="AT82" s="84">
        <f>$I$30*$AT$30</f>
        <v>0</v>
      </c>
      <c r="AU82" s="84">
        <f>$I$30*$AU$30</f>
        <v>97.286510121188172</v>
      </c>
      <c r="AV82" s="84">
        <f>$I$30*$AV$30</f>
        <v>0</v>
      </c>
      <c r="AW82" s="84">
        <f>$I$30*$AW$30</f>
        <v>0</v>
      </c>
      <c r="AX82" s="84">
        <f>$I$30*$AX$30</f>
        <v>252.89064199629007</v>
      </c>
      <c r="AY82" s="84">
        <f>$I$30*$AY$30</f>
        <v>0.6251341576833167</v>
      </c>
      <c r="AZ82" s="84">
        <f>$I$30*$AZ$30</f>
        <v>0</v>
      </c>
      <c r="BA82" s="84">
        <f>$I$30*$BA$30</f>
        <v>10.362345076188019</v>
      </c>
      <c r="BB82" s="84">
        <f>$I$30*$BB$30</f>
        <v>0</v>
      </c>
      <c r="BC82" s="84">
        <f>$I$30*$BC$30</f>
        <v>0</v>
      </c>
      <c r="BD82" s="84">
        <f>$I$30*$BD$30</f>
        <v>0</v>
      </c>
    </row>
    <row r="83" spans="1:56" ht="11.25" customHeight="1" x14ac:dyDescent="0.25">
      <c r="A83" s="9" t="s">
        <v>41</v>
      </c>
      <c r="B83" s="9" t="s">
        <v>899</v>
      </c>
      <c r="C83" s="9" t="s">
        <v>900</v>
      </c>
      <c r="D83" s="9" t="s">
        <v>901</v>
      </c>
      <c r="E83" s="9" t="s">
        <v>902</v>
      </c>
      <c r="F83" s="9" t="s">
        <v>903</v>
      </c>
      <c r="G83" s="9" t="s">
        <v>905</v>
      </c>
      <c r="L83" s="84">
        <f>$I$31*$L$31</f>
        <v>0</v>
      </c>
      <c r="M83" s="84">
        <f>$I$31*$M$31</f>
        <v>1.0816870164935253</v>
      </c>
      <c r="N83" s="84">
        <f ca="1">$I$31*$N$31</f>
        <v>0</v>
      </c>
      <c r="O83" s="84">
        <f>$I$31*$O$31</f>
        <v>0</v>
      </c>
      <c r="P83" s="84">
        <f>$I$31*$P$31</f>
        <v>0</v>
      </c>
      <c r="Q83" s="84">
        <f>$I$31*$Q$31</f>
        <v>21.175283556965582</v>
      </c>
      <c r="R83" s="84">
        <f>$I$31*$R$31</f>
        <v>7.9221775214760104</v>
      </c>
      <c r="S83" s="84">
        <f>$I$31*$S$31</f>
        <v>0</v>
      </c>
      <c r="T83" s="84">
        <f>$I$31*$T$31</f>
        <v>0</v>
      </c>
      <c r="U83" s="84">
        <f>$I$31*$U$31</f>
        <v>0</v>
      </c>
      <c r="V83" s="84">
        <f>$I$31*$V$31</f>
        <v>0</v>
      </c>
      <c r="W83" s="84">
        <f>$I$31*$W$31</f>
        <v>0</v>
      </c>
      <c r="X83" s="84">
        <f>$I$31*$X$31</f>
        <v>119.00281956633398</v>
      </c>
      <c r="Y83" s="84">
        <f>$I$31*$Y$31</f>
        <v>0</v>
      </c>
      <c r="Z83" s="84">
        <f>$I$31*$Z$31</f>
        <v>0</v>
      </c>
      <c r="AA83" s="84">
        <f>$I$31*$AA$31</f>
        <v>351.37613789664454</v>
      </c>
      <c r="AB83" s="84">
        <f ca="1">$I$31*$AB$31</f>
        <v>-0.72000030412425753</v>
      </c>
      <c r="AC83" s="84">
        <f ca="1">$I$31*$AC$31</f>
        <v>0</v>
      </c>
      <c r="AD83" s="84">
        <f>$I$31*$AD$31</f>
        <v>19.542002459007868</v>
      </c>
      <c r="AE83" s="84">
        <f>$I$31*$AE$31</f>
        <v>0</v>
      </c>
      <c r="AF83" s="84">
        <f ca="1">$I$31*$AF$31</f>
        <v>0</v>
      </c>
      <c r="AG83" s="84">
        <f ca="1">$I$31*$AG$31</f>
        <v>0</v>
      </c>
      <c r="AI83" s="84">
        <f>$I$31*$AI$31</f>
        <v>0</v>
      </c>
      <c r="AJ83" s="84">
        <f>$I$31*$AJ$31</f>
        <v>0.7891283679749056</v>
      </c>
      <c r="AK83" s="84">
        <f>$I$31*$AK$31</f>
        <v>0</v>
      </c>
      <c r="AL83" s="84">
        <f>$I$31*$AL$31</f>
        <v>0</v>
      </c>
      <c r="AM83" s="84">
        <f>$I$31*$AM$31</f>
        <v>0</v>
      </c>
      <c r="AN83" s="84">
        <f>$I$31*$AN$31</f>
        <v>12.064459355356142</v>
      </c>
      <c r="AO83" s="84">
        <f>$I$31*$AO$31</f>
        <v>4.9338700211452364</v>
      </c>
      <c r="AP83" s="84">
        <f>$I$31*$AP$31</f>
        <v>0</v>
      </c>
      <c r="AQ83" s="84">
        <f>$I$31*$AQ$31</f>
        <v>0</v>
      </c>
      <c r="AR83" s="84">
        <f>$I$31*$AR$31</f>
        <v>0</v>
      </c>
      <c r="AS83" s="84">
        <f>$I$31*$AS$31</f>
        <v>0</v>
      </c>
      <c r="AT83" s="84">
        <f>$I$31*$AT$31</f>
        <v>0</v>
      </c>
      <c r="AU83" s="84">
        <f>$I$31*$AU$31</f>
        <v>95.004550547624405</v>
      </c>
      <c r="AV83" s="84">
        <f>$I$31*$AV$31</f>
        <v>0</v>
      </c>
      <c r="AW83" s="84">
        <f>$I$31*$AW$31</f>
        <v>0</v>
      </c>
      <c r="AX83" s="84">
        <f>$I$31*$AX$31</f>
        <v>246.95763899744929</v>
      </c>
      <c r="AY83" s="84">
        <f>$I$31*$AY$31</f>
        <v>0.629713587806917</v>
      </c>
      <c r="AZ83" s="84">
        <f>$I$31*$AZ$31</f>
        <v>0</v>
      </c>
      <c r="BA83" s="84">
        <f>$I$31*$BA$31</f>
        <v>16.865400343942376</v>
      </c>
      <c r="BB83" s="84">
        <f>$I$31*$BB$31</f>
        <v>0</v>
      </c>
      <c r="BC83" s="84">
        <f>$I$31*$BC$31</f>
        <v>0</v>
      </c>
      <c r="BD83" s="84">
        <f>$I$31*$BD$31</f>
        <v>0</v>
      </c>
    </row>
    <row r="84" spans="1:56" ht="11.25" customHeight="1" x14ac:dyDescent="0.25">
      <c r="A84" s="9" t="s">
        <v>41</v>
      </c>
      <c r="B84" s="9" t="s">
        <v>899</v>
      </c>
      <c r="C84" s="9" t="s">
        <v>900</v>
      </c>
      <c r="D84" s="9" t="s">
        <v>901</v>
      </c>
      <c r="E84" s="9" t="s">
        <v>902</v>
      </c>
      <c r="F84" s="9" t="s">
        <v>903</v>
      </c>
      <c r="G84" s="9" t="s">
        <v>906</v>
      </c>
      <c r="L84" s="84">
        <f>$I$32*$L$32</f>
        <v>0</v>
      </c>
      <c r="M84" s="84">
        <f>$I$32*$M$32</f>
        <v>32.286895703120251</v>
      </c>
      <c r="N84" s="84">
        <f ca="1">$I$32*$N$32</f>
        <v>0</v>
      </c>
      <c r="O84" s="84">
        <f>$I$32*$O$32</f>
        <v>0</v>
      </c>
      <c r="P84" s="84">
        <f>$I$32*$P$32</f>
        <v>0</v>
      </c>
      <c r="Q84" s="84">
        <f>$I$32*$Q$32</f>
        <v>632.0535989273726</v>
      </c>
      <c r="R84" s="84">
        <f>$I$32*$R$32</f>
        <v>236.46629337075959</v>
      </c>
      <c r="S84" s="84">
        <f>$I$32*$S$32</f>
        <v>0</v>
      </c>
      <c r="T84" s="84">
        <f>$I$32*$T$32</f>
        <v>0</v>
      </c>
      <c r="U84" s="84">
        <f>$I$32*$U$32</f>
        <v>0</v>
      </c>
      <c r="V84" s="84">
        <f>$I$32*$V$32</f>
        <v>0</v>
      </c>
      <c r="W84" s="84">
        <f>$I$32*$W$32</f>
        <v>0</v>
      </c>
      <c r="X84" s="84">
        <f>$I$32*$X$32</f>
        <v>1184.0528674893787</v>
      </c>
      <c r="Y84" s="84">
        <f>$I$32*$Y$32</f>
        <v>0</v>
      </c>
      <c r="Z84" s="84">
        <f>$I$32*$Z$32</f>
        <v>0</v>
      </c>
      <c r="AA84" s="84">
        <f>$I$32*$AA$32</f>
        <v>3496.0380249318832</v>
      </c>
      <c r="AB84" s="84">
        <f ca="1">$I$32*$AB$32</f>
        <v>-8.380728945768988</v>
      </c>
      <c r="AC84" s="84">
        <f ca="1">$I$32*$AC$32</f>
        <v>0</v>
      </c>
      <c r="AD84" s="84">
        <f>$I$32*$AD$32</f>
        <v>583.30236528995363</v>
      </c>
      <c r="AE84" s="84">
        <f>$I$32*$AE$32</f>
        <v>0</v>
      </c>
      <c r="AF84" s="84">
        <f ca="1">$I$32*$AF$32</f>
        <v>0</v>
      </c>
      <c r="AG84" s="84">
        <f ca="1">$I$32*$AG$32</f>
        <v>0</v>
      </c>
      <c r="AI84" s="84">
        <f>$I$32*$AI$32</f>
        <v>0</v>
      </c>
      <c r="AJ84" s="84">
        <f>$I$32*$AJ$32</f>
        <v>23.554415394364476</v>
      </c>
      <c r="AK84" s="84">
        <f>$I$32*$AK$32</f>
        <v>0</v>
      </c>
      <c r="AL84" s="84">
        <f>$I$32*$AL$32</f>
        <v>0</v>
      </c>
      <c r="AM84" s="84">
        <f>$I$32*$AM$32</f>
        <v>0</v>
      </c>
      <c r="AN84" s="84">
        <f>$I$32*$AN$32</f>
        <v>360.10780843392763</v>
      </c>
      <c r="AO84" s="84">
        <f>$I$32*$AO$32</f>
        <v>147.2693527392648</v>
      </c>
      <c r="AP84" s="84">
        <f>$I$32*$AP$32</f>
        <v>0</v>
      </c>
      <c r="AQ84" s="84">
        <f>$I$32*$AQ$32</f>
        <v>0</v>
      </c>
      <c r="AR84" s="84">
        <f>$I$32*$AR$32</f>
        <v>0</v>
      </c>
      <c r="AS84" s="84">
        <f>$I$32*$AS$32</f>
        <v>0</v>
      </c>
      <c r="AT84" s="84">
        <f>$I$32*$AT$32</f>
        <v>0</v>
      </c>
      <c r="AU84" s="84">
        <f>$I$32*$AU$32</f>
        <v>945.27522048938908</v>
      </c>
      <c r="AV84" s="84">
        <f>$I$32*$AV$32</f>
        <v>0</v>
      </c>
      <c r="AW84" s="84">
        <f>$I$32*$AW$32</f>
        <v>0</v>
      </c>
      <c r="AX84" s="84">
        <f>$I$32*$AX$32</f>
        <v>2457.1193729489896</v>
      </c>
      <c r="AY84" s="84">
        <f>$I$32*$AY$32</f>
        <v>7.2227925288650736</v>
      </c>
      <c r="AZ84" s="84">
        <f>$I$32*$AZ$32</f>
        <v>0</v>
      </c>
      <c r="BA84" s="84">
        <f>$I$32*$BA$32</f>
        <v>503.409409185134</v>
      </c>
      <c r="BB84" s="84">
        <f>$I$32*$BB$32</f>
        <v>0</v>
      </c>
      <c r="BC84" s="84">
        <f>$I$32*$BC$32</f>
        <v>0</v>
      </c>
      <c r="BD84" s="84">
        <f>$I$32*$BD$32</f>
        <v>0</v>
      </c>
    </row>
    <row r="85" spans="1:56" ht="11.25" customHeight="1" x14ac:dyDescent="0.25">
      <c r="A85" s="9" t="s">
        <v>41</v>
      </c>
      <c r="B85" s="9" t="s">
        <v>907</v>
      </c>
      <c r="C85" s="9" t="s">
        <v>908</v>
      </c>
      <c r="D85" s="9" t="s">
        <v>909</v>
      </c>
      <c r="E85" s="9" t="s">
        <v>910</v>
      </c>
      <c r="F85" s="9" t="s">
        <v>911</v>
      </c>
      <c r="G85" s="9" t="s">
        <v>912</v>
      </c>
      <c r="L85" s="84">
        <f>$I$33*$L$33</f>
        <v>0</v>
      </c>
      <c r="M85" s="84">
        <f>$I$33*$M$33</f>
        <v>4969.1532146343361</v>
      </c>
      <c r="N85" s="84">
        <f ca="1">$I$33*$N$33</f>
        <v>0</v>
      </c>
      <c r="O85" s="84">
        <f>$I$33*$O$33</f>
        <v>0</v>
      </c>
      <c r="P85" s="84">
        <f>$I$33*$P$33</f>
        <v>0</v>
      </c>
      <c r="Q85" s="84">
        <f>$I$33*$Q$33</f>
        <v>97276.963440855863</v>
      </c>
      <c r="R85" s="84">
        <f>$I$33*$R$33</f>
        <v>36393.627082036845</v>
      </c>
      <c r="S85" s="84">
        <f>$I$33*$S$33</f>
        <v>0</v>
      </c>
      <c r="T85" s="84">
        <f>$I$33*$T$33</f>
        <v>0</v>
      </c>
      <c r="U85" s="84">
        <f>$I$33*$U$33</f>
        <v>0</v>
      </c>
      <c r="V85" s="84">
        <f>$I$33*$V$33</f>
        <v>0</v>
      </c>
      <c r="W85" s="84">
        <f>$I$33*$W$33</f>
        <v>0</v>
      </c>
      <c r="X85" s="84">
        <f>$I$33*$X$33</f>
        <v>341696.5911525017</v>
      </c>
      <c r="Y85" s="84">
        <f>$I$33*$Y$33</f>
        <v>0</v>
      </c>
      <c r="Z85" s="84">
        <f>$I$33*$Z$33</f>
        <v>0</v>
      </c>
      <c r="AA85" s="84">
        <f>$I$33*$AA$33</f>
        <v>1008926.0470536104</v>
      </c>
      <c r="AB85" s="84">
        <f ca="1">$I$33*$AB$33</f>
        <v>-2172.7227902125164</v>
      </c>
      <c r="AC85" s="84">
        <f ca="1">$I$33*$AC$33</f>
        <v>0</v>
      </c>
      <c r="AD85" s="84">
        <f>$I$33*$AD$33</f>
        <v>89773.846647767641</v>
      </c>
      <c r="AE85" s="84">
        <f>$I$33*$AE$33</f>
        <v>0</v>
      </c>
      <c r="AF85" s="84">
        <f ca="1">$I$33*$AF$33</f>
        <v>0</v>
      </c>
      <c r="AG85" s="84">
        <f ca="1">$I$33*$AG$33</f>
        <v>0</v>
      </c>
      <c r="AI85" s="84">
        <f>$I$33*$AI$33</f>
        <v>0</v>
      </c>
      <c r="AJ85" s="84">
        <f>$I$33*$AJ$33</f>
        <v>3625.1704113017995</v>
      </c>
      <c r="AK85" s="84">
        <f>$I$33*$AK$33</f>
        <v>0</v>
      </c>
      <c r="AL85" s="84">
        <f>$I$33*$AL$33</f>
        <v>0</v>
      </c>
      <c r="AM85" s="84">
        <f>$I$33*$AM$33</f>
        <v>0</v>
      </c>
      <c r="AN85" s="84">
        <f>$I$33*$AN$33</f>
        <v>55422.822012629847</v>
      </c>
      <c r="AO85" s="84">
        <f>$I$33*$AO$33</f>
        <v>22665.665485787573</v>
      </c>
      <c r="AP85" s="84">
        <f>$I$33*$AP$33</f>
        <v>0</v>
      </c>
      <c r="AQ85" s="84">
        <f>$I$33*$AQ$33</f>
        <v>0</v>
      </c>
      <c r="AR85" s="84">
        <f>$I$33*$AR$33</f>
        <v>0</v>
      </c>
      <c r="AS85" s="84">
        <f>$I$33*$AS$33</f>
        <v>0</v>
      </c>
      <c r="AT85" s="84">
        <f>$I$33*$AT$33</f>
        <v>0</v>
      </c>
      <c r="AU85" s="84">
        <f>$I$33*$AU$33</f>
        <v>272789.52882304514</v>
      </c>
      <c r="AV85" s="84">
        <f>$I$33*$AV$33</f>
        <v>0</v>
      </c>
      <c r="AW85" s="84">
        <f>$I$33*$AW$33</f>
        <v>0</v>
      </c>
      <c r="AX85" s="84">
        <f>$I$33*$AX$33</f>
        <v>709103.36337654048</v>
      </c>
      <c r="AY85" s="84">
        <f>$I$33*$AY$33</f>
        <v>1891.0039425355294</v>
      </c>
      <c r="AZ85" s="84">
        <f>$I$33*$AZ$33</f>
        <v>0</v>
      </c>
      <c r="BA85" s="84">
        <f>$I$33*$BA$33</f>
        <v>77477.82589354759</v>
      </c>
      <c r="BB85" s="84">
        <f>$I$33*$BB$33</f>
        <v>0</v>
      </c>
      <c r="BC85" s="84">
        <f>$I$33*$BC$33</f>
        <v>0</v>
      </c>
      <c r="BD85" s="84">
        <f>$I$33*$BD$33</f>
        <v>0</v>
      </c>
    </row>
    <row r="86" spans="1:56" ht="11.25" customHeight="1" x14ac:dyDescent="0.25">
      <c r="A86" s="9" t="s">
        <v>41</v>
      </c>
      <c r="B86" s="9" t="s">
        <v>899</v>
      </c>
      <c r="C86" s="9" t="s">
        <v>900</v>
      </c>
      <c r="D86" s="9" t="s">
        <v>913</v>
      </c>
      <c r="E86" s="9" t="s">
        <v>914</v>
      </c>
      <c r="F86" s="9" t="s">
        <v>915</v>
      </c>
      <c r="G86" s="9" t="s">
        <v>916</v>
      </c>
      <c r="L86" s="84">
        <f>$I$34*$L$34</f>
        <v>0</v>
      </c>
      <c r="M86" s="84">
        <f>$I$34*$M$34</f>
        <v>0</v>
      </c>
      <c r="N86" s="84">
        <f ca="1">$I$34*$N$34</f>
        <v>0</v>
      </c>
      <c r="O86" s="84">
        <f>$I$34*$O$34</f>
        <v>0</v>
      </c>
      <c r="P86" s="84">
        <f>$I$34*$P$34</f>
        <v>0</v>
      </c>
      <c r="Q86" s="84">
        <f>$I$34*$Q$34</f>
        <v>0</v>
      </c>
      <c r="R86" s="84">
        <f>$I$34*$R$34</f>
        <v>0</v>
      </c>
      <c r="S86" s="84">
        <f>$I$34*$S$34</f>
        <v>0</v>
      </c>
      <c r="T86" s="84">
        <f>$I$34*$T$34</f>
        <v>0</v>
      </c>
      <c r="U86" s="84">
        <f>$I$34*$U$34</f>
        <v>0</v>
      </c>
      <c r="V86" s="84">
        <f>$I$34*$V$34</f>
        <v>0</v>
      </c>
      <c r="W86" s="84">
        <f>$I$34*$W$34</f>
        <v>0</v>
      </c>
      <c r="X86" s="84">
        <f>$I$34*$X$34</f>
        <v>0</v>
      </c>
      <c r="Y86" s="84">
        <f>$I$34*$Y$34</f>
        <v>0</v>
      </c>
      <c r="Z86" s="84">
        <f>$I$34*$Z$34</f>
        <v>0</v>
      </c>
      <c r="AA86" s="84">
        <f>$I$34*$AA$34</f>
        <v>0</v>
      </c>
      <c r="AB86" s="84">
        <f ca="1">$I$34*$AB$34</f>
        <v>0</v>
      </c>
      <c r="AC86" s="84">
        <f ca="1">$I$34*$AC$34</f>
        <v>0</v>
      </c>
      <c r="AD86" s="84">
        <f>$I$34*$AD$34</f>
        <v>0</v>
      </c>
      <c r="AE86" s="84">
        <f>$I$34*$AE$34</f>
        <v>0</v>
      </c>
      <c r="AF86" s="84">
        <f ca="1">$I$34*$AF$34</f>
        <v>0</v>
      </c>
      <c r="AG86" s="84">
        <f ca="1">$I$34*$AG$34</f>
        <v>0</v>
      </c>
      <c r="AI86" s="84">
        <f>$I$34*$AI$34</f>
        <v>0</v>
      </c>
      <c r="AJ86" s="84">
        <f>$I$34*$AJ$34</f>
        <v>0</v>
      </c>
      <c r="AK86" s="84">
        <f>$I$34*$AK$34</f>
        <v>0</v>
      </c>
      <c r="AL86" s="84">
        <f>$I$34*$AL$34</f>
        <v>0</v>
      </c>
      <c r="AM86" s="84">
        <f>$I$34*$AM$34</f>
        <v>0</v>
      </c>
      <c r="AN86" s="84">
        <f>$I$34*$AN$34</f>
        <v>0</v>
      </c>
      <c r="AO86" s="84">
        <f>$I$34*$AO$34</f>
        <v>0</v>
      </c>
      <c r="AP86" s="84">
        <f>$I$34*$AP$34</f>
        <v>0</v>
      </c>
      <c r="AQ86" s="84">
        <f>$I$34*$AQ$34</f>
        <v>0</v>
      </c>
      <c r="AR86" s="84">
        <f>$I$34*$AR$34</f>
        <v>0</v>
      </c>
      <c r="AS86" s="84">
        <f>$I$34*$AS$34</f>
        <v>0</v>
      </c>
      <c r="AT86" s="84">
        <f>$I$34*$AT$34</f>
        <v>0</v>
      </c>
      <c r="AU86" s="84">
        <f>$I$34*$AU$34</f>
        <v>0</v>
      </c>
      <c r="AV86" s="84">
        <f>$I$34*$AV$34</f>
        <v>0</v>
      </c>
      <c r="AW86" s="84">
        <f>$I$34*$AW$34</f>
        <v>0</v>
      </c>
      <c r="AX86" s="84">
        <f>$I$34*$AX$34</f>
        <v>0</v>
      </c>
      <c r="AY86" s="84">
        <f>$I$34*$AY$34</f>
        <v>0</v>
      </c>
      <c r="AZ86" s="84">
        <f>$I$34*$AZ$34</f>
        <v>0</v>
      </c>
      <c r="BA86" s="84">
        <f>$I$34*$BA$34</f>
        <v>0</v>
      </c>
      <c r="BB86" s="84">
        <f>$I$34*$BB$34</f>
        <v>0</v>
      </c>
      <c r="BC86" s="84">
        <f>$I$34*$BC$34</f>
        <v>0</v>
      </c>
      <c r="BD86" s="84">
        <f>$I$34*$BD$34</f>
        <v>0</v>
      </c>
    </row>
    <row r="87" spans="1:56" ht="11.25" customHeight="1" x14ac:dyDescent="0.25">
      <c r="A87" s="9" t="s">
        <v>41</v>
      </c>
      <c r="B87" s="9" t="s">
        <v>899</v>
      </c>
      <c r="C87" s="9" t="s">
        <v>900</v>
      </c>
      <c r="D87" s="9" t="s">
        <v>913</v>
      </c>
      <c r="E87" s="9" t="s">
        <v>914</v>
      </c>
      <c r="F87" s="9" t="s">
        <v>915</v>
      </c>
      <c r="G87" s="9" t="s">
        <v>917</v>
      </c>
      <c r="L87" s="84">
        <f>$I$35*$L$35</f>
        <v>0</v>
      </c>
      <c r="M87" s="84">
        <f>$I$35*$M$35</f>
        <v>0</v>
      </c>
      <c r="N87" s="84">
        <f ca="1">$I$35*$N$35</f>
        <v>0</v>
      </c>
      <c r="O87" s="84">
        <f>$I$35*$O$35</f>
        <v>0</v>
      </c>
      <c r="P87" s="84">
        <f>$I$35*$P$35</f>
        <v>0</v>
      </c>
      <c r="Q87" s="84">
        <f>$I$35*$Q$35</f>
        <v>0</v>
      </c>
      <c r="R87" s="84">
        <f>$I$35*$R$35</f>
        <v>0</v>
      </c>
      <c r="S87" s="84">
        <f>$I$35*$S$35</f>
        <v>0</v>
      </c>
      <c r="T87" s="84">
        <f>$I$35*$T$35</f>
        <v>0</v>
      </c>
      <c r="U87" s="84">
        <f>$I$35*$U$35</f>
        <v>0</v>
      </c>
      <c r="V87" s="84">
        <f>$I$35*$V$35</f>
        <v>0</v>
      </c>
      <c r="W87" s="84">
        <f>$I$35*$W$35</f>
        <v>0</v>
      </c>
      <c r="X87" s="84">
        <f>$I$35*$X$35</f>
        <v>0</v>
      </c>
      <c r="Y87" s="84">
        <f>$I$35*$Y$35</f>
        <v>0</v>
      </c>
      <c r="Z87" s="84">
        <f>$I$35*$Z$35</f>
        <v>0</v>
      </c>
      <c r="AA87" s="84">
        <f>$I$35*$AA$35</f>
        <v>0</v>
      </c>
      <c r="AB87" s="84">
        <f ca="1">$I$35*$AB$35</f>
        <v>0</v>
      </c>
      <c r="AC87" s="84">
        <f ca="1">$I$35*$AC$35</f>
        <v>0</v>
      </c>
      <c r="AD87" s="84">
        <f>$I$35*$AD$35</f>
        <v>0</v>
      </c>
      <c r="AE87" s="84">
        <f>$I$35*$AE$35</f>
        <v>0</v>
      </c>
      <c r="AF87" s="84">
        <f ca="1">$I$35*$AF$35</f>
        <v>0</v>
      </c>
      <c r="AG87" s="84">
        <f ca="1">$I$35*$AG$35</f>
        <v>0</v>
      </c>
      <c r="AI87" s="84">
        <f>$I$35*$AI$35</f>
        <v>0</v>
      </c>
      <c r="AJ87" s="84">
        <f>$I$35*$AJ$35</f>
        <v>0</v>
      </c>
      <c r="AK87" s="84">
        <f>$I$35*$AK$35</f>
        <v>0</v>
      </c>
      <c r="AL87" s="84">
        <f>$I$35*$AL$35</f>
        <v>0</v>
      </c>
      <c r="AM87" s="84">
        <f>$I$35*$AM$35</f>
        <v>0</v>
      </c>
      <c r="AN87" s="84">
        <f>$I$35*$AN$35</f>
        <v>0</v>
      </c>
      <c r="AO87" s="84">
        <f>$I$35*$AO$35</f>
        <v>0</v>
      </c>
      <c r="AP87" s="84">
        <f>$I$35*$AP$35</f>
        <v>0</v>
      </c>
      <c r="AQ87" s="84">
        <f>$I$35*$AQ$35</f>
        <v>0</v>
      </c>
      <c r="AR87" s="84">
        <f>$I$35*$AR$35</f>
        <v>0</v>
      </c>
      <c r="AS87" s="84">
        <f>$I$35*$AS$35</f>
        <v>0</v>
      </c>
      <c r="AT87" s="84">
        <f>$I$35*$AT$35</f>
        <v>0</v>
      </c>
      <c r="AU87" s="84">
        <f>$I$35*$AU$35</f>
        <v>0</v>
      </c>
      <c r="AV87" s="84">
        <f>$I$35*$AV$35</f>
        <v>0</v>
      </c>
      <c r="AW87" s="84">
        <f>$I$35*$AW$35</f>
        <v>0</v>
      </c>
      <c r="AX87" s="84">
        <f>$I$35*$AX$35</f>
        <v>0</v>
      </c>
      <c r="AY87" s="84">
        <f>$I$35*$AY$35</f>
        <v>0</v>
      </c>
      <c r="AZ87" s="84">
        <f>$I$35*$AZ$35</f>
        <v>0</v>
      </c>
      <c r="BA87" s="84">
        <f>$I$35*$BA$35</f>
        <v>0</v>
      </c>
      <c r="BB87" s="84">
        <f>$I$35*$BB$35</f>
        <v>0</v>
      </c>
      <c r="BC87" s="84">
        <f>$I$35*$BC$35</f>
        <v>0</v>
      </c>
      <c r="BD87" s="84">
        <f>$I$35*$BD$35</f>
        <v>0</v>
      </c>
    </row>
    <row r="88" spans="1:56" ht="11.25" customHeight="1" x14ac:dyDescent="0.25">
      <c r="A88" s="9" t="s">
        <v>41</v>
      </c>
      <c r="B88" s="9" t="s">
        <v>899</v>
      </c>
      <c r="C88" s="9" t="s">
        <v>900</v>
      </c>
      <c r="D88" s="9" t="s">
        <v>913</v>
      </c>
      <c r="E88" s="9" t="s">
        <v>914</v>
      </c>
      <c r="F88" s="9" t="s">
        <v>915</v>
      </c>
      <c r="G88" s="9" t="s">
        <v>918</v>
      </c>
      <c r="L88" s="84">
        <f>$I$36*$L$36</f>
        <v>0</v>
      </c>
      <c r="M88" s="84">
        <f>$I$36*$M$36</f>
        <v>0</v>
      </c>
      <c r="N88" s="84">
        <f ca="1">$I$36*$N$36</f>
        <v>0</v>
      </c>
      <c r="O88" s="84">
        <f>$I$36*$O$36</f>
        <v>0</v>
      </c>
      <c r="P88" s="84">
        <f>$I$36*$P$36</f>
        <v>0</v>
      </c>
      <c r="Q88" s="84">
        <f>$I$36*$Q$36</f>
        <v>0</v>
      </c>
      <c r="R88" s="84">
        <f>$I$36*$R$36</f>
        <v>0</v>
      </c>
      <c r="S88" s="84">
        <f>$I$36*$S$36</f>
        <v>0</v>
      </c>
      <c r="T88" s="84">
        <f>$I$36*$T$36</f>
        <v>0</v>
      </c>
      <c r="U88" s="84">
        <f>$I$36*$U$36</f>
        <v>0</v>
      </c>
      <c r="V88" s="84">
        <f>$I$36*$V$36</f>
        <v>0</v>
      </c>
      <c r="W88" s="84">
        <f>$I$36*$W$36</f>
        <v>0</v>
      </c>
      <c r="X88" s="84">
        <f>$I$36*$X$36</f>
        <v>0</v>
      </c>
      <c r="Y88" s="84">
        <f>$I$36*$Y$36</f>
        <v>0</v>
      </c>
      <c r="Z88" s="84">
        <f>$I$36*$Z$36</f>
        <v>0</v>
      </c>
      <c r="AA88" s="84">
        <f>$I$36*$AA$36</f>
        <v>0</v>
      </c>
      <c r="AB88" s="84">
        <f ca="1">$I$36*$AB$36</f>
        <v>0</v>
      </c>
      <c r="AC88" s="84">
        <f ca="1">$I$36*$AC$36</f>
        <v>0</v>
      </c>
      <c r="AD88" s="84">
        <f>$I$36*$AD$36</f>
        <v>0</v>
      </c>
      <c r="AE88" s="84">
        <f>$I$36*$AE$36</f>
        <v>0</v>
      </c>
      <c r="AF88" s="84">
        <f ca="1">$I$36*$AF$36</f>
        <v>0</v>
      </c>
      <c r="AG88" s="84">
        <f ca="1">$I$36*$AG$36</f>
        <v>0</v>
      </c>
      <c r="AI88" s="84">
        <f>$I$36*$AI$36</f>
        <v>0</v>
      </c>
      <c r="AJ88" s="84">
        <f>$I$36*$AJ$36</f>
        <v>0</v>
      </c>
      <c r="AK88" s="84">
        <f>$I$36*$AK$36</f>
        <v>0</v>
      </c>
      <c r="AL88" s="84">
        <f>$I$36*$AL$36</f>
        <v>0</v>
      </c>
      <c r="AM88" s="84">
        <f>$I$36*$AM$36</f>
        <v>0</v>
      </c>
      <c r="AN88" s="84">
        <f>$I$36*$AN$36</f>
        <v>0</v>
      </c>
      <c r="AO88" s="84">
        <f>$I$36*$AO$36</f>
        <v>0</v>
      </c>
      <c r="AP88" s="84">
        <f>$I$36*$AP$36</f>
        <v>0</v>
      </c>
      <c r="AQ88" s="84">
        <f>$I$36*$AQ$36</f>
        <v>0</v>
      </c>
      <c r="AR88" s="84">
        <f>$I$36*$AR$36</f>
        <v>0</v>
      </c>
      <c r="AS88" s="84">
        <f>$I$36*$AS$36</f>
        <v>0</v>
      </c>
      <c r="AT88" s="84">
        <f>$I$36*$AT$36</f>
        <v>0</v>
      </c>
      <c r="AU88" s="84">
        <f>$I$36*$AU$36</f>
        <v>0</v>
      </c>
      <c r="AV88" s="84">
        <f>$I$36*$AV$36</f>
        <v>0</v>
      </c>
      <c r="AW88" s="84">
        <f>$I$36*$AW$36</f>
        <v>0</v>
      </c>
      <c r="AX88" s="84">
        <f>$I$36*$AX$36</f>
        <v>0</v>
      </c>
      <c r="AY88" s="84">
        <f>$I$36*$AY$36</f>
        <v>0</v>
      </c>
      <c r="AZ88" s="84">
        <f>$I$36*$AZ$36</f>
        <v>0</v>
      </c>
      <c r="BA88" s="84">
        <f>$I$36*$BA$36</f>
        <v>0</v>
      </c>
      <c r="BB88" s="84">
        <f>$I$36*$BB$36</f>
        <v>0</v>
      </c>
      <c r="BC88" s="84">
        <f>$I$36*$BC$36</f>
        <v>0</v>
      </c>
      <c r="BD88" s="84">
        <f>$I$36*$BD$36</f>
        <v>0</v>
      </c>
    </row>
    <row r="89" spans="1:56" ht="11.25" customHeight="1" x14ac:dyDescent="0.25">
      <c r="A89" s="9" t="s">
        <v>41</v>
      </c>
      <c r="B89" s="9" t="s">
        <v>907</v>
      </c>
      <c r="C89" s="9" t="s">
        <v>908</v>
      </c>
      <c r="D89" s="9" t="s">
        <v>919</v>
      </c>
      <c r="E89" s="9" t="s">
        <v>920</v>
      </c>
      <c r="F89" s="9" t="s">
        <v>921</v>
      </c>
      <c r="G89" s="9" t="s">
        <v>922</v>
      </c>
      <c r="L89" s="84">
        <f>$I$37*$L$37</f>
        <v>0</v>
      </c>
      <c r="M89" s="84">
        <f>$I$37*$M$37</f>
        <v>0</v>
      </c>
      <c r="N89" s="84">
        <f ca="1">$I$37*$N$37</f>
        <v>0</v>
      </c>
      <c r="O89" s="84">
        <f>$I$37*$O$37</f>
        <v>0</v>
      </c>
      <c r="P89" s="84">
        <f>$I$37*$P$37</f>
        <v>0</v>
      </c>
      <c r="Q89" s="84">
        <f>$I$37*$Q$37</f>
        <v>0</v>
      </c>
      <c r="R89" s="84">
        <f>$I$37*$R$37</f>
        <v>0</v>
      </c>
      <c r="S89" s="84">
        <f>$I$37*$S$37</f>
        <v>0</v>
      </c>
      <c r="T89" s="84">
        <f>$I$37*$T$37</f>
        <v>0</v>
      </c>
      <c r="U89" s="84">
        <f>$I$37*$U$37</f>
        <v>0</v>
      </c>
      <c r="V89" s="84">
        <f>$I$37*$V$37</f>
        <v>0</v>
      </c>
      <c r="W89" s="84">
        <f>$I$37*$W$37</f>
        <v>0</v>
      </c>
      <c r="X89" s="84">
        <f>$I$37*$X$37</f>
        <v>0</v>
      </c>
      <c r="Y89" s="84">
        <f>$I$37*$Y$37</f>
        <v>0</v>
      </c>
      <c r="Z89" s="84">
        <f>$I$37*$Z$37</f>
        <v>0</v>
      </c>
      <c r="AA89" s="84">
        <f>$I$37*$AA$37</f>
        <v>0</v>
      </c>
      <c r="AB89" s="84">
        <f ca="1">$I$37*$AB$37</f>
        <v>0</v>
      </c>
      <c r="AC89" s="84">
        <f ca="1">$I$37*$AC$37</f>
        <v>0</v>
      </c>
      <c r="AD89" s="84">
        <f>$I$37*$AD$37</f>
        <v>0</v>
      </c>
      <c r="AE89" s="84">
        <f>$I$37*$AE$37</f>
        <v>0</v>
      </c>
      <c r="AF89" s="84">
        <f ca="1">$I$37*$AF$37</f>
        <v>0</v>
      </c>
      <c r="AG89" s="84">
        <f ca="1">$I$37*$AG$37</f>
        <v>0</v>
      </c>
      <c r="AI89" s="84">
        <f>$I$37*$AI$37</f>
        <v>0</v>
      </c>
      <c r="AJ89" s="84">
        <f>$I$37*$AJ$37</f>
        <v>0</v>
      </c>
      <c r="AK89" s="84">
        <f>$I$37*$AK$37</f>
        <v>0</v>
      </c>
      <c r="AL89" s="84">
        <f>$I$37*$AL$37</f>
        <v>0</v>
      </c>
      <c r="AM89" s="84">
        <f>$I$37*$AM$37</f>
        <v>0</v>
      </c>
      <c r="AN89" s="84">
        <f>$I$37*$AN$37</f>
        <v>0</v>
      </c>
      <c r="AO89" s="84">
        <f>$I$37*$AO$37</f>
        <v>0</v>
      </c>
      <c r="AP89" s="84">
        <f>$I$37*$AP$37</f>
        <v>0</v>
      </c>
      <c r="AQ89" s="84">
        <f>$I$37*$AQ$37</f>
        <v>0</v>
      </c>
      <c r="AR89" s="84">
        <f>$I$37*$AR$37</f>
        <v>0</v>
      </c>
      <c r="AS89" s="84">
        <f>$I$37*$AS$37</f>
        <v>0</v>
      </c>
      <c r="AT89" s="84">
        <f>$I$37*$AT$37</f>
        <v>0</v>
      </c>
      <c r="AU89" s="84">
        <f>$I$37*$AU$37</f>
        <v>0</v>
      </c>
      <c r="AV89" s="84">
        <f>$I$37*$AV$37</f>
        <v>0</v>
      </c>
      <c r="AW89" s="84">
        <f>$I$37*$AW$37</f>
        <v>0</v>
      </c>
      <c r="AX89" s="84">
        <f>$I$37*$AX$37</f>
        <v>0</v>
      </c>
      <c r="AY89" s="84">
        <f>$I$37*$AY$37</f>
        <v>0</v>
      </c>
      <c r="AZ89" s="84">
        <f>$I$37*$AZ$37</f>
        <v>0</v>
      </c>
      <c r="BA89" s="84">
        <f>$I$37*$BA$37</f>
        <v>0</v>
      </c>
      <c r="BB89" s="84">
        <f>$I$37*$BB$37</f>
        <v>0</v>
      </c>
      <c r="BC89" s="84">
        <f>$I$37*$BC$37</f>
        <v>0</v>
      </c>
      <c r="BD89" s="84">
        <f>$I$37*$BD$37</f>
        <v>0</v>
      </c>
    </row>
    <row r="90" spans="1:56" ht="11.25" customHeight="1" x14ac:dyDescent="0.25">
      <c r="A90" s="9" t="s">
        <v>41</v>
      </c>
      <c r="B90" s="9" t="s">
        <v>899</v>
      </c>
      <c r="C90" s="9" t="s">
        <v>900</v>
      </c>
      <c r="D90" s="9" t="s">
        <v>923</v>
      </c>
      <c r="E90" s="9" t="s">
        <v>924</v>
      </c>
      <c r="F90" s="9" t="s">
        <v>925</v>
      </c>
      <c r="G90" s="9" t="s">
        <v>926</v>
      </c>
      <c r="L90" s="84">
        <f>$I$38*$L$38</f>
        <v>0</v>
      </c>
      <c r="M90" s="84">
        <f>$I$38*$M$38</f>
        <v>0</v>
      </c>
      <c r="N90" s="84">
        <f ca="1">$I$38*$N$38</f>
        <v>0</v>
      </c>
      <c r="O90" s="84">
        <f>$I$38*$O$38</f>
        <v>0</v>
      </c>
      <c r="P90" s="84">
        <f>$I$38*$P$38</f>
        <v>0</v>
      </c>
      <c r="Q90" s="84">
        <f>$I$38*$Q$38</f>
        <v>0</v>
      </c>
      <c r="R90" s="84">
        <f>$I$38*$R$38</f>
        <v>0</v>
      </c>
      <c r="S90" s="84">
        <f>$I$38*$S$38</f>
        <v>0</v>
      </c>
      <c r="T90" s="84">
        <f>$I$38*$T$38</f>
        <v>0</v>
      </c>
      <c r="U90" s="84">
        <f>$I$38*$U$38</f>
        <v>0</v>
      </c>
      <c r="V90" s="84">
        <f>$I$38*$V$38</f>
        <v>0</v>
      </c>
      <c r="W90" s="84">
        <f>$I$38*$W$38</f>
        <v>0</v>
      </c>
      <c r="X90" s="84">
        <f>$I$38*$X$38</f>
        <v>0</v>
      </c>
      <c r="Y90" s="84">
        <f>$I$38*$Y$38</f>
        <v>0</v>
      </c>
      <c r="Z90" s="84">
        <f>$I$38*$Z$38</f>
        <v>0</v>
      </c>
      <c r="AA90" s="84">
        <f>$I$38*$AA$38</f>
        <v>0</v>
      </c>
      <c r="AB90" s="84">
        <f ca="1">$I$38*$AB$38</f>
        <v>0</v>
      </c>
      <c r="AC90" s="84">
        <f ca="1">$I$38*$AC$38</f>
        <v>0</v>
      </c>
      <c r="AD90" s="84">
        <f>$I$38*$AD$38</f>
        <v>0</v>
      </c>
      <c r="AE90" s="84">
        <f>$I$38*$AE$38</f>
        <v>0</v>
      </c>
      <c r="AF90" s="84">
        <f ca="1">$I$38*$AF$38</f>
        <v>0</v>
      </c>
      <c r="AG90" s="84">
        <f ca="1">$I$38*$AG$38</f>
        <v>0</v>
      </c>
      <c r="AI90" s="84">
        <f>$I$38*$AI$38</f>
        <v>0</v>
      </c>
      <c r="AJ90" s="84">
        <f>$I$38*$AJ$38</f>
        <v>0</v>
      </c>
      <c r="AK90" s="84">
        <f>$I$38*$AK$38</f>
        <v>0</v>
      </c>
      <c r="AL90" s="84">
        <f>$I$38*$AL$38</f>
        <v>0</v>
      </c>
      <c r="AM90" s="84">
        <f>$I$38*$AM$38</f>
        <v>0</v>
      </c>
      <c r="AN90" s="84">
        <f>$I$38*$AN$38</f>
        <v>0</v>
      </c>
      <c r="AO90" s="84">
        <f>$I$38*$AO$38</f>
        <v>0</v>
      </c>
      <c r="AP90" s="84">
        <f>$I$38*$AP$38</f>
        <v>0</v>
      </c>
      <c r="AQ90" s="84">
        <f>$I$38*$AQ$38</f>
        <v>0</v>
      </c>
      <c r="AR90" s="84">
        <f>$I$38*$AR$38</f>
        <v>0</v>
      </c>
      <c r="AS90" s="84">
        <f>$I$38*$AS$38</f>
        <v>0</v>
      </c>
      <c r="AT90" s="84">
        <f>$I$38*$AT$38</f>
        <v>0</v>
      </c>
      <c r="AU90" s="84">
        <f>$I$38*$AU$38</f>
        <v>0</v>
      </c>
      <c r="AV90" s="84">
        <f>$I$38*$AV$38</f>
        <v>0</v>
      </c>
      <c r="AW90" s="84">
        <f>$I$38*$AW$38</f>
        <v>0</v>
      </c>
      <c r="AX90" s="84">
        <f>$I$38*$AX$38</f>
        <v>0</v>
      </c>
      <c r="AY90" s="84">
        <f>$I$38*$AY$38</f>
        <v>0</v>
      </c>
      <c r="AZ90" s="84">
        <f>$I$38*$AZ$38</f>
        <v>0</v>
      </c>
      <c r="BA90" s="84">
        <f>$I$38*$BA$38</f>
        <v>0</v>
      </c>
      <c r="BB90" s="84">
        <f>$I$38*$BB$38</f>
        <v>0</v>
      </c>
      <c r="BC90" s="84">
        <f>$I$38*$BC$38</f>
        <v>0</v>
      </c>
      <c r="BD90" s="84">
        <f>$I$38*$BD$38</f>
        <v>0</v>
      </c>
    </row>
    <row r="91" spans="1:56" ht="11.25" customHeight="1" x14ac:dyDescent="0.25">
      <c r="A91" s="9" t="s">
        <v>41</v>
      </c>
      <c r="B91" s="9" t="s">
        <v>899</v>
      </c>
      <c r="C91" s="9" t="s">
        <v>900</v>
      </c>
      <c r="D91" s="9" t="s">
        <v>923</v>
      </c>
      <c r="E91" s="9" t="s">
        <v>924</v>
      </c>
      <c r="F91" s="9" t="s">
        <v>925</v>
      </c>
      <c r="G91" s="9" t="s">
        <v>927</v>
      </c>
      <c r="L91" s="84">
        <f>$I$39*$L$39</f>
        <v>0</v>
      </c>
      <c r="M91" s="84">
        <f>$I$39*$M$39</f>
        <v>0</v>
      </c>
      <c r="N91" s="84">
        <f ca="1">$I$39*$N$39</f>
        <v>0</v>
      </c>
      <c r="O91" s="84">
        <f>$I$39*$O$39</f>
        <v>0</v>
      </c>
      <c r="P91" s="84">
        <f>$I$39*$P$39</f>
        <v>0</v>
      </c>
      <c r="Q91" s="84">
        <f>$I$39*$Q$39</f>
        <v>0</v>
      </c>
      <c r="R91" s="84">
        <f>$I$39*$R$39</f>
        <v>0</v>
      </c>
      <c r="S91" s="84">
        <f>$I$39*$S$39</f>
        <v>0</v>
      </c>
      <c r="T91" s="84">
        <f>$I$39*$T$39</f>
        <v>0</v>
      </c>
      <c r="U91" s="84">
        <f>$I$39*$U$39</f>
        <v>0</v>
      </c>
      <c r="V91" s="84">
        <f>$I$39*$V$39</f>
        <v>0</v>
      </c>
      <c r="W91" s="84">
        <f>$I$39*$W$39</f>
        <v>0</v>
      </c>
      <c r="X91" s="84">
        <f>$I$39*$X$39</f>
        <v>0</v>
      </c>
      <c r="Y91" s="84">
        <f>$I$39*$Y$39</f>
        <v>0</v>
      </c>
      <c r="Z91" s="84">
        <f>$I$39*$Z$39</f>
        <v>0</v>
      </c>
      <c r="AA91" s="84">
        <f>$I$39*$AA$39</f>
        <v>0</v>
      </c>
      <c r="AB91" s="84">
        <f ca="1">$I$39*$AB$39</f>
        <v>0</v>
      </c>
      <c r="AC91" s="84">
        <f ca="1">$I$39*$AC$39</f>
        <v>0</v>
      </c>
      <c r="AD91" s="84">
        <f>$I$39*$AD$39</f>
        <v>0</v>
      </c>
      <c r="AE91" s="84">
        <f>$I$39*$AE$39</f>
        <v>0</v>
      </c>
      <c r="AF91" s="84">
        <f ca="1">$I$39*$AF$39</f>
        <v>0</v>
      </c>
      <c r="AG91" s="84">
        <f ca="1">$I$39*$AG$39</f>
        <v>0</v>
      </c>
      <c r="AI91" s="84">
        <f>$I$39*$AI$39</f>
        <v>0</v>
      </c>
      <c r="AJ91" s="84">
        <f>$I$39*$AJ$39</f>
        <v>0</v>
      </c>
      <c r="AK91" s="84">
        <f>$I$39*$AK$39</f>
        <v>0</v>
      </c>
      <c r="AL91" s="84">
        <f>$I$39*$AL$39</f>
        <v>0</v>
      </c>
      <c r="AM91" s="84">
        <f>$I$39*$AM$39</f>
        <v>0</v>
      </c>
      <c r="AN91" s="84">
        <f>$I$39*$AN$39</f>
        <v>0</v>
      </c>
      <c r="AO91" s="84">
        <f>$I$39*$AO$39</f>
        <v>0</v>
      </c>
      <c r="AP91" s="84">
        <f>$I$39*$AP$39</f>
        <v>0</v>
      </c>
      <c r="AQ91" s="84">
        <f>$I$39*$AQ$39</f>
        <v>0</v>
      </c>
      <c r="AR91" s="84">
        <f>$I$39*$AR$39</f>
        <v>0</v>
      </c>
      <c r="AS91" s="84">
        <f>$I$39*$AS$39</f>
        <v>0</v>
      </c>
      <c r="AT91" s="84">
        <f>$I$39*$AT$39</f>
        <v>0</v>
      </c>
      <c r="AU91" s="84">
        <f>$I$39*$AU$39</f>
        <v>0</v>
      </c>
      <c r="AV91" s="84">
        <f>$I$39*$AV$39</f>
        <v>0</v>
      </c>
      <c r="AW91" s="84">
        <f>$I$39*$AW$39</f>
        <v>0</v>
      </c>
      <c r="AX91" s="84">
        <f>$I$39*$AX$39</f>
        <v>0</v>
      </c>
      <c r="AY91" s="84">
        <f>$I$39*$AY$39</f>
        <v>0</v>
      </c>
      <c r="AZ91" s="84">
        <f>$I$39*$AZ$39</f>
        <v>0</v>
      </c>
      <c r="BA91" s="84">
        <f>$I$39*$BA$39</f>
        <v>0</v>
      </c>
      <c r="BB91" s="84">
        <f>$I$39*$BB$39</f>
        <v>0</v>
      </c>
      <c r="BC91" s="84">
        <f>$I$39*$BC$39</f>
        <v>0</v>
      </c>
      <c r="BD91" s="84">
        <f>$I$39*$BD$39</f>
        <v>0</v>
      </c>
    </row>
    <row r="92" spans="1:56" ht="11.25" customHeight="1" x14ac:dyDescent="0.25">
      <c r="A92" s="9" t="s">
        <v>41</v>
      </c>
      <c r="B92" s="9" t="s">
        <v>899</v>
      </c>
      <c r="C92" s="9" t="s">
        <v>900</v>
      </c>
      <c r="D92" s="9" t="s">
        <v>923</v>
      </c>
      <c r="E92" s="9" t="s">
        <v>924</v>
      </c>
      <c r="F92" s="9" t="s">
        <v>925</v>
      </c>
      <c r="G92" s="9" t="s">
        <v>928</v>
      </c>
      <c r="L92" s="84">
        <f>$I$40*$L$40</f>
        <v>0</v>
      </c>
      <c r="M92" s="84">
        <f>$I$40*$M$40</f>
        <v>0</v>
      </c>
      <c r="N92" s="84">
        <f ca="1">$I$40*$N$40</f>
        <v>0</v>
      </c>
      <c r="O92" s="84">
        <f>$I$40*$O$40</f>
        <v>0</v>
      </c>
      <c r="P92" s="84">
        <f>$I$40*$P$40</f>
        <v>0</v>
      </c>
      <c r="Q92" s="84">
        <f>$I$40*$Q$40</f>
        <v>0</v>
      </c>
      <c r="R92" s="84">
        <f>$I$40*$R$40</f>
        <v>0</v>
      </c>
      <c r="S92" s="84">
        <f>$I$40*$S$40</f>
        <v>0</v>
      </c>
      <c r="T92" s="84">
        <f>$I$40*$T$40</f>
        <v>0</v>
      </c>
      <c r="U92" s="84">
        <f>$I$40*$U$40</f>
        <v>0</v>
      </c>
      <c r="V92" s="84">
        <f>$I$40*$V$40</f>
        <v>0</v>
      </c>
      <c r="W92" s="84">
        <f>$I$40*$W$40</f>
        <v>0</v>
      </c>
      <c r="X92" s="84">
        <f>$I$40*$X$40</f>
        <v>0</v>
      </c>
      <c r="Y92" s="84">
        <f>$I$40*$Y$40</f>
        <v>0</v>
      </c>
      <c r="Z92" s="84">
        <f>$I$40*$Z$40</f>
        <v>0</v>
      </c>
      <c r="AA92" s="84">
        <f>$I$40*$AA$40</f>
        <v>0</v>
      </c>
      <c r="AB92" s="84">
        <f ca="1">$I$40*$AB$40</f>
        <v>0</v>
      </c>
      <c r="AC92" s="84">
        <f ca="1">$I$40*$AC$40</f>
        <v>0</v>
      </c>
      <c r="AD92" s="84">
        <f>$I$40*$AD$40</f>
        <v>0</v>
      </c>
      <c r="AE92" s="84">
        <f>$I$40*$AE$40</f>
        <v>0</v>
      </c>
      <c r="AF92" s="84">
        <f ca="1">$I$40*$AF$40</f>
        <v>0</v>
      </c>
      <c r="AG92" s="84">
        <f ca="1">$I$40*$AG$40</f>
        <v>0</v>
      </c>
      <c r="AI92" s="84">
        <f>$I$40*$AI$40</f>
        <v>0</v>
      </c>
      <c r="AJ92" s="84">
        <f>$I$40*$AJ$40</f>
        <v>0</v>
      </c>
      <c r="AK92" s="84">
        <f>$I$40*$AK$40</f>
        <v>0</v>
      </c>
      <c r="AL92" s="84">
        <f>$I$40*$AL$40</f>
        <v>0</v>
      </c>
      <c r="AM92" s="84">
        <f>$I$40*$AM$40</f>
        <v>0</v>
      </c>
      <c r="AN92" s="84">
        <f>$I$40*$AN$40</f>
        <v>0</v>
      </c>
      <c r="AO92" s="84">
        <f>$I$40*$AO$40</f>
        <v>0</v>
      </c>
      <c r="AP92" s="84">
        <f>$I$40*$AP$40</f>
        <v>0</v>
      </c>
      <c r="AQ92" s="84">
        <f>$I$40*$AQ$40</f>
        <v>0</v>
      </c>
      <c r="AR92" s="84">
        <f>$I$40*$AR$40</f>
        <v>0</v>
      </c>
      <c r="AS92" s="84">
        <f>$I$40*$AS$40</f>
        <v>0</v>
      </c>
      <c r="AT92" s="84">
        <f>$I$40*$AT$40</f>
        <v>0</v>
      </c>
      <c r="AU92" s="84">
        <f>$I$40*$AU$40</f>
        <v>0</v>
      </c>
      <c r="AV92" s="84">
        <f>$I$40*$AV$40</f>
        <v>0</v>
      </c>
      <c r="AW92" s="84">
        <f>$I$40*$AW$40</f>
        <v>0</v>
      </c>
      <c r="AX92" s="84">
        <f>$I$40*$AX$40</f>
        <v>0</v>
      </c>
      <c r="AY92" s="84">
        <f>$I$40*$AY$40</f>
        <v>0</v>
      </c>
      <c r="AZ92" s="84">
        <f>$I$40*$AZ$40</f>
        <v>0</v>
      </c>
      <c r="BA92" s="84">
        <f>$I$40*$BA$40</f>
        <v>0</v>
      </c>
      <c r="BB92" s="84">
        <f>$I$40*$BB$40</f>
        <v>0</v>
      </c>
      <c r="BC92" s="84">
        <f>$I$40*$BC$40</f>
        <v>0</v>
      </c>
      <c r="BD92" s="84">
        <f>$I$40*$BD$40</f>
        <v>0</v>
      </c>
    </row>
    <row r="93" spans="1:56" ht="11.25" customHeight="1" x14ac:dyDescent="0.25">
      <c r="A93" s="9" t="s">
        <v>41</v>
      </c>
      <c r="B93" s="9" t="s">
        <v>907</v>
      </c>
      <c r="C93" s="9" t="s">
        <v>908</v>
      </c>
      <c r="D93" s="9" t="s">
        <v>929</v>
      </c>
      <c r="E93" s="9" t="s">
        <v>930</v>
      </c>
      <c r="F93" s="9" t="s">
        <v>931</v>
      </c>
      <c r="G93" s="9" t="s">
        <v>932</v>
      </c>
      <c r="L93" s="84">
        <f>$I$41*$L$41</f>
        <v>0</v>
      </c>
      <c r="M93" s="84">
        <f>$I$41*$M$41</f>
        <v>0</v>
      </c>
      <c r="N93" s="84">
        <f ca="1">$I$41*$N$41</f>
        <v>0</v>
      </c>
      <c r="O93" s="84">
        <f>$I$41*$O$41</f>
        <v>0</v>
      </c>
      <c r="P93" s="84">
        <f>$I$41*$P$41</f>
        <v>0</v>
      </c>
      <c r="Q93" s="84">
        <f>$I$41*$Q$41</f>
        <v>0</v>
      </c>
      <c r="R93" s="84">
        <f>$I$41*$R$41</f>
        <v>0</v>
      </c>
      <c r="S93" s="84">
        <f>$I$41*$S$41</f>
        <v>0</v>
      </c>
      <c r="T93" s="84">
        <f>$I$41*$T$41</f>
        <v>0</v>
      </c>
      <c r="U93" s="84">
        <f>$I$41*$U$41</f>
        <v>0</v>
      </c>
      <c r="V93" s="84">
        <f>$I$41*$V$41</f>
        <v>0</v>
      </c>
      <c r="W93" s="84">
        <f>$I$41*$W$41</f>
        <v>0</v>
      </c>
      <c r="X93" s="84">
        <f>$I$41*$X$41</f>
        <v>0</v>
      </c>
      <c r="Y93" s="84">
        <f>$I$41*$Y$41</f>
        <v>0</v>
      </c>
      <c r="Z93" s="84">
        <f>$I$41*$Z$41</f>
        <v>0</v>
      </c>
      <c r="AA93" s="84">
        <f>$I$41*$AA$41</f>
        <v>0</v>
      </c>
      <c r="AB93" s="84">
        <f ca="1">$I$41*$AB$41</f>
        <v>0</v>
      </c>
      <c r="AC93" s="84">
        <f ca="1">$I$41*$AC$41</f>
        <v>0</v>
      </c>
      <c r="AD93" s="84">
        <f>$I$41*$AD$41</f>
        <v>0</v>
      </c>
      <c r="AE93" s="84">
        <f>$I$41*$AE$41</f>
        <v>0</v>
      </c>
      <c r="AF93" s="84">
        <f ca="1">$I$41*$AF$41</f>
        <v>0</v>
      </c>
      <c r="AG93" s="84">
        <f ca="1">$I$41*$AG$41</f>
        <v>0</v>
      </c>
      <c r="AI93" s="84">
        <f>$I$41*$AI$41</f>
        <v>0</v>
      </c>
      <c r="AJ93" s="84">
        <f>$I$41*$AJ$41</f>
        <v>0</v>
      </c>
      <c r="AK93" s="84">
        <f>$I$41*$AK$41</f>
        <v>0</v>
      </c>
      <c r="AL93" s="84">
        <f>$I$41*$AL$41</f>
        <v>0</v>
      </c>
      <c r="AM93" s="84">
        <f>$I$41*$AM$41</f>
        <v>0</v>
      </c>
      <c r="AN93" s="84">
        <f>$I$41*$AN$41</f>
        <v>0</v>
      </c>
      <c r="AO93" s="84">
        <f>$I$41*$AO$41</f>
        <v>0</v>
      </c>
      <c r="AP93" s="84">
        <f>$I$41*$AP$41</f>
        <v>0</v>
      </c>
      <c r="AQ93" s="84">
        <f>$I$41*$AQ$41</f>
        <v>0</v>
      </c>
      <c r="AR93" s="84">
        <f>$I$41*$AR$41</f>
        <v>0</v>
      </c>
      <c r="AS93" s="84">
        <f>$I$41*$AS$41</f>
        <v>0</v>
      </c>
      <c r="AT93" s="84">
        <f>$I$41*$AT$41</f>
        <v>0</v>
      </c>
      <c r="AU93" s="84">
        <f>$I$41*$AU$41</f>
        <v>0</v>
      </c>
      <c r="AV93" s="84">
        <f>$I$41*$AV$41</f>
        <v>0</v>
      </c>
      <c r="AW93" s="84">
        <f>$I$41*$AW$41</f>
        <v>0</v>
      </c>
      <c r="AX93" s="84">
        <f>$I$41*$AX$41</f>
        <v>0</v>
      </c>
      <c r="AY93" s="84">
        <f>$I$41*$AY$41</f>
        <v>0</v>
      </c>
      <c r="AZ93" s="84">
        <f>$I$41*$AZ$41</f>
        <v>0</v>
      </c>
      <c r="BA93" s="84">
        <f>$I$41*$BA$41</f>
        <v>0</v>
      </c>
      <c r="BB93" s="84">
        <f>$I$41*$BB$41</f>
        <v>0</v>
      </c>
      <c r="BC93" s="84">
        <f>$I$41*$BC$41</f>
        <v>0</v>
      </c>
      <c r="BD93" s="84">
        <f>$I$41*$BD$41</f>
        <v>0</v>
      </c>
    </row>
    <row r="94" spans="1:56" ht="11.25" customHeight="1" x14ac:dyDescent="0.25">
      <c r="A94" s="9" t="s">
        <v>41</v>
      </c>
      <c r="B94" s="9" t="s">
        <v>933</v>
      </c>
      <c r="C94" s="9" t="s">
        <v>934</v>
      </c>
      <c r="D94" s="9" t="s">
        <v>935</v>
      </c>
      <c r="E94" s="9" t="s">
        <v>936</v>
      </c>
      <c r="F94" s="9" t="s">
        <v>937</v>
      </c>
      <c r="G94" s="9" t="s">
        <v>938</v>
      </c>
      <c r="L94" s="84">
        <f>$I$42*$L$42</f>
        <v>0</v>
      </c>
      <c r="M94" s="84">
        <f>$I$42*$M$42</f>
        <v>0</v>
      </c>
      <c r="N94" s="84">
        <f ca="1">$I$42*$N$42</f>
        <v>0</v>
      </c>
      <c r="O94" s="84">
        <f>$I$42*$O$42</f>
        <v>0</v>
      </c>
      <c r="P94" s="84">
        <f>$I$42*$P$42</f>
        <v>0</v>
      </c>
      <c r="Q94" s="84">
        <f>$I$42*$Q$42</f>
        <v>0</v>
      </c>
      <c r="R94" s="84">
        <f>$I$42*$R$42</f>
        <v>0</v>
      </c>
      <c r="S94" s="84">
        <f>$I$42*$S$42</f>
        <v>0</v>
      </c>
      <c r="T94" s="84">
        <f>$I$42*$T$42</f>
        <v>0</v>
      </c>
      <c r="U94" s="84">
        <f>$I$42*$U$42</f>
        <v>0</v>
      </c>
      <c r="V94" s="84">
        <f>$I$42*$V$42</f>
        <v>0</v>
      </c>
      <c r="W94" s="84">
        <f>$I$42*$W$42</f>
        <v>0</v>
      </c>
      <c r="X94" s="84">
        <f>$I$42*$X$42</f>
        <v>0</v>
      </c>
      <c r="Y94" s="84">
        <f>$I$42*$Y$42</f>
        <v>0</v>
      </c>
      <c r="Z94" s="84">
        <f>$I$42*$Z$42</f>
        <v>0</v>
      </c>
      <c r="AA94" s="84">
        <f>$I$42*$AA$42</f>
        <v>0</v>
      </c>
      <c r="AB94" s="84">
        <f ca="1">$I$42*$AB$42</f>
        <v>0</v>
      </c>
      <c r="AC94" s="84">
        <f ca="1">$I$42*$AC$42</f>
        <v>0</v>
      </c>
      <c r="AD94" s="84">
        <f>$I$42*$AD$42</f>
        <v>0</v>
      </c>
      <c r="AE94" s="84">
        <f>$I$42*$AE$42</f>
        <v>0</v>
      </c>
      <c r="AF94" s="84">
        <f ca="1">$I$42*$AF$42</f>
        <v>0</v>
      </c>
      <c r="AG94" s="84">
        <f ca="1">$I$42*$AG$42</f>
        <v>0</v>
      </c>
      <c r="AI94" s="84">
        <f>$I$42*$AI$42</f>
        <v>0</v>
      </c>
      <c r="AJ94" s="84">
        <f>$I$42*$AJ$42</f>
        <v>0</v>
      </c>
      <c r="AK94" s="84">
        <f>$I$42*$AK$42</f>
        <v>0</v>
      </c>
      <c r="AL94" s="84">
        <f>$I$42*$AL$42</f>
        <v>0</v>
      </c>
      <c r="AM94" s="84">
        <f>$I$42*$AM$42</f>
        <v>0</v>
      </c>
      <c r="AN94" s="84">
        <f>$I$42*$AN$42</f>
        <v>0</v>
      </c>
      <c r="AO94" s="84">
        <f>$I$42*$AO$42</f>
        <v>0</v>
      </c>
      <c r="AP94" s="84">
        <f>$I$42*$AP$42</f>
        <v>0</v>
      </c>
      <c r="AQ94" s="84">
        <f>$I$42*$AQ$42</f>
        <v>0</v>
      </c>
      <c r="AR94" s="84">
        <f>$I$42*$AR$42</f>
        <v>0</v>
      </c>
      <c r="AS94" s="84">
        <f>$I$42*$AS$42</f>
        <v>0</v>
      </c>
      <c r="AT94" s="84">
        <f>$I$42*$AT$42</f>
        <v>0</v>
      </c>
      <c r="AU94" s="84">
        <f>$I$42*$AU$42</f>
        <v>0</v>
      </c>
      <c r="AV94" s="84">
        <f>$I$42*$AV$42</f>
        <v>0</v>
      </c>
      <c r="AW94" s="84">
        <f>$I$42*$AW$42</f>
        <v>0</v>
      </c>
      <c r="AX94" s="84">
        <f>$I$42*$AX$42</f>
        <v>0</v>
      </c>
      <c r="AY94" s="84">
        <f>$I$42*$AY$42</f>
        <v>0</v>
      </c>
      <c r="AZ94" s="84">
        <f>$I$42*$AZ$42</f>
        <v>0</v>
      </c>
      <c r="BA94" s="84">
        <f>$I$42*$BA$42</f>
        <v>0</v>
      </c>
      <c r="BB94" s="84">
        <f>$I$42*$BB$42</f>
        <v>0</v>
      </c>
      <c r="BC94" s="84">
        <f>$I$42*$BC$42</f>
        <v>0</v>
      </c>
      <c r="BD94" s="84">
        <f>$I$42*$BD$42</f>
        <v>0</v>
      </c>
    </row>
    <row r="95" spans="1:56" ht="11.25" customHeight="1" x14ac:dyDescent="0.25">
      <c r="A95" s="9" t="s">
        <v>41</v>
      </c>
      <c r="B95" s="9" t="s">
        <v>933</v>
      </c>
      <c r="C95" s="9" t="s">
        <v>934</v>
      </c>
      <c r="D95" s="9" t="s">
        <v>939</v>
      </c>
      <c r="E95" s="9" t="s">
        <v>940</v>
      </c>
      <c r="F95" s="9" t="s">
        <v>941</v>
      </c>
      <c r="G95" s="9" t="s">
        <v>942</v>
      </c>
      <c r="L95" s="84">
        <f>$I$43*$L$43</f>
        <v>0</v>
      </c>
      <c r="M95" s="84">
        <f>$I$43*$M$43</f>
        <v>0</v>
      </c>
      <c r="N95" s="84">
        <f ca="1">$I$43*$N$43</f>
        <v>0</v>
      </c>
      <c r="O95" s="84">
        <f>$I$43*$O$43</f>
        <v>0</v>
      </c>
      <c r="P95" s="84">
        <f>$I$43*$P$43</f>
        <v>0</v>
      </c>
      <c r="Q95" s="84">
        <f>$I$43*$Q$43</f>
        <v>0</v>
      </c>
      <c r="R95" s="84">
        <f>$I$43*$R$43</f>
        <v>0</v>
      </c>
      <c r="S95" s="84">
        <f>$I$43*$S$43</f>
        <v>0</v>
      </c>
      <c r="T95" s="84">
        <f>$I$43*$T$43</f>
        <v>0</v>
      </c>
      <c r="U95" s="84">
        <f>$I$43*$U$43</f>
        <v>0</v>
      </c>
      <c r="V95" s="84">
        <f>$I$43*$V$43</f>
        <v>0</v>
      </c>
      <c r="W95" s="84">
        <f>$I$43*$W$43</f>
        <v>0</v>
      </c>
      <c r="X95" s="84">
        <f>$I$43*$X$43</f>
        <v>0</v>
      </c>
      <c r="Y95" s="84">
        <f>$I$43*$Y$43</f>
        <v>0</v>
      </c>
      <c r="Z95" s="84">
        <f>$I$43*$Z$43</f>
        <v>0</v>
      </c>
      <c r="AA95" s="84">
        <f>$I$43*$AA$43</f>
        <v>0</v>
      </c>
      <c r="AB95" s="84">
        <f ca="1">$I$43*$AB$43</f>
        <v>0</v>
      </c>
      <c r="AC95" s="84">
        <f ca="1">$I$43*$AC$43</f>
        <v>0</v>
      </c>
      <c r="AD95" s="84">
        <f>$I$43*$AD$43</f>
        <v>0</v>
      </c>
      <c r="AE95" s="84">
        <f>$I$43*$AE$43</f>
        <v>0</v>
      </c>
      <c r="AF95" s="84">
        <f ca="1">$I$43*$AF$43</f>
        <v>0</v>
      </c>
      <c r="AG95" s="84">
        <f ca="1">$I$43*$AG$43</f>
        <v>0</v>
      </c>
      <c r="AI95" s="84">
        <f>$I$43*$AI$43</f>
        <v>0</v>
      </c>
      <c r="AJ95" s="84">
        <f>$I$43*$AJ$43</f>
        <v>0</v>
      </c>
      <c r="AK95" s="84">
        <f>$I$43*$AK$43</f>
        <v>0</v>
      </c>
      <c r="AL95" s="84">
        <f>$I$43*$AL$43</f>
        <v>0</v>
      </c>
      <c r="AM95" s="84">
        <f>$I$43*$AM$43</f>
        <v>0</v>
      </c>
      <c r="AN95" s="84">
        <f>$I$43*$AN$43</f>
        <v>0</v>
      </c>
      <c r="AO95" s="84">
        <f>$I$43*$AO$43</f>
        <v>0</v>
      </c>
      <c r="AP95" s="84">
        <f>$I$43*$AP$43</f>
        <v>0</v>
      </c>
      <c r="AQ95" s="84">
        <f>$I$43*$AQ$43</f>
        <v>0</v>
      </c>
      <c r="AR95" s="84">
        <f>$I$43*$AR$43</f>
        <v>0</v>
      </c>
      <c r="AS95" s="84">
        <f>$I$43*$AS$43</f>
        <v>0</v>
      </c>
      <c r="AT95" s="84">
        <f>$I$43*$AT$43</f>
        <v>0</v>
      </c>
      <c r="AU95" s="84">
        <f>$I$43*$AU$43</f>
        <v>0</v>
      </c>
      <c r="AV95" s="84">
        <f>$I$43*$AV$43</f>
        <v>0</v>
      </c>
      <c r="AW95" s="84">
        <f>$I$43*$AW$43</f>
        <v>0</v>
      </c>
      <c r="AX95" s="84">
        <f>$I$43*$AX$43</f>
        <v>0</v>
      </c>
      <c r="AY95" s="84">
        <f>$I$43*$AY$43</f>
        <v>0</v>
      </c>
      <c r="AZ95" s="84">
        <f>$I$43*$AZ$43</f>
        <v>0</v>
      </c>
      <c r="BA95" s="84">
        <f>$I$43*$BA$43</f>
        <v>0</v>
      </c>
      <c r="BB95" s="84">
        <f>$I$43*$BB$43</f>
        <v>0</v>
      </c>
      <c r="BC95" s="84">
        <f>$I$43*$BC$43</f>
        <v>0</v>
      </c>
      <c r="BD95" s="84">
        <f>$I$43*$BD$43</f>
        <v>0</v>
      </c>
    </row>
    <row r="96" spans="1:56" ht="11.25" customHeight="1" x14ac:dyDescent="0.25">
      <c r="A96" s="9" t="s">
        <v>41</v>
      </c>
      <c r="B96" s="9" t="s">
        <v>933</v>
      </c>
      <c r="C96" s="9" t="s">
        <v>934</v>
      </c>
      <c r="D96" s="9" t="s">
        <v>943</v>
      </c>
      <c r="E96" s="9" t="s">
        <v>944</v>
      </c>
      <c r="F96" s="9" t="s">
        <v>945</v>
      </c>
      <c r="G96" s="9" t="s">
        <v>946</v>
      </c>
      <c r="L96" s="84">
        <f>$I$44*$L$44</f>
        <v>0</v>
      </c>
      <c r="M96" s="84">
        <f>$I$44*$M$44</f>
        <v>0</v>
      </c>
      <c r="N96" s="84">
        <f ca="1">$I$44*$N$44</f>
        <v>0</v>
      </c>
      <c r="O96" s="84">
        <f>$I$44*$O$44</f>
        <v>0</v>
      </c>
      <c r="P96" s="84">
        <f>$I$44*$P$44</f>
        <v>0</v>
      </c>
      <c r="Q96" s="84">
        <f>$I$44*$Q$44</f>
        <v>0</v>
      </c>
      <c r="R96" s="84">
        <f>$I$44*$R$44</f>
        <v>0</v>
      </c>
      <c r="S96" s="84">
        <f>$I$44*$S$44</f>
        <v>0</v>
      </c>
      <c r="T96" s="84">
        <f>$I$44*$T$44</f>
        <v>0</v>
      </c>
      <c r="U96" s="84">
        <f>$I$44*$U$44</f>
        <v>0</v>
      </c>
      <c r="V96" s="84">
        <f>$I$44*$V$44</f>
        <v>0</v>
      </c>
      <c r="W96" s="84">
        <f>$I$44*$W$44</f>
        <v>0</v>
      </c>
      <c r="X96" s="84">
        <f>$I$44*$X$44</f>
        <v>0</v>
      </c>
      <c r="Y96" s="84">
        <f>$I$44*$Y$44</f>
        <v>0</v>
      </c>
      <c r="Z96" s="84">
        <f>$I$44*$Z$44</f>
        <v>0</v>
      </c>
      <c r="AA96" s="84">
        <f>$I$44*$AA$44</f>
        <v>0</v>
      </c>
      <c r="AB96" s="84">
        <f ca="1">$I$44*$AB$44</f>
        <v>0</v>
      </c>
      <c r="AC96" s="84">
        <f ca="1">$I$44*$AC$44</f>
        <v>0</v>
      </c>
      <c r="AD96" s="84">
        <f>$I$44*$AD$44</f>
        <v>0</v>
      </c>
      <c r="AE96" s="84">
        <f>$I$44*$AE$44</f>
        <v>0</v>
      </c>
      <c r="AF96" s="84">
        <f ca="1">$I$44*$AF$44</f>
        <v>0</v>
      </c>
      <c r="AG96" s="84">
        <f ca="1">$I$44*$AG$44</f>
        <v>0</v>
      </c>
      <c r="AI96" s="84">
        <f>$I$44*$AI$44</f>
        <v>0</v>
      </c>
      <c r="AJ96" s="84">
        <f>$I$44*$AJ$44</f>
        <v>0</v>
      </c>
      <c r="AK96" s="84">
        <f>$I$44*$AK$44</f>
        <v>0</v>
      </c>
      <c r="AL96" s="84">
        <f>$I$44*$AL$44</f>
        <v>0</v>
      </c>
      <c r="AM96" s="84">
        <f>$I$44*$AM$44</f>
        <v>0</v>
      </c>
      <c r="AN96" s="84">
        <f>$I$44*$AN$44</f>
        <v>0</v>
      </c>
      <c r="AO96" s="84">
        <f>$I$44*$AO$44</f>
        <v>0</v>
      </c>
      <c r="AP96" s="84">
        <f>$I$44*$AP$44</f>
        <v>0</v>
      </c>
      <c r="AQ96" s="84">
        <f>$I$44*$AQ$44</f>
        <v>0</v>
      </c>
      <c r="AR96" s="84">
        <f>$I$44*$AR$44</f>
        <v>0</v>
      </c>
      <c r="AS96" s="84">
        <f>$I$44*$AS$44</f>
        <v>0</v>
      </c>
      <c r="AT96" s="84">
        <f>$I$44*$AT$44</f>
        <v>0</v>
      </c>
      <c r="AU96" s="84">
        <f>$I$44*$AU$44</f>
        <v>0</v>
      </c>
      <c r="AV96" s="84">
        <f>$I$44*$AV$44</f>
        <v>0</v>
      </c>
      <c r="AW96" s="84">
        <f>$I$44*$AW$44</f>
        <v>0</v>
      </c>
      <c r="AX96" s="84">
        <f>$I$44*$AX$44</f>
        <v>0</v>
      </c>
      <c r="AY96" s="84">
        <f>$I$44*$AY$44</f>
        <v>0</v>
      </c>
      <c r="AZ96" s="84">
        <f>$I$44*$AZ$44</f>
        <v>0</v>
      </c>
      <c r="BA96" s="84">
        <f>$I$44*$BA$44</f>
        <v>0</v>
      </c>
      <c r="BB96" s="84">
        <f>$I$44*$BB$44</f>
        <v>0</v>
      </c>
      <c r="BC96" s="84">
        <f>$I$44*$BC$44</f>
        <v>0</v>
      </c>
      <c r="BD96" s="84">
        <f>$I$44*$BD$44</f>
        <v>0</v>
      </c>
    </row>
    <row r="97" spans="1:56" ht="11.25" customHeight="1" x14ac:dyDescent="0.25">
      <c r="A97" s="9" t="s">
        <v>32</v>
      </c>
      <c r="B97" s="9" t="s">
        <v>947</v>
      </c>
      <c r="C97" s="9" t="s">
        <v>948</v>
      </c>
      <c r="D97" s="9" t="s">
        <v>949</v>
      </c>
      <c r="E97" s="9" t="s">
        <v>950</v>
      </c>
      <c r="F97" s="9" t="s">
        <v>951</v>
      </c>
      <c r="G97" s="9" t="s">
        <v>952</v>
      </c>
      <c r="L97" s="84">
        <f>$I$45*$L$45</f>
        <v>0</v>
      </c>
      <c r="M97" s="84">
        <f>$I$45*$M$45</f>
        <v>0.28198089753329397</v>
      </c>
      <c r="N97" s="84">
        <f ca="1">$I$45*$N$45</f>
        <v>0</v>
      </c>
      <c r="O97" s="84">
        <f>$I$45*$O$45</f>
        <v>0</v>
      </c>
      <c r="P97" s="84">
        <f>$I$45*$P$45</f>
        <v>0</v>
      </c>
      <c r="Q97" s="84">
        <f>$I$45*$Q$45</f>
        <v>5.5201045883598221</v>
      </c>
      <c r="R97" s="84">
        <f>$I$45*$R$45</f>
        <v>2.0652024974520558</v>
      </c>
      <c r="S97" s="84">
        <f>$I$45*$S$45</f>
        <v>0</v>
      </c>
      <c r="T97" s="84">
        <f>$I$45*$T$45</f>
        <v>0</v>
      </c>
      <c r="U97" s="84">
        <f>$I$45*$U$45</f>
        <v>0</v>
      </c>
      <c r="V97" s="84">
        <f>$I$45*$V$45</f>
        <v>0</v>
      </c>
      <c r="W97" s="84">
        <f>$I$45*$W$45</f>
        <v>0</v>
      </c>
      <c r="X97" s="84">
        <f>$I$45*$X$45</f>
        <v>63.017540712532224</v>
      </c>
      <c r="Y97" s="84">
        <f>$I$45*$Y$45</f>
        <v>0</v>
      </c>
      <c r="Z97" s="84">
        <f>$I$45*$Z$45</f>
        <v>0</v>
      </c>
      <c r="AA97" s="84">
        <f>$I$45*$AA$45</f>
        <v>186.07163916426063</v>
      </c>
      <c r="AB97" s="84">
        <f ca="1">$I$45*$AB$45</f>
        <v>-0.36483281846354948</v>
      </c>
      <c r="AC97" s="84">
        <f ca="1">$I$45*$AC$45</f>
        <v>0</v>
      </c>
      <c r="AD97" s="84">
        <f>$I$45*$AD$45</f>
        <v>5.0943307157850679</v>
      </c>
      <c r="AE97" s="84">
        <f>$I$45*$AE$45</f>
        <v>0</v>
      </c>
      <c r="AF97" s="84">
        <f ca="1">$I$45*$AF$45</f>
        <v>0</v>
      </c>
      <c r="AG97" s="84">
        <f ca="1">$I$45*$AG$45</f>
        <v>0</v>
      </c>
      <c r="AI97" s="84">
        <f>$I$45*$AI$45</f>
        <v>0</v>
      </c>
      <c r="AJ97" s="84">
        <f>$I$45*$AJ$45</f>
        <v>0.21974090508719754</v>
      </c>
      <c r="AK97" s="84">
        <f>$I$45*$AK$45</f>
        <v>0</v>
      </c>
      <c r="AL97" s="84">
        <f>$I$45*$AL$45</f>
        <v>0</v>
      </c>
      <c r="AM97" s="84">
        <f>$I$45*$AM$45</f>
        <v>0</v>
      </c>
      <c r="AN97" s="84">
        <f>$I$45*$AN$45</f>
        <v>3.359472711565179</v>
      </c>
      <c r="AO97" s="84">
        <f>$I$45*$AO$45</f>
        <v>1.3738868199749168</v>
      </c>
      <c r="AP97" s="84">
        <f>$I$45*$AP$45</f>
        <v>0</v>
      </c>
      <c r="AQ97" s="84">
        <f>$I$45*$AQ$45</f>
        <v>0</v>
      </c>
      <c r="AR97" s="84">
        <f>$I$45*$AR$45</f>
        <v>0</v>
      </c>
      <c r="AS97" s="84">
        <f>$I$45*$AS$45</f>
        <v>0</v>
      </c>
      <c r="AT97" s="84">
        <f>$I$45*$AT$45</f>
        <v>0</v>
      </c>
      <c r="AU97" s="84">
        <f>$I$45*$AU$45</f>
        <v>53.739518364023127</v>
      </c>
      <c r="AV97" s="84">
        <f>$I$45*$AV$45</f>
        <v>0</v>
      </c>
      <c r="AW97" s="84">
        <f>$I$45*$AW$45</f>
        <v>0</v>
      </c>
      <c r="AX97" s="84">
        <f>$I$45*$AX$45</f>
        <v>139.69329596768586</v>
      </c>
      <c r="AY97" s="84">
        <f>$I$45*$AY$45</f>
        <v>0.3423835281988537</v>
      </c>
      <c r="AZ97" s="84">
        <f>$I$45*$AZ$45</f>
        <v>0</v>
      </c>
      <c r="BA97" s="84">
        <f>$I$45*$BA$45</f>
        <v>4.6963440761182635</v>
      </c>
      <c r="BB97" s="84">
        <f>$I$45*$BB$45</f>
        <v>0</v>
      </c>
      <c r="BC97" s="84">
        <f>$I$45*$BC$45</f>
        <v>0</v>
      </c>
      <c r="BD97" s="84">
        <f>$I$45*$BD$45</f>
        <v>0</v>
      </c>
    </row>
    <row r="98" spans="1:56" ht="11.25" customHeight="1" x14ac:dyDescent="0.25">
      <c r="A98" s="9" t="s">
        <v>32</v>
      </c>
      <c r="B98" s="9" t="s">
        <v>947</v>
      </c>
      <c r="C98" s="9" t="s">
        <v>948</v>
      </c>
      <c r="D98" s="9" t="s">
        <v>949</v>
      </c>
      <c r="E98" s="9" t="s">
        <v>950</v>
      </c>
      <c r="F98" s="9" t="s">
        <v>951</v>
      </c>
      <c r="G98" s="9" t="s">
        <v>953</v>
      </c>
      <c r="L98" s="84">
        <f>$I$46*$L$46</f>
        <v>0</v>
      </c>
      <c r="M98" s="84">
        <f>$I$46*$M$46</f>
        <v>0.34003578820191338</v>
      </c>
      <c r="N98" s="84">
        <f ca="1">$I$46*$N$46</f>
        <v>0</v>
      </c>
      <c r="O98" s="84">
        <f>$I$46*$O$46</f>
        <v>0</v>
      </c>
      <c r="P98" s="84">
        <f>$I$46*$P$46</f>
        <v>0</v>
      </c>
      <c r="Q98" s="84">
        <f>$I$46*$Q$46</f>
        <v>6.6565967094927272</v>
      </c>
      <c r="R98" s="84">
        <f>$I$46*$R$46</f>
        <v>2.4903912469274792</v>
      </c>
      <c r="S98" s="84">
        <f>$I$46*$S$46</f>
        <v>0</v>
      </c>
      <c r="T98" s="84">
        <f>$I$46*$T$46</f>
        <v>0</v>
      </c>
      <c r="U98" s="84">
        <f>$I$46*$U$46</f>
        <v>0</v>
      </c>
      <c r="V98" s="84">
        <f>$I$46*$V$46</f>
        <v>0</v>
      </c>
      <c r="W98" s="84">
        <f>$I$46*$W$46</f>
        <v>0</v>
      </c>
      <c r="X98" s="84">
        <f>$I$46*$X$46</f>
        <v>45.595399315746207</v>
      </c>
      <c r="Y98" s="84">
        <f>$I$46*$Y$46</f>
        <v>0</v>
      </c>
      <c r="Z98" s="84">
        <f>$I$46*$Z$46</f>
        <v>0</v>
      </c>
      <c r="AA98" s="84">
        <f>$I$46*$AA$46</f>
        <v>134.62828342564327</v>
      </c>
      <c r="AB98" s="84">
        <f ca="1">$I$46*$AB$46</f>
        <v>-0.27165797500466243</v>
      </c>
      <c r="AC98" s="84">
        <f ca="1">$I$46*$AC$46</f>
        <v>0</v>
      </c>
      <c r="AD98" s="84">
        <f>$I$46*$AD$46</f>
        <v>6.1431635102114059</v>
      </c>
      <c r="AE98" s="84">
        <f>$I$46*$AE$46</f>
        <v>0</v>
      </c>
      <c r="AF98" s="84">
        <f ca="1">$I$46*$AF$46</f>
        <v>0</v>
      </c>
      <c r="AG98" s="84">
        <f ca="1">$I$46*$AG$46</f>
        <v>0</v>
      </c>
      <c r="AI98" s="84">
        <f>$I$46*$AI$46</f>
        <v>0</v>
      </c>
      <c r="AJ98" s="84">
        <f>$I$46*$AJ$46</f>
        <v>0.26498167966397351</v>
      </c>
      <c r="AK98" s="84">
        <f>$I$46*$AK$46</f>
        <v>0</v>
      </c>
      <c r="AL98" s="84">
        <f>$I$46*$AL$46</f>
        <v>0</v>
      </c>
      <c r="AM98" s="84">
        <f>$I$46*$AM$46</f>
        <v>0</v>
      </c>
      <c r="AN98" s="84">
        <f>$I$46*$AN$46</f>
        <v>4.0511288580638931</v>
      </c>
      <c r="AO98" s="84">
        <f>$I$46*$AO$46</f>
        <v>1.6567458711462235</v>
      </c>
      <c r="AP98" s="84">
        <f>$I$46*$AP$46</f>
        <v>0</v>
      </c>
      <c r="AQ98" s="84">
        <f>$I$46*$AQ$46</f>
        <v>0</v>
      </c>
      <c r="AR98" s="84">
        <f>$I$46*$AR$46</f>
        <v>0</v>
      </c>
      <c r="AS98" s="84">
        <f>$I$46*$AS$46</f>
        <v>0</v>
      </c>
      <c r="AT98" s="84">
        <f>$I$46*$AT$46</f>
        <v>0</v>
      </c>
      <c r="AU98" s="84">
        <f>$I$46*$AU$46</f>
        <v>38.882421188279345</v>
      </c>
      <c r="AV98" s="84">
        <f>$I$46*$AV$46</f>
        <v>0</v>
      </c>
      <c r="AW98" s="84">
        <f>$I$46*$AW$46</f>
        <v>0</v>
      </c>
      <c r="AX98" s="84">
        <f>$I$46*$AX$46</f>
        <v>101.07219166587224</v>
      </c>
      <c r="AY98" s="84">
        <f>$I$46*$AY$46</f>
        <v>0.25418718586144984</v>
      </c>
      <c r="AZ98" s="84">
        <f>$I$46*$AZ$46</f>
        <v>0</v>
      </c>
      <c r="BA98" s="84">
        <f>$I$46*$BA$46</f>
        <v>5.6632384447308484</v>
      </c>
      <c r="BB98" s="84">
        <f>$I$46*$BB$46</f>
        <v>0</v>
      </c>
      <c r="BC98" s="84">
        <f>$I$46*$BC$46</f>
        <v>0</v>
      </c>
      <c r="BD98" s="84">
        <f>$I$46*$BD$46</f>
        <v>0</v>
      </c>
    </row>
    <row r="99" spans="1:56" ht="11.25" customHeight="1" x14ac:dyDescent="0.25">
      <c r="A99" s="9" t="s">
        <v>32</v>
      </c>
      <c r="B99" s="9" t="s">
        <v>947</v>
      </c>
      <c r="C99" s="9" t="s">
        <v>948</v>
      </c>
      <c r="D99" s="9" t="s">
        <v>949</v>
      </c>
      <c r="E99" s="9" t="s">
        <v>950</v>
      </c>
      <c r="F99" s="9" t="s">
        <v>951</v>
      </c>
      <c r="G99" s="9" t="s">
        <v>954</v>
      </c>
      <c r="L99" s="84">
        <f>$I$47*$L$47</f>
        <v>0</v>
      </c>
      <c r="M99" s="84">
        <f>$I$47*$M$47</f>
        <v>10.516228766829903</v>
      </c>
      <c r="N99" s="84">
        <f ca="1">$I$47*$N$47</f>
        <v>0</v>
      </c>
      <c r="O99" s="84">
        <f>$I$47*$O$47</f>
        <v>0</v>
      </c>
      <c r="P99" s="84">
        <f>$I$47*$P$47</f>
        <v>0</v>
      </c>
      <c r="Q99" s="84">
        <f>$I$47*$Q$47</f>
        <v>205.86742994236036</v>
      </c>
      <c r="R99" s="84">
        <f>$I$47*$R$47</f>
        <v>77.019904904976642</v>
      </c>
      <c r="S99" s="84">
        <f>$I$47*$S$47</f>
        <v>0</v>
      </c>
      <c r="T99" s="84">
        <f>$I$47*$T$47</f>
        <v>0</v>
      </c>
      <c r="U99" s="84">
        <f>$I$47*$U$47</f>
        <v>0</v>
      </c>
      <c r="V99" s="84">
        <f>$I$47*$V$47</f>
        <v>0</v>
      </c>
      <c r="W99" s="84">
        <f>$I$47*$W$47</f>
        <v>0</v>
      </c>
      <c r="X99" s="84">
        <f>$I$47*$X$47</f>
        <v>470.04387338878468</v>
      </c>
      <c r="Y99" s="84">
        <f>$I$47*$Y$47</f>
        <v>0</v>
      </c>
      <c r="Z99" s="84">
        <f>$I$47*$Z$47</f>
        <v>0</v>
      </c>
      <c r="AA99" s="84">
        <f>$I$47*$AA$47</f>
        <v>1387.8763535220976</v>
      </c>
      <c r="AB99" s="84">
        <f ca="1">$I$47*$AB$47</f>
        <v>-3.1969075314333044</v>
      </c>
      <c r="AC99" s="84">
        <f ca="1">$I$47*$AC$47</f>
        <v>0</v>
      </c>
      <c r="AD99" s="84">
        <f>$I$47*$AD$47</f>
        <v>189.98856904751366</v>
      </c>
      <c r="AE99" s="84">
        <f>$I$47*$AE$47</f>
        <v>0</v>
      </c>
      <c r="AF99" s="84">
        <f ca="1">$I$47*$AF$47</f>
        <v>0</v>
      </c>
      <c r="AG99" s="84">
        <f ca="1">$I$47*$AG$47</f>
        <v>0</v>
      </c>
      <c r="AI99" s="84">
        <f>$I$47*$AI$47</f>
        <v>0</v>
      </c>
      <c r="AJ99" s="84">
        <f>$I$47*$AJ$47</f>
        <v>8.1950431661931304</v>
      </c>
      <c r="AK99" s="84">
        <f>$I$47*$AK$47</f>
        <v>0</v>
      </c>
      <c r="AL99" s="84">
        <f>$I$47*$AL$47</f>
        <v>0</v>
      </c>
      <c r="AM99" s="84">
        <f>$I$47*$AM$47</f>
        <v>0</v>
      </c>
      <c r="AN99" s="84">
        <f>$I$47*$AN$47</f>
        <v>125.28857053719547</v>
      </c>
      <c r="AO99" s="84">
        <f>$I$47*$AO$47</f>
        <v>51.237896697888061</v>
      </c>
      <c r="AP99" s="84">
        <f>$I$47*$AP$47</f>
        <v>0</v>
      </c>
      <c r="AQ99" s="84">
        <f>$I$47*$AQ$47</f>
        <v>0</v>
      </c>
      <c r="AR99" s="84">
        <f>$I$47*$AR$47</f>
        <v>0</v>
      </c>
      <c r="AS99" s="84">
        <f>$I$47*$AS$47</f>
        <v>0</v>
      </c>
      <c r="AT99" s="84">
        <f>$I$47*$AT$47</f>
        <v>0</v>
      </c>
      <c r="AU99" s="84">
        <f>$I$47*$AU$47</f>
        <v>400.83991265811909</v>
      </c>
      <c r="AV99" s="84">
        <f>$I$47*$AV$47</f>
        <v>0</v>
      </c>
      <c r="AW99" s="84">
        <f>$I$47*$AW$47</f>
        <v>0</v>
      </c>
      <c r="AX99" s="84">
        <f>$I$47*$AX$47</f>
        <v>1041.9480827265702</v>
      </c>
      <c r="AY99" s="84">
        <f>$I$47*$AY$47</f>
        <v>2.9535019423678848</v>
      </c>
      <c r="AZ99" s="84">
        <f>$I$47*$AZ$47</f>
        <v>0</v>
      </c>
      <c r="BA99" s="84">
        <f>$I$47*$BA$47</f>
        <v>175.14600848582228</v>
      </c>
      <c r="BB99" s="84">
        <f>$I$47*$BB$47</f>
        <v>0</v>
      </c>
      <c r="BC99" s="84">
        <f>$I$47*$BC$47</f>
        <v>0</v>
      </c>
      <c r="BD99" s="84">
        <f>$I$47*$BD$47</f>
        <v>0</v>
      </c>
    </row>
    <row r="100" spans="1:56" ht="11.25" customHeight="1" x14ac:dyDescent="0.25">
      <c r="A100" s="9" t="s">
        <v>32</v>
      </c>
      <c r="B100" s="9" t="s">
        <v>955</v>
      </c>
      <c r="C100" s="9" t="s">
        <v>956</v>
      </c>
      <c r="D100" s="9" t="s">
        <v>957</v>
      </c>
      <c r="E100" s="9" t="s">
        <v>958</v>
      </c>
      <c r="F100" s="9" t="s">
        <v>959</v>
      </c>
      <c r="G100" s="9" t="s">
        <v>960</v>
      </c>
      <c r="L100" s="84">
        <f>$I$48*$L$48</f>
        <v>0</v>
      </c>
      <c r="M100" s="84">
        <f>$I$48*$M$48</f>
        <v>3714.3145839771214</v>
      </c>
      <c r="N100" s="84">
        <f ca="1">$I$48*$N$48</f>
        <v>0</v>
      </c>
      <c r="O100" s="84">
        <f>$I$48*$O$48</f>
        <v>0</v>
      </c>
      <c r="P100" s="84">
        <f>$I$48*$P$48</f>
        <v>0</v>
      </c>
      <c r="Q100" s="84">
        <f>$I$48*$Q$48</f>
        <v>72712.035308005346</v>
      </c>
      <c r="R100" s="84">
        <f>$I$48*$R$48</f>
        <v>27203.302855812915</v>
      </c>
      <c r="S100" s="84">
        <f>$I$48*$S$48</f>
        <v>0</v>
      </c>
      <c r="T100" s="84">
        <f>$I$48*$T$48</f>
        <v>0</v>
      </c>
      <c r="U100" s="84">
        <f>$I$48*$U$48</f>
        <v>0</v>
      </c>
      <c r="V100" s="84">
        <f>$I$48*$V$48</f>
        <v>0</v>
      </c>
      <c r="W100" s="84">
        <f>$I$48*$W$48</f>
        <v>0</v>
      </c>
      <c r="X100" s="84">
        <f>$I$48*$X$48</f>
        <v>255409.43838786401</v>
      </c>
      <c r="Y100" s="84">
        <f>$I$48*$Y$48</f>
        <v>0</v>
      </c>
      <c r="Z100" s="84">
        <f>$I$48*$Z$48</f>
        <v>0</v>
      </c>
      <c r="AA100" s="84">
        <f>$I$48*$AA$48</f>
        <v>754146.34422806313</v>
      </c>
      <c r="AB100" s="84">
        <f ca="1">$I$48*$AB$48</f>
        <v>-1624.0545618233009</v>
      </c>
      <c r="AC100" s="84">
        <f ca="1">$I$48*$AC$48</f>
        <v>0</v>
      </c>
      <c r="AD100" s="84">
        <f>$I$48*$AD$48</f>
        <v>67103.647937743517</v>
      </c>
      <c r="AE100" s="84">
        <f>$I$48*$AE$48</f>
        <v>0</v>
      </c>
      <c r="AF100" s="84">
        <f ca="1">$I$48*$AF$48</f>
        <v>0</v>
      </c>
      <c r="AG100" s="84">
        <f ca="1">$I$48*$AG$48</f>
        <v>0</v>
      </c>
      <c r="AI100" s="84">
        <f>$I$48*$AI$48</f>
        <v>0</v>
      </c>
      <c r="AJ100" s="84">
        <f>$I$48*$AJ$48</f>
        <v>2894.4756740670409</v>
      </c>
      <c r="AK100" s="84">
        <f>$I$48*$AK$48</f>
        <v>0</v>
      </c>
      <c r="AL100" s="84">
        <f>$I$48*$AL$48</f>
        <v>0</v>
      </c>
      <c r="AM100" s="84">
        <f>$I$48*$AM$48</f>
        <v>0</v>
      </c>
      <c r="AN100" s="84">
        <f>$I$48*$AN$48</f>
        <v>44251.715616893496</v>
      </c>
      <c r="AO100" s="84">
        <f>$I$48*$AO$48</f>
        <v>18097.140255978717</v>
      </c>
      <c r="AP100" s="84">
        <f>$I$48*$AP$48</f>
        <v>0</v>
      </c>
      <c r="AQ100" s="84">
        <f>$I$48*$AQ$48</f>
        <v>0</v>
      </c>
      <c r="AR100" s="84">
        <f>$I$48*$AR$48</f>
        <v>0</v>
      </c>
      <c r="AS100" s="84">
        <f>$I$48*$AS$48</f>
        <v>0</v>
      </c>
      <c r="AT100" s="84">
        <f>$I$48*$AT$48</f>
        <v>0</v>
      </c>
      <c r="AU100" s="84">
        <f>$I$48*$AU$48</f>
        <v>217805.66586798802</v>
      </c>
      <c r="AV100" s="84">
        <f>$I$48*$AV$48</f>
        <v>0</v>
      </c>
      <c r="AW100" s="84">
        <f>$I$48*$AW$48</f>
        <v>0</v>
      </c>
      <c r="AX100" s="84">
        <f>$I$48*$AX$48</f>
        <v>566175.43531021639</v>
      </c>
      <c r="AY100" s="84">
        <f>$I$48*$AY$48</f>
        <v>1509.8503767353748</v>
      </c>
      <c r="AZ100" s="84">
        <f>$I$48*$AZ$48</f>
        <v>0</v>
      </c>
      <c r="BA100" s="84">
        <f>$I$48*$BA$48</f>
        <v>61861.280128881852</v>
      </c>
      <c r="BB100" s="84">
        <f>$I$48*$BB$48</f>
        <v>0</v>
      </c>
      <c r="BC100" s="84">
        <f>$I$48*$BC$48</f>
        <v>0</v>
      </c>
      <c r="BD100" s="84">
        <f>$I$48*$BD$48</f>
        <v>0</v>
      </c>
    </row>
    <row r="101" spans="1:56" ht="11.25" customHeight="1" x14ac:dyDescent="0.25">
      <c r="A101" s="9" t="s">
        <v>32</v>
      </c>
      <c r="B101" s="9" t="s">
        <v>961</v>
      </c>
      <c r="C101" s="9" t="s">
        <v>962</v>
      </c>
      <c r="D101" s="9" t="s">
        <v>963</v>
      </c>
      <c r="E101" s="9" t="s">
        <v>964</v>
      </c>
      <c r="F101" s="9" t="s">
        <v>965</v>
      </c>
      <c r="G101" s="9" t="s">
        <v>966</v>
      </c>
      <c r="L101" s="84">
        <f>$I$49*$L$49</f>
        <v>0</v>
      </c>
      <c r="M101" s="84">
        <f>$I$49*$M$49</f>
        <v>0</v>
      </c>
      <c r="N101" s="84">
        <f ca="1">$I$49*$N$49</f>
        <v>0</v>
      </c>
      <c r="O101" s="84">
        <f>$I$49*$O$49</f>
        <v>0</v>
      </c>
      <c r="P101" s="84">
        <f>$I$49*$P$49</f>
        <v>0</v>
      </c>
      <c r="Q101" s="84">
        <f>$I$49*$Q$49</f>
        <v>0</v>
      </c>
      <c r="R101" s="84">
        <f>$I$49*$R$49</f>
        <v>0</v>
      </c>
      <c r="S101" s="84">
        <f>$I$49*$S$49</f>
        <v>0</v>
      </c>
      <c r="T101" s="84">
        <f>$I$49*$T$49</f>
        <v>0</v>
      </c>
      <c r="U101" s="84">
        <f>$I$49*$U$49</f>
        <v>0</v>
      </c>
      <c r="V101" s="84">
        <f>$I$49*$V$49</f>
        <v>0</v>
      </c>
      <c r="W101" s="84">
        <f>$I$49*$W$49</f>
        <v>0</v>
      </c>
      <c r="X101" s="84">
        <f>$I$49*$X$49</f>
        <v>0</v>
      </c>
      <c r="Y101" s="84">
        <f>$I$49*$Y$49</f>
        <v>0</v>
      </c>
      <c r="Z101" s="84">
        <f>$I$49*$Z$49</f>
        <v>0</v>
      </c>
      <c r="AA101" s="84">
        <f>$I$49*$AA$49</f>
        <v>0</v>
      </c>
      <c r="AB101" s="84">
        <f ca="1">$I$49*$AB$49</f>
        <v>0</v>
      </c>
      <c r="AC101" s="84">
        <f ca="1">$I$49*$AC$49</f>
        <v>0</v>
      </c>
      <c r="AD101" s="84">
        <f>$I$49*$AD$49</f>
        <v>0</v>
      </c>
      <c r="AE101" s="84">
        <f>$I$49*$AE$49</f>
        <v>0</v>
      </c>
      <c r="AF101" s="84">
        <f ca="1">$I$49*$AF$49</f>
        <v>0</v>
      </c>
      <c r="AG101" s="84">
        <f ca="1">$I$49*$AG$49</f>
        <v>0</v>
      </c>
      <c r="AI101" s="84">
        <f>$I$49*$AI$49</f>
        <v>0</v>
      </c>
      <c r="AJ101" s="84">
        <f>$I$49*$AJ$49</f>
        <v>0</v>
      </c>
      <c r="AK101" s="84">
        <f>$I$49*$AK$49</f>
        <v>0</v>
      </c>
      <c r="AL101" s="84">
        <f>$I$49*$AL$49</f>
        <v>0</v>
      </c>
      <c r="AM101" s="84">
        <f>$I$49*$AM$49</f>
        <v>0</v>
      </c>
      <c r="AN101" s="84">
        <f>$I$49*$AN$49</f>
        <v>0</v>
      </c>
      <c r="AO101" s="84">
        <f>$I$49*$AO$49</f>
        <v>0</v>
      </c>
      <c r="AP101" s="84">
        <f>$I$49*$AP$49</f>
        <v>0</v>
      </c>
      <c r="AQ101" s="84">
        <f>$I$49*$AQ$49</f>
        <v>0</v>
      </c>
      <c r="AR101" s="84">
        <f>$I$49*$AR$49</f>
        <v>0</v>
      </c>
      <c r="AS101" s="84">
        <f>$I$49*$AS$49</f>
        <v>0</v>
      </c>
      <c r="AT101" s="84">
        <f>$I$49*$AT$49</f>
        <v>0</v>
      </c>
      <c r="AU101" s="84">
        <f>$I$49*$AU$49</f>
        <v>0</v>
      </c>
      <c r="AV101" s="84">
        <f>$I$49*$AV$49</f>
        <v>0</v>
      </c>
      <c r="AW101" s="84">
        <f>$I$49*$AW$49</f>
        <v>0</v>
      </c>
      <c r="AX101" s="84">
        <f>$I$49*$AX$49</f>
        <v>0</v>
      </c>
      <c r="AY101" s="84">
        <f>$I$49*$AY$49</f>
        <v>0</v>
      </c>
      <c r="AZ101" s="84">
        <f>$I$49*$AZ$49</f>
        <v>0</v>
      </c>
      <c r="BA101" s="84">
        <f>$I$49*$BA$49</f>
        <v>0</v>
      </c>
      <c r="BB101" s="84">
        <f>$I$49*$BB$49</f>
        <v>0</v>
      </c>
      <c r="BC101" s="84">
        <f>$I$49*$BC$49</f>
        <v>0</v>
      </c>
      <c r="BD101" s="84">
        <f>$I$49*$BD$49</f>
        <v>0</v>
      </c>
    </row>
    <row r="102" spans="1:56" ht="11.25" customHeight="1" x14ac:dyDescent="0.25">
      <c r="A102" s="9" t="s">
        <v>44</v>
      </c>
      <c r="B102" s="9" t="s">
        <v>967</v>
      </c>
      <c r="C102" s="9" t="s">
        <v>968</v>
      </c>
      <c r="D102" s="9" t="s">
        <v>969</v>
      </c>
      <c r="E102" s="9" t="s">
        <v>970</v>
      </c>
      <c r="F102" s="9" t="s">
        <v>971</v>
      </c>
      <c r="G102" s="9" t="s">
        <v>972</v>
      </c>
      <c r="L102" s="84">
        <f>$I$50*$L$50</f>
        <v>0</v>
      </c>
      <c r="M102" s="84">
        <f>$I$50*$M$50</f>
        <v>1731.1499811479036</v>
      </c>
      <c r="N102" s="84">
        <f ca="1">$I$50*$N$50</f>
        <v>0</v>
      </c>
      <c r="O102" s="84">
        <f>$I$50*$O$50</f>
        <v>0</v>
      </c>
      <c r="P102" s="84">
        <f>$I$50*$P$50</f>
        <v>0</v>
      </c>
      <c r="Q102" s="84">
        <f>$I$50*$Q$50</f>
        <v>33889.277740685444</v>
      </c>
      <c r="R102" s="84">
        <f>$I$50*$R$50</f>
        <v>12678.785321295047</v>
      </c>
      <c r="S102" s="84">
        <f>$I$50*$S$50</f>
        <v>0</v>
      </c>
      <c r="T102" s="84">
        <f>$I$50*$T$50</f>
        <v>0</v>
      </c>
      <c r="U102" s="84">
        <f>$I$50*$U$50</f>
        <v>0</v>
      </c>
      <c r="V102" s="84">
        <f>$I$50*$V$50</f>
        <v>0</v>
      </c>
      <c r="W102" s="84">
        <f>$I$50*$W$50</f>
        <v>0</v>
      </c>
      <c r="X102" s="84">
        <f>$I$50*$X$50</f>
        <v>119040.00979279225</v>
      </c>
      <c r="Y102" s="84">
        <f>$I$50*$Y$50</f>
        <v>0</v>
      </c>
      <c r="Z102" s="84">
        <f>$I$50*$Z$50</f>
        <v>0</v>
      </c>
      <c r="AA102" s="84">
        <f>$I$50*$AA$50</f>
        <v>351488.9221352</v>
      </c>
      <c r="AB102" s="84">
        <f ca="1">$I$50*$AB$50</f>
        <v>-756.93158468908302</v>
      </c>
      <c r="AC102" s="84">
        <f ca="1">$I$50*$AC$50</f>
        <v>0</v>
      </c>
      <c r="AD102" s="84">
        <f>$I$50*$AD$50</f>
        <v>31275.34737189503</v>
      </c>
      <c r="AE102" s="84">
        <f>$I$50*$AE$50</f>
        <v>0</v>
      </c>
      <c r="AF102" s="84">
        <f ca="1">$I$50*$AF$50</f>
        <v>0</v>
      </c>
      <c r="AG102" s="84">
        <f ca="1">$I$50*$AG$50</f>
        <v>0</v>
      </c>
      <c r="AI102" s="84">
        <f>$I$50*$AI$50</f>
        <v>0</v>
      </c>
      <c r="AJ102" s="84">
        <f>$I$50*$AJ$50</f>
        <v>1349.0433821114088</v>
      </c>
      <c r="AK102" s="84">
        <f>$I$50*$AK$50</f>
        <v>0</v>
      </c>
      <c r="AL102" s="84">
        <f>$I$50*$AL$50</f>
        <v>0</v>
      </c>
      <c r="AM102" s="84">
        <f>$I$50*$AM$50</f>
        <v>0</v>
      </c>
      <c r="AN102" s="84">
        <f>$I$50*$AN$50</f>
        <v>20624.628023273392</v>
      </c>
      <c r="AO102" s="84">
        <f>$I$50*$AO$50</f>
        <v>8434.6285982656573</v>
      </c>
      <c r="AP102" s="84">
        <f>$I$50*$AP$50</f>
        <v>0</v>
      </c>
      <c r="AQ102" s="84">
        <f>$I$50*$AQ$50</f>
        <v>0</v>
      </c>
      <c r="AR102" s="84">
        <f>$I$50*$AR$50</f>
        <v>0</v>
      </c>
      <c r="AS102" s="84">
        <f>$I$50*$AS$50</f>
        <v>0</v>
      </c>
      <c r="AT102" s="84">
        <f>$I$50*$AT$50</f>
        <v>0</v>
      </c>
      <c r="AU102" s="84">
        <f>$I$50*$AU$50</f>
        <v>101513.82330075563</v>
      </c>
      <c r="AV102" s="84">
        <f>$I$50*$AV$50</f>
        <v>0</v>
      </c>
      <c r="AW102" s="84">
        <f>$I$50*$AW$50</f>
        <v>0</v>
      </c>
      <c r="AX102" s="84">
        <f>$I$50*$AX$50</f>
        <v>263880.33969761455</v>
      </c>
      <c r="AY102" s="84">
        <f>$I$50*$AY$50</f>
        <v>703.70384417543971</v>
      </c>
      <c r="AZ102" s="84">
        <f>$I$50*$AZ$50</f>
        <v>0</v>
      </c>
      <c r="BA102" s="84">
        <f>$I$50*$BA$50</f>
        <v>28832.009650143955</v>
      </c>
      <c r="BB102" s="84">
        <f>$I$50*$BB$50</f>
        <v>0</v>
      </c>
      <c r="BC102" s="84">
        <f>$I$50*$BC$50</f>
        <v>0</v>
      </c>
      <c r="BD102" s="84">
        <f>$I$50*$BD$50</f>
        <v>0</v>
      </c>
    </row>
    <row r="103" spans="1:56" ht="11.25" customHeight="1" x14ac:dyDescent="0.25">
      <c r="A103" s="9" t="s">
        <v>44</v>
      </c>
      <c r="B103" s="9" t="s">
        <v>967</v>
      </c>
      <c r="C103" s="9" t="s">
        <v>968</v>
      </c>
      <c r="D103" s="9" t="s">
        <v>973</v>
      </c>
      <c r="E103" s="9" t="s">
        <v>974</v>
      </c>
      <c r="F103" s="9" t="s">
        <v>975</v>
      </c>
      <c r="G103" s="9" t="s">
        <v>976</v>
      </c>
      <c r="L103" s="84">
        <f>$I$51*$L$51</f>
        <v>0</v>
      </c>
      <c r="M103" s="84">
        <f>$I$51*$M$51</f>
        <v>0</v>
      </c>
      <c r="N103" s="84">
        <f ca="1">$I$51*$N$51</f>
        <v>0</v>
      </c>
      <c r="O103" s="84">
        <f>$I$51*$O$51</f>
        <v>0</v>
      </c>
      <c r="P103" s="84">
        <f>$I$51*$P$51</f>
        <v>0</v>
      </c>
      <c r="Q103" s="84">
        <f>$I$51*$Q$51</f>
        <v>0</v>
      </c>
      <c r="R103" s="84">
        <f>$I$51*$R$51</f>
        <v>0</v>
      </c>
      <c r="S103" s="84">
        <f>$I$51*$S$51</f>
        <v>0</v>
      </c>
      <c r="T103" s="84">
        <f>$I$51*$T$51</f>
        <v>0</v>
      </c>
      <c r="U103" s="84">
        <f>$I$51*$U$51</f>
        <v>0</v>
      </c>
      <c r="V103" s="84">
        <f>$I$51*$V$51</f>
        <v>0</v>
      </c>
      <c r="W103" s="84">
        <f>$I$51*$W$51</f>
        <v>0</v>
      </c>
      <c r="X103" s="84">
        <f>$I$51*$X$51</f>
        <v>0</v>
      </c>
      <c r="Y103" s="84">
        <f>$I$51*$Y$51</f>
        <v>0</v>
      </c>
      <c r="Z103" s="84">
        <f>$I$51*$Z$51</f>
        <v>0</v>
      </c>
      <c r="AA103" s="84">
        <f>$I$51*$AA$51</f>
        <v>0</v>
      </c>
      <c r="AB103" s="84">
        <f ca="1">$I$51*$AB$51</f>
        <v>0</v>
      </c>
      <c r="AC103" s="84">
        <f ca="1">$I$51*$AC$51</f>
        <v>0</v>
      </c>
      <c r="AD103" s="84">
        <f>$I$51*$AD$51</f>
        <v>0</v>
      </c>
      <c r="AE103" s="84">
        <f>$I$51*$AE$51</f>
        <v>0</v>
      </c>
      <c r="AF103" s="84">
        <f ca="1">$I$51*$AF$51</f>
        <v>0</v>
      </c>
      <c r="AG103" s="84">
        <f ca="1">$I$51*$AG$51</f>
        <v>0</v>
      </c>
      <c r="AI103" s="84">
        <f>$I$51*$AI$51</f>
        <v>0</v>
      </c>
      <c r="AJ103" s="84">
        <f>$I$51*$AJ$51</f>
        <v>0</v>
      </c>
      <c r="AK103" s="84">
        <f>$I$51*$AK$51</f>
        <v>0</v>
      </c>
      <c r="AL103" s="84">
        <f>$I$51*$AL$51</f>
        <v>0</v>
      </c>
      <c r="AM103" s="84">
        <f>$I$51*$AM$51</f>
        <v>0</v>
      </c>
      <c r="AN103" s="84">
        <f>$I$51*$AN$51</f>
        <v>0</v>
      </c>
      <c r="AO103" s="84">
        <f>$I$51*$AO$51</f>
        <v>0</v>
      </c>
      <c r="AP103" s="84">
        <f>$I$51*$AP$51</f>
        <v>0</v>
      </c>
      <c r="AQ103" s="84">
        <f>$I$51*$AQ$51</f>
        <v>0</v>
      </c>
      <c r="AR103" s="84">
        <f>$I$51*$AR$51</f>
        <v>0</v>
      </c>
      <c r="AS103" s="84">
        <f>$I$51*$AS$51</f>
        <v>0</v>
      </c>
      <c r="AT103" s="84">
        <f>$I$51*$AT$51</f>
        <v>0</v>
      </c>
      <c r="AU103" s="84">
        <f>$I$51*$AU$51</f>
        <v>0</v>
      </c>
      <c r="AV103" s="84">
        <f>$I$51*$AV$51</f>
        <v>0</v>
      </c>
      <c r="AW103" s="84">
        <f>$I$51*$AW$51</f>
        <v>0</v>
      </c>
      <c r="AX103" s="84">
        <f>$I$51*$AX$51</f>
        <v>0</v>
      </c>
      <c r="AY103" s="84">
        <f>$I$51*$AY$51</f>
        <v>0</v>
      </c>
      <c r="AZ103" s="84">
        <f>$I$51*$AZ$51</f>
        <v>0</v>
      </c>
      <c r="BA103" s="84">
        <f>$I$51*$BA$51</f>
        <v>0</v>
      </c>
      <c r="BB103" s="84">
        <f>$I$51*$BB$51</f>
        <v>0</v>
      </c>
      <c r="BC103" s="84">
        <f>$I$51*$BC$51</f>
        <v>0</v>
      </c>
      <c r="BD103" s="84">
        <f>$I$51*$BD$51</f>
        <v>0</v>
      </c>
    </row>
  </sheetData>
  <mergeCells count="88">
    <mergeCell ref="A1:A4"/>
    <mergeCell ref="B1:B4"/>
    <mergeCell ref="C1:C4"/>
    <mergeCell ref="D1:D4"/>
    <mergeCell ref="E1:E4"/>
    <mergeCell ref="J1:J4"/>
    <mergeCell ref="L1:AG1"/>
    <mergeCell ref="L2:AG2"/>
    <mergeCell ref="L3:S3"/>
    <mergeCell ref="T3:Z3"/>
    <mergeCell ref="F5:F7"/>
    <mergeCell ref="B10:B14"/>
    <mergeCell ref="G1:G4"/>
    <mergeCell ref="H1:H4"/>
    <mergeCell ref="I1:I4"/>
    <mergeCell ref="F1:F4"/>
    <mergeCell ref="F10:F12"/>
    <mergeCell ref="F13:F14"/>
    <mergeCell ref="A5:A14"/>
    <mergeCell ref="B5:B8"/>
    <mergeCell ref="C5:C8"/>
    <mergeCell ref="D5:D8"/>
    <mergeCell ref="E5:E7"/>
    <mergeCell ref="C10:C14"/>
    <mergeCell ref="D10:D14"/>
    <mergeCell ref="E10:E12"/>
    <mergeCell ref="E13:E1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AI1:BD1"/>
    <mergeCell ref="AI2:BD2"/>
    <mergeCell ref="AI3:AP3"/>
    <mergeCell ref="AQ3:AW3"/>
    <mergeCell ref="AY3:AZ3"/>
    <mergeCell ref="E45:E47"/>
    <mergeCell ref="F45:F47"/>
    <mergeCell ref="A50:A51"/>
    <mergeCell ref="B50:B51"/>
    <mergeCell ref="C50:C51"/>
    <mergeCell ref="D45:D47"/>
    <mergeCell ref="AQ55:AW55"/>
    <mergeCell ref="AY55:AZ55"/>
    <mergeCell ref="BA55:BD55"/>
    <mergeCell ref="BA3:BD3"/>
    <mergeCell ref="L53:AG53"/>
    <mergeCell ref="AI53:BD53"/>
    <mergeCell ref="L54:AG54"/>
    <mergeCell ref="AI54:BD54"/>
    <mergeCell ref="L55:S55"/>
    <mergeCell ref="T55:Z55"/>
    <mergeCell ref="AB55:AC55"/>
    <mergeCell ref="AD55:AG55"/>
    <mergeCell ref="AI55:AP55"/>
    <mergeCell ref="AB3:AC3"/>
    <mergeCell ref="AD3:AG3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C408-D9DA-490E-9768-896D00536D68}">
  <dimension ref="A1:AF85"/>
  <sheetViews>
    <sheetView showGridLines="0" topLeftCell="L29" workbookViewId="0">
      <selection activeCell="V43" sqref="V43"/>
    </sheetView>
  </sheetViews>
  <sheetFormatPr defaultRowHeight="11.25" customHeight="1" x14ac:dyDescent="0.25"/>
  <cols>
    <col min="1" max="1" width="9.28515625" style="9" bestFit="1" customWidth="1"/>
    <col min="2" max="2" width="29" style="9" bestFit="1" customWidth="1"/>
    <col min="3" max="3" width="38.7109375" style="9" bestFit="1" customWidth="1"/>
    <col min="4" max="4" width="61.7109375" style="9" bestFit="1" customWidth="1"/>
    <col min="5" max="5" width="71.42578125" style="9" bestFit="1" customWidth="1"/>
    <col min="6" max="6" width="81" style="9" bestFit="1" customWidth="1"/>
    <col min="7" max="7" width="81.85546875" style="9" bestFit="1" customWidth="1"/>
    <col min="8" max="8" width="7.42578125" style="9" bestFit="1" customWidth="1"/>
    <col min="9" max="9" width="7" style="9" bestFit="1" customWidth="1"/>
    <col min="10" max="10" width="9.140625" style="9"/>
    <col min="11" max="11" width="20" style="9" bestFit="1" customWidth="1"/>
    <col min="12" max="12" width="4.140625" style="9" bestFit="1" customWidth="1"/>
    <col min="13" max="13" width="7.140625" style="9" bestFit="1" customWidth="1"/>
    <col min="14" max="14" width="6" style="9" bestFit="1" customWidth="1"/>
    <col min="15" max="15" width="11.140625" style="9" bestFit="1" customWidth="1"/>
    <col min="16" max="16" width="15" style="9" bestFit="1" customWidth="1"/>
    <col min="17" max="17" width="6" style="9" bestFit="1" customWidth="1"/>
    <col min="18" max="18" width="10.42578125" style="9" bestFit="1" customWidth="1"/>
    <col min="19" max="19" width="7" style="9" bestFit="1" customWidth="1"/>
    <col min="20" max="20" width="11.140625" style="9" bestFit="1" customWidth="1"/>
    <col min="21" max="21" width="11" style="9" bestFit="1" customWidth="1"/>
    <col min="22" max="22" width="9.140625" style="9"/>
    <col min="23" max="23" width="4.140625" style="9" bestFit="1" customWidth="1"/>
    <col min="24" max="24" width="7.140625" style="9" bestFit="1" customWidth="1"/>
    <col min="25" max="25" width="6" style="9" bestFit="1" customWidth="1"/>
    <col min="26" max="26" width="11.140625" style="9" bestFit="1" customWidth="1"/>
    <col min="27" max="27" width="15" style="9" bestFit="1" customWidth="1"/>
    <col min="28" max="28" width="6" style="9" bestFit="1" customWidth="1"/>
    <col min="29" max="29" width="10.42578125" style="9" bestFit="1" customWidth="1"/>
    <col min="30" max="30" width="7" style="9" bestFit="1" customWidth="1"/>
    <col min="31" max="31" width="11.140625" style="9" bestFit="1" customWidth="1"/>
    <col min="32" max="32" width="11" style="9" bestFit="1" customWidth="1"/>
    <col min="33" max="16384" width="9.140625" style="9"/>
  </cols>
  <sheetData>
    <row r="1" spans="1:32" ht="11.25" customHeight="1" x14ac:dyDescent="0.25">
      <c r="A1" s="137" t="s">
        <v>59</v>
      </c>
      <c r="B1" s="137" t="s">
        <v>60</v>
      </c>
      <c r="C1" s="137" t="s">
        <v>61</v>
      </c>
      <c r="D1" s="137" t="s">
        <v>62</v>
      </c>
      <c r="E1" s="137" t="s">
        <v>63</v>
      </c>
      <c r="F1" s="137" t="s">
        <v>15</v>
      </c>
      <c r="G1" s="137" t="s">
        <v>65</v>
      </c>
      <c r="H1" s="137" t="s">
        <v>66</v>
      </c>
      <c r="I1" s="137" t="s">
        <v>608</v>
      </c>
      <c r="J1" s="119"/>
      <c r="L1" s="138" t="s">
        <v>977</v>
      </c>
      <c r="M1" s="138"/>
      <c r="N1" s="138"/>
      <c r="O1" s="138"/>
      <c r="P1" s="138"/>
      <c r="Q1" s="138"/>
      <c r="R1" s="138"/>
      <c r="S1" s="138"/>
      <c r="T1" s="138"/>
      <c r="U1" s="138"/>
      <c r="W1" s="138" t="s">
        <v>978</v>
      </c>
      <c r="X1" s="138"/>
      <c r="Y1" s="138"/>
      <c r="Z1" s="138"/>
      <c r="AA1" s="138"/>
      <c r="AB1" s="138"/>
      <c r="AC1" s="138"/>
      <c r="AD1" s="138"/>
      <c r="AE1" s="138"/>
      <c r="AF1" s="138"/>
    </row>
    <row r="2" spans="1:32" ht="11.25" customHeight="1" x14ac:dyDescent="0.25">
      <c r="A2" s="137"/>
      <c r="B2" s="137"/>
      <c r="C2" s="137"/>
      <c r="D2" s="137"/>
      <c r="E2" s="137"/>
      <c r="F2" s="137"/>
      <c r="G2" s="137"/>
      <c r="H2" s="137"/>
      <c r="I2" s="137"/>
      <c r="J2" s="119"/>
      <c r="L2" s="138" t="s">
        <v>536</v>
      </c>
      <c r="M2" s="138"/>
      <c r="N2" s="138"/>
      <c r="O2" s="138"/>
      <c r="P2" s="138"/>
      <c r="Q2" s="138"/>
      <c r="R2" s="138"/>
      <c r="S2" s="138"/>
      <c r="T2" s="138"/>
      <c r="U2" s="138"/>
      <c r="W2" s="138" t="s">
        <v>536</v>
      </c>
      <c r="X2" s="138"/>
      <c r="Y2" s="138"/>
      <c r="Z2" s="138"/>
      <c r="AA2" s="138"/>
      <c r="AB2" s="138"/>
      <c r="AC2" s="138"/>
      <c r="AD2" s="138"/>
      <c r="AE2" s="138"/>
      <c r="AF2" s="138"/>
    </row>
    <row r="3" spans="1:32" ht="11.25" customHeight="1" x14ac:dyDescent="0.25">
      <c r="A3" s="137"/>
      <c r="B3" s="137"/>
      <c r="C3" s="137"/>
      <c r="D3" s="137"/>
      <c r="E3" s="137"/>
      <c r="F3" s="137"/>
      <c r="G3" s="137"/>
      <c r="H3" s="137"/>
      <c r="I3" s="137"/>
      <c r="J3" s="119"/>
      <c r="L3" s="138" t="s">
        <v>509</v>
      </c>
      <c r="M3" s="138"/>
      <c r="N3" s="138"/>
      <c r="O3" s="138"/>
      <c r="P3" s="88" t="s">
        <v>539</v>
      </c>
      <c r="Q3" s="138" t="s">
        <v>518</v>
      </c>
      <c r="R3" s="138"/>
      <c r="S3" s="138"/>
      <c r="T3" s="88" t="s">
        <v>528</v>
      </c>
      <c r="U3" s="88" t="s">
        <v>531</v>
      </c>
      <c r="W3" s="138" t="s">
        <v>509</v>
      </c>
      <c r="X3" s="138"/>
      <c r="Y3" s="138"/>
      <c r="Z3" s="138"/>
      <c r="AA3" s="88" t="s">
        <v>539</v>
      </c>
      <c r="AB3" s="138" t="s">
        <v>518</v>
      </c>
      <c r="AC3" s="138"/>
      <c r="AD3" s="138"/>
      <c r="AE3" s="88" t="s">
        <v>528</v>
      </c>
      <c r="AF3" s="88" t="s">
        <v>531</v>
      </c>
    </row>
    <row r="4" spans="1:32" ht="11.25" customHeight="1" x14ac:dyDescent="0.25">
      <c r="A4" s="137"/>
      <c r="B4" s="137"/>
      <c r="C4" s="137"/>
      <c r="D4" s="137"/>
      <c r="E4" s="137"/>
      <c r="F4" s="137"/>
      <c r="G4" s="137"/>
      <c r="H4" s="137"/>
      <c r="I4" s="137"/>
      <c r="J4" s="119"/>
      <c r="L4" s="88" t="s">
        <v>511</v>
      </c>
      <c r="M4" s="88" t="s">
        <v>537</v>
      </c>
      <c r="N4" s="88" t="s">
        <v>538</v>
      </c>
      <c r="O4" s="88" t="s">
        <v>596</v>
      </c>
      <c r="P4" s="88" t="s">
        <v>540</v>
      </c>
      <c r="Q4" s="88" t="s">
        <v>541</v>
      </c>
      <c r="R4" s="88" t="s">
        <v>542</v>
      </c>
      <c r="S4" s="88" t="s">
        <v>543</v>
      </c>
      <c r="T4" s="88" t="s">
        <v>529</v>
      </c>
      <c r="U4" s="88" t="s">
        <v>544</v>
      </c>
      <c r="W4" s="88" t="s">
        <v>511</v>
      </c>
      <c r="X4" s="88" t="s">
        <v>537</v>
      </c>
      <c r="Y4" s="88" t="s">
        <v>538</v>
      </c>
      <c r="Z4" s="88" t="s">
        <v>596</v>
      </c>
      <c r="AA4" s="88" t="s">
        <v>540</v>
      </c>
      <c r="AB4" s="88" t="s">
        <v>541</v>
      </c>
      <c r="AC4" s="88" t="s">
        <v>542</v>
      </c>
      <c r="AD4" s="88" t="s">
        <v>543</v>
      </c>
      <c r="AE4" s="88" t="s">
        <v>529</v>
      </c>
      <c r="AF4" s="88" t="s">
        <v>544</v>
      </c>
    </row>
    <row r="5" spans="1:32" ht="11.25" customHeight="1" x14ac:dyDescent="0.25">
      <c r="A5" s="136" t="s">
        <v>34</v>
      </c>
      <c r="B5" s="136" t="s">
        <v>68</v>
      </c>
      <c r="C5" s="136" t="s">
        <v>25</v>
      </c>
      <c r="D5" s="136" t="s">
        <v>25</v>
      </c>
      <c r="E5" s="136" t="s">
        <v>25</v>
      </c>
      <c r="F5" s="136" t="s">
        <v>25</v>
      </c>
      <c r="G5" s="32" t="s">
        <v>70</v>
      </c>
      <c r="H5" s="32" t="s">
        <v>69</v>
      </c>
      <c r="I5" s="32">
        <f>'MERCADO TE'!$U$2</f>
        <v>2.2919999999999998</v>
      </c>
      <c r="J5" s="17"/>
      <c r="L5" s="30">
        <f>('TE BE'!$L$5+'TE BF'!$L$5+'TE CVA'!$L$5)*1</f>
        <v>0</v>
      </c>
      <c r="M5" s="30">
        <f>('TE BE'!$M$5+'TE BF'!$M$5+'TE CVA'!$M$5)*1</f>
        <v>0</v>
      </c>
      <c r="N5" s="30">
        <f>('TE BE'!$N$5+'TE BF'!$N$5+'TE CVA'!$N$5)*1</f>
        <v>0</v>
      </c>
      <c r="O5" s="30">
        <f>('TE BE'!$O$5+'TE BF'!$O$5+'TE CVA'!$O$5)*1</f>
        <v>0</v>
      </c>
      <c r="P5" s="30">
        <f>('TE BE'!$Q$5+'TE BF'!$Q$5+'TE CVA'!$Q$5)*1</f>
        <v>253.83327314904386</v>
      </c>
      <c r="Q5" s="30">
        <f>('TE BE'!$S$5+'TE BF'!$S$5+'TE CVA'!$S$5)*1</f>
        <v>0</v>
      </c>
      <c r="R5" s="30">
        <f>('TE BE'!$T$5+'TE BF'!$T$5+'TE CVA'!$T$5)*1</f>
        <v>0</v>
      </c>
      <c r="S5" s="30">
        <f>('TE BE'!$U$5+'TE BF'!$U$5+'TE CVA'!$U$5)*1</f>
        <v>0</v>
      </c>
      <c r="T5" s="30">
        <f>('TE BE'!$W$5+'TE BF'!$W$5+'TE CVA'!$W$5)*1</f>
        <v>2.858891699312641</v>
      </c>
      <c r="U5" s="30">
        <f>('TE BE'!$Y$5+'TE BF'!$Y$5+'TE CVA'!$Y$5)*1</f>
        <v>0</v>
      </c>
      <c r="W5" s="30">
        <v>0</v>
      </c>
      <c r="X5" s="30">
        <v>0</v>
      </c>
      <c r="Y5" s="30">
        <v>0</v>
      </c>
      <c r="Z5" s="30">
        <v>0</v>
      </c>
      <c r="AA5" s="30">
        <v>254.53679179037999</v>
      </c>
      <c r="AB5" s="30">
        <v>0</v>
      </c>
      <c r="AC5" s="30">
        <v>0</v>
      </c>
      <c r="AD5" s="30">
        <v>0</v>
      </c>
      <c r="AE5" s="30">
        <v>-2.6850656189141899</v>
      </c>
      <c r="AF5" s="30">
        <v>0</v>
      </c>
    </row>
    <row r="6" spans="1:32" ht="11.25" customHeight="1" x14ac:dyDescent="0.25">
      <c r="A6" s="136"/>
      <c r="B6" s="136"/>
      <c r="C6" s="136"/>
      <c r="D6" s="136"/>
      <c r="E6" s="136"/>
      <c r="F6" s="136"/>
      <c r="G6" s="32" t="s">
        <v>71</v>
      </c>
      <c r="H6" s="32" t="s">
        <v>69</v>
      </c>
      <c r="I6" s="32">
        <f>'MERCADO TE'!$U$3</f>
        <v>310.52600000000001</v>
      </c>
      <c r="J6" s="17"/>
      <c r="L6" s="30">
        <f>('TE BE'!$L$6+'TE BF'!$L$6+'TE CVA'!$L$6)*1</f>
        <v>0</v>
      </c>
      <c r="M6" s="30">
        <f>('TE BE'!$M$6+'TE BF'!$M$6+'TE CVA'!$M$6)*1</f>
        <v>0</v>
      </c>
      <c r="N6" s="30">
        <f>('TE BE'!$N$6+'TE BF'!$N$6+'TE CVA'!$N$6)*1</f>
        <v>0</v>
      </c>
      <c r="O6" s="30">
        <f>('TE BE'!$O$6+'TE BF'!$O$6+'TE CVA'!$O$6)*1</f>
        <v>0</v>
      </c>
      <c r="P6" s="30">
        <f>('TE BE'!$Q$6+'TE BF'!$Q$6+'TE CVA'!$Q$6)*1</f>
        <v>253.83327314904386</v>
      </c>
      <c r="Q6" s="30">
        <f>('TE BE'!$S$6+'TE BF'!$S$6+'TE CVA'!$S$6)*1</f>
        <v>0</v>
      </c>
      <c r="R6" s="30">
        <f>('TE BE'!$T$6+'TE BF'!$T$6+'TE CVA'!$T$6)*1</f>
        <v>0</v>
      </c>
      <c r="S6" s="30">
        <f>('TE BE'!$U$6+'TE BF'!$U$6+'TE CVA'!$U$6)*1</f>
        <v>0</v>
      </c>
      <c r="T6" s="30">
        <f>('TE BE'!$W$6+'TE BF'!$W$6+'TE CVA'!$W$6)*1</f>
        <v>2.858891699312641</v>
      </c>
      <c r="U6" s="30">
        <f>('TE BE'!$Y$6+'TE BF'!$Y$6+'TE CVA'!$Y$6)*1</f>
        <v>0</v>
      </c>
      <c r="W6" s="30">
        <v>0</v>
      </c>
      <c r="X6" s="30">
        <v>0</v>
      </c>
      <c r="Y6" s="30">
        <v>0</v>
      </c>
      <c r="Z6" s="30">
        <v>0</v>
      </c>
      <c r="AA6" s="30">
        <v>254.53679179037999</v>
      </c>
      <c r="AB6" s="30">
        <v>0</v>
      </c>
      <c r="AC6" s="30">
        <v>0</v>
      </c>
      <c r="AD6" s="30">
        <v>0</v>
      </c>
      <c r="AE6" s="30">
        <v>-2.6850656189141899</v>
      </c>
      <c r="AF6" s="30">
        <v>0</v>
      </c>
    </row>
    <row r="7" spans="1:32" ht="11.25" customHeight="1" x14ac:dyDescent="0.25">
      <c r="A7" s="136"/>
      <c r="B7" s="87" t="s">
        <v>72</v>
      </c>
      <c r="C7" s="87" t="s">
        <v>25</v>
      </c>
      <c r="D7" s="87" t="s">
        <v>25</v>
      </c>
      <c r="E7" s="87" t="s">
        <v>25</v>
      </c>
      <c r="F7" s="87" t="s">
        <v>25</v>
      </c>
      <c r="G7" s="32" t="s">
        <v>73</v>
      </c>
      <c r="H7" s="32" t="s">
        <v>69</v>
      </c>
      <c r="I7" s="32">
        <f>'MERCADO TE'!$U$4</f>
        <v>0</v>
      </c>
      <c r="J7" s="17"/>
      <c r="L7" s="30">
        <f>('TE BE'!$L$7+'TE BF'!$L$7+'TE CVA'!$L$7)*1</f>
        <v>0</v>
      </c>
      <c r="M7" s="30">
        <f>('TE BE'!$M$7+'TE BF'!$M$7+'TE CVA'!$M$7)*1</f>
        <v>0</v>
      </c>
      <c r="N7" s="30">
        <f>('TE BE'!$N$7+'TE BF'!$N$7+'TE CVA'!$N$7)*1</f>
        <v>0</v>
      </c>
      <c r="O7" s="30">
        <f>('TE BE'!$O$7+'TE BF'!$O$7+'TE CVA'!$O$7)*1</f>
        <v>0</v>
      </c>
      <c r="P7" s="30">
        <f>('TE BE'!$Q$7+'TE BF'!$Q$7+'TE CVA'!$Q$7)*1</f>
        <v>253.83327314904386</v>
      </c>
      <c r="Q7" s="30">
        <f>('TE BE'!$S$7+'TE BF'!$S$7+'TE CVA'!$S$7)*1</f>
        <v>0</v>
      </c>
      <c r="R7" s="30">
        <f>('TE BE'!$T$7+'TE BF'!$T$7+'TE CVA'!$T$7)*1</f>
        <v>0</v>
      </c>
      <c r="S7" s="30">
        <f>('TE BE'!$U$7+'TE BF'!$U$7+'TE CVA'!$U$7)*1</f>
        <v>0</v>
      </c>
      <c r="T7" s="30">
        <f>('TE BE'!$W$7+'TE BF'!$W$7+'TE CVA'!$W$7)*1</f>
        <v>2.858891699312641</v>
      </c>
      <c r="U7" s="30">
        <f>('TE BE'!$Y$7+'TE BF'!$Y$7+'TE CVA'!$Y$7)*1</f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</row>
    <row r="8" spans="1:32" ht="11.25" customHeight="1" x14ac:dyDescent="0.25">
      <c r="A8" s="136" t="s">
        <v>22</v>
      </c>
      <c r="B8" s="136" t="s">
        <v>68</v>
      </c>
      <c r="C8" s="136" t="s">
        <v>24</v>
      </c>
      <c r="D8" s="136" t="s">
        <v>24</v>
      </c>
      <c r="E8" s="136" t="s">
        <v>25</v>
      </c>
      <c r="F8" s="136" t="s">
        <v>25</v>
      </c>
      <c r="G8" s="32" t="s">
        <v>70</v>
      </c>
      <c r="H8" s="32" t="s">
        <v>69</v>
      </c>
      <c r="I8" s="32">
        <f>'MERCADO TE'!$U$5</f>
        <v>0</v>
      </c>
      <c r="J8" s="17"/>
      <c r="L8" s="30">
        <f>('TE BE'!$L$8+'TE BF'!$L$8+'TE CVA'!$L$8)*1</f>
        <v>0</v>
      </c>
      <c r="M8" s="30">
        <f>('TE BE'!$M$8+'TE BF'!$M$8+'TE CVA'!$M$8)*1</f>
        <v>0</v>
      </c>
      <c r="N8" s="30">
        <f>('TE BE'!$N$8+'TE BF'!$N$8+'TE CVA'!$N$8)*1</f>
        <v>0</v>
      </c>
      <c r="O8" s="30">
        <f>('TE BE'!$O$8+'TE BF'!$O$8+'TE CVA'!$O$8)*1</f>
        <v>0</v>
      </c>
      <c r="P8" s="30">
        <f>('TE BE'!$Q$8+'TE BF'!$Q$8+'TE CVA'!$Q$8)*1</f>
        <v>253.83327314904386</v>
      </c>
      <c r="Q8" s="30">
        <f>('TE BE'!$S$8+'TE BF'!$S$8+'TE CVA'!$S$8)*1</f>
        <v>0</v>
      </c>
      <c r="R8" s="30">
        <f>('TE BE'!$T$8+'TE BF'!$T$8+'TE CVA'!$T$8)*1</f>
        <v>0</v>
      </c>
      <c r="S8" s="30">
        <f>('TE BE'!$U$8+'TE BF'!$U$8+'TE CVA'!$U$8)*1</f>
        <v>0</v>
      </c>
      <c r="T8" s="30">
        <f>('TE BE'!$W$8+'TE BF'!$W$8+'TE CVA'!$W$8)*1</f>
        <v>2.858891699312641</v>
      </c>
      <c r="U8" s="30">
        <f>('TE BE'!$Y$8+'TE BF'!$Y$8+'TE CVA'!$Y$8)*1</f>
        <v>0</v>
      </c>
      <c r="W8" s="30">
        <v>0</v>
      </c>
      <c r="X8" s="30">
        <v>0</v>
      </c>
      <c r="Y8" s="30">
        <v>0</v>
      </c>
      <c r="Z8" s="30">
        <v>0</v>
      </c>
      <c r="AA8" s="30">
        <v>254.53679179037999</v>
      </c>
      <c r="AB8" s="30">
        <v>0</v>
      </c>
      <c r="AC8" s="30">
        <v>0</v>
      </c>
      <c r="AD8" s="30">
        <v>0</v>
      </c>
      <c r="AE8" s="30">
        <v>-2.6850656189141899</v>
      </c>
      <c r="AF8" s="30">
        <v>0</v>
      </c>
    </row>
    <row r="9" spans="1:32" ht="11.25" customHeight="1" x14ac:dyDescent="0.25">
      <c r="A9" s="136"/>
      <c r="B9" s="136"/>
      <c r="C9" s="136"/>
      <c r="D9" s="136"/>
      <c r="E9" s="136"/>
      <c r="F9" s="136"/>
      <c r="G9" s="32" t="s">
        <v>83</v>
      </c>
      <c r="H9" s="32" t="s">
        <v>69</v>
      </c>
      <c r="I9" s="32">
        <f>'MERCADO TE'!$U$6</f>
        <v>5.0000000000000001E-3</v>
      </c>
      <c r="J9" s="17"/>
      <c r="L9" s="30">
        <f>('TE BE'!$L$9+'TE BF'!$L$9+'TE CVA'!$L$9)*1</f>
        <v>0</v>
      </c>
      <c r="M9" s="30">
        <f>('TE BE'!$M$9+'TE BF'!$M$9+'TE CVA'!$M$9)*1</f>
        <v>0</v>
      </c>
      <c r="N9" s="30">
        <f>('TE BE'!$N$9+'TE BF'!$N$9+'TE CVA'!$N$9)*1</f>
        <v>0</v>
      </c>
      <c r="O9" s="30">
        <f>('TE BE'!$O$9+'TE BF'!$O$9+'TE CVA'!$O$9)*1</f>
        <v>0</v>
      </c>
      <c r="P9" s="30">
        <f>('TE BE'!$Q$9+'TE BF'!$Q$9+'TE CVA'!$Q$9)*1</f>
        <v>253.83327314904386</v>
      </c>
      <c r="Q9" s="30">
        <f>('TE BE'!$S$9+'TE BF'!$S$9+'TE CVA'!$S$9)*1</f>
        <v>0</v>
      </c>
      <c r="R9" s="30">
        <f>('TE BE'!$T$9+'TE BF'!$T$9+'TE CVA'!$T$9)*1</f>
        <v>0</v>
      </c>
      <c r="S9" s="30">
        <f>('TE BE'!$U$9+'TE BF'!$U$9+'TE CVA'!$U$9)*1</f>
        <v>0</v>
      </c>
      <c r="T9" s="30">
        <f>('TE BE'!$W$9+'TE BF'!$W$9+'TE CVA'!$W$9)*1</f>
        <v>2.858891699312641</v>
      </c>
      <c r="U9" s="30">
        <f>('TE BE'!$Y$9+'TE BF'!$Y$9+'TE CVA'!$Y$9)*1</f>
        <v>0</v>
      </c>
      <c r="W9" s="30">
        <v>0</v>
      </c>
      <c r="X9" s="30">
        <v>0</v>
      </c>
      <c r="Y9" s="30">
        <v>0</v>
      </c>
      <c r="Z9" s="30">
        <v>0</v>
      </c>
      <c r="AA9" s="30">
        <v>254.53679179037999</v>
      </c>
      <c r="AB9" s="30">
        <v>0</v>
      </c>
      <c r="AC9" s="30">
        <v>0</v>
      </c>
      <c r="AD9" s="30">
        <v>0</v>
      </c>
      <c r="AE9" s="30">
        <v>-2.6850656189141899</v>
      </c>
      <c r="AF9" s="30">
        <v>0</v>
      </c>
    </row>
    <row r="10" spans="1:32" ht="11.25" customHeight="1" x14ac:dyDescent="0.25">
      <c r="A10" s="136"/>
      <c r="B10" s="136"/>
      <c r="C10" s="136"/>
      <c r="D10" s="136"/>
      <c r="E10" s="136"/>
      <c r="F10" s="136"/>
      <c r="G10" s="32" t="s">
        <v>71</v>
      </c>
      <c r="H10" s="32" t="s">
        <v>69</v>
      </c>
      <c r="I10" s="32">
        <f>'MERCADO TE'!$U$7</f>
        <v>0.96600000000000008</v>
      </c>
      <c r="J10" s="17"/>
      <c r="L10" s="30">
        <f>('TE BE'!$L$10+'TE BF'!$L$10+'TE CVA'!$L$10)*1</f>
        <v>0</v>
      </c>
      <c r="M10" s="30">
        <f>('TE BE'!$M$10+'TE BF'!$M$10+'TE CVA'!$M$10)*1</f>
        <v>0</v>
      </c>
      <c r="N10" s="30">
        <f>('TE BE'!$N$10+'TE BF'!$N$10+'TE CVA'!$N$10)*1</f>
        <v>0</v>
      </c>
      <c r="O10" s="30">
        <f>('TE BE'!$O$10+'TE BF'!$O$10+'TE CVA'!$O$10)*1</f>
        <v>0</v>
      </c>
      <c r="P10" s="30">
        <f>('TE BE'!$Q$10+'TE BF'!$Q$10+'TE CVA'!$Q$10)*1</f>
        <v>253.83327314904386</v>
      </c>
      <c r="Q10" s="30">
        <f>('TE BE'!$S$10+'TE BF'!$S$10+'TE CVA'!$S$10)*1</f>
        <v>0</v>
      </c>
      <c r="R10" s="30">
        <f>('TE BE'!$T$10+'TE BF'!$T$10+'TE CVA'!$T$10)*1</f>
        <v>0</v>
      </c>
      <c r="S10" s="30">
        <f>('TE BE'!$U$10+'TE BF'!$U$10+'TE CVA'!$U$10)*1</f>
        <v>0</v>
      </c>
      <c r="T10" s="30">
        <f>('TE BE'!$W$10+'TE BF'!$W$10+'TE CVA'!$W$10)*1</f>
        <v>2.858891699312641</v>
      </c>
      <c r="U10" s="30">
        <f>('TE BE'!$Y$10+'TE BF'!$Y$10+'TE CVA'!$Y$10)*1</f>
        <v>0</v>
      </c>
      <c r="W10" s="30">
        <v>0</v>
      </c>
      <c r="X10" s="30">
        <v>0</v>
      </c>
      <c r="Y10" s="30">
        <v>0</v>
      </c>
      <c r="Z10" s="30">
        <v>0</v>
      </c>
      <c r="AA10" s="30">
        <v>254.53679179037999</v>
      </c>
      <c r="AB10" s="30">
        <v>0</v>
      </c>
      <c r="AC10" s="30">
        <v>0</v>
      </c>
      <c r="AD10" s="30">
        <v>0</v>
      </c>
      <c r="AE10" s="30">
        <v>-2.6850656189141899</v>
      </c>
      <c r="AF10" s="30">
        <v>0</v>
      </c>
    </row>
    <row r="11" spans="1:32" ht="11.25" customHeight="1" x14ac:dyDescent="0.25">
      <c r="A11" s="136"/>
      <c r="B11" s="136" t="s">
        <v>72</v>
      </c>
      <c r="C11" s="136" t="s">
        <v>24</v>
      </c>
      <c r="D11" s="87" t="s">
        <v>24</v>
      </c>
      <c r="E11" s="87" t="s">
        <v>25</v>
      </c>
      <c r="F11" s="87" t="s">
        <v>25</v>
      </c>
      <c r="G11" s="32" t="s">
        <v>73</v>
      </c>
      <c r="H11" s="32" t="s">
        <v>69</v>
      </c>
      <c r="I11" s="32">
        <f>'MERCADO TE'!$U$8</f>
        <v>2520.6710000000003</v>
      </c>
      <c r="J11" s="17"/>
      <c r="L11" s="30">
        <f>('TE BE'!$L$11+'TE BF'!$L$11+'TE CVA'!$L$11)*1</f>
        <v>0</v>
      </c>
      <c r="M11" s="30">
        <f>('TE BE'!$M$11+'TE BF'!$M$11+'TE CVA'!$M$11)*1</f>
        <v>0</v>
      </c>
      <c r="N11" s="30">
        <f>('TE BE'!$N$11+'TE BF'!$N$11+'TE CVA'!$N$11)*1</f>
        <v>0</v>
      </c>
      <c r="O11" s="30">
        <f>('TE BE'!$O$11+'TE BF'!$O$11+'TE CVA'!$O$11)*1</f>
        <v>0</v>
      </c>
      <c r="P11" s="30">
        <f>('TE BE'!$Q$11+'TE BF'!$Q$11+'TE CVA'!$Q$11)*1</f>
        <v>253.83327314904386</v>
      </c>
      <c r="Q11" s="30">
        <f>('TE BE'!$S$11+'TE BF'!$S$11+'TE CVA'!$S$11)*1</f>
        <v>0</v>
      </c>
      <c r="R11" s="30">
        <f>('TE BE'!$T$11+'TE BF'!$T$11+'TE CVA'!$T$11)*1</f>
        <v>0</v>
      </c>
      <c r="S11" s="30">
        <f>('TE BE'!$U$11+'TE BF'!$U$11+'TE CVA'!$U$11)*1</f>
        <v>0</v>
      </c>
      <c r="T11" s="30">
        <f>('TE BE'!$W$11+'TE BF'!$W$11+'TE CVA'!$W$11)*1</f>
        <v>2.858891699312641</v>
      </c>
      <c r="U11" s="30">
        <f>('TE BE'!$Y$11+'TE BF'!$Y$11+'TE CVA'!$Y$11)*1</f>
        <v>0</v>
      </c>
      <c r="W11" s="30">
        <v>0</v>
      </c>
      <c r="X11" s="30">
        <v>0</v>
      </c>
      <c r="Y11" s="30">
        <v>0</v>
      </c>
      <c r="Z11" s="30">
        <v>0</v>
      </c>
      <c r="AA11" s="30">
        <v>254.53679179037999</v>
      </c>
      <c r="AB11" s="30">
        <v>0</v>
      </c>
      <c r="AC11" s="30">
        <v>0</v>
      </c>
      <c r="AD11" s="30">
        <v>0</v>
      </c>
      <c r="AE11" s="30">
        <v>-2.6850656189141899</v>
      </c>
      <c r="AF11" s="30">
        <v>0</v>
      </c>
    </row>
    <row r="12" spans="1:32" ht="11.25" customHeight="1" x14ac:dyDescent="0.25">
      <c r="A12" s="136"/>
      <c r="B12" s="136"/>
      <c r="C12" s="136"/>
      <c r="D12" s="87" t="s">
        <v>28</v>
      </c>
      <c r="E12" s="87" t="s">
        <v>25</v>
      </c>
      <c r="F12" s="87" t="s">
        <v>25</v>
      </c>
      <c r="G12" s="32" t="s">
        <v>73</v>
      </c>
      <c r="H12" s="32" t="s">
        <v>69</v>
      </c>
      <c r="I12" s="32">
        <f>'MERCADO TE'!$U$9</f>
        <v>782.16</v>
      </c>
      <c r="J12" s="17"/>
      <c r="L12" s="30">
        <f>('TE BE'!$L$12+'TE BF'!$L$12+'TE CVA'!$L$12)*(1 - 0.65)</f>
        <v>0</v>
      </c>
      <c r="M12" s="30">
        <f>('TE BE'!$M$12+'TE BF'!$M$12+'TE CVA'!$M$12)*(1 - 0.65)</f>
        <v>0</v>
      </c>
      <c r="N12" s="30">
        <f>('TE BE'!$N$12+'TE BF'!$N$12+'TE CVA'!$N$12)*(1 - 0.65)</f>
        <v>0</v>
      </c>
      <c r="O12" s="30">
        <f>('TE BE'!$O$12+'TE BF'!$O$12+'TE CVA'!$O$12)*(1 - 0.65)</f>
        <v>0</v>
      </c>
      <c r="P12" s="30">
        <f>('TE BE'!$Q$12+'TE BF'!$Q$12+'TE CVA'!$Q$12)*(1 - 0.65)</f>
        <v>88.841645602165343</v>
      </c>
      <c r="Q12" s="30">
        <f>('TE BE'!$S$12+'TE BF'!$S$12+'TE CVA'!$S$12)*(1 - 0.65)</f>
        <v>0</v>
      </c>
      <c r="R12" s="30">
        <f>('TE BE'!$T$12+'TE BF'!$T$12+'TE CVA'!$T$12)*(1 - 0.65)</f>
        <v>0</v>
      </c>
      <c r="S12" s="30">
        <f>('TE BE'!$U$12+'TE BF'!$U$12+'TE CVA'!$U$12)*(1 - 0.65)</f>
        <v>0</v>
      </c>
      <c r="T12" s="30">
        <f>('TE BE'!$W$12+'TE BF'!$W$12+'TE CVA'!$W$12)*(1 - 0.65)</f>
        <v>1.0006120947594244</v>
      </c>
      <c r="U12" s="30">
        <f>('TE BE'!$Y$12+'TE BF'!$Y$12+'TE CVA'!$Y$12)*(1 - 0.65)</f>
        <v>0</v>
      </c>
      <c r="W12" s="30">
        <v>0</v>
      </c>
      <c r="X12" s="30">
        <v>0</v>
      </c>
      <c r="Y12" s="30">
        <v>0</v>
      </c>
      <c r="Z12" s="30">
        <v>0</v>
      </c>
      <c r="AA12" s="30">
        <v>89.087877126633003</v>
      </c>
      <c r="AB12" s="30">
        <v>0</v>
      </c>
      <c r="AC12" s="30">
        <v>0</v>
      </c>
      <c r="AD12" s="30">
        <v>0</v>
      </c>
      <c r="AE12" s="30">
        <v>-0.93977296661996701</v>
      </c>
      <c r="AF12" s="30">
        <v>0</v>
      </c>
    </row>
    <row r="13" spans="1:32" ht="11.25" customHeight="1" x14ac:dyDescent="0.25">
      <c r="A13" s="136"/>
      <c r="B13" s="136"/>
      <c r="C13" s="136"/>
      <c r="D13" s="87" t="s">
        <v>29</v>
      </c>
      <c r="E13" s="87" t="s">
        <v>25</v>
      </c>
      <c r="F13" s="87" t="s">
        <v>25</v>
      </c>
      <c r="G13" s="32" t="s">
        <v>73</v>
      </c>
      <c r="H13" s="32" t="s">
        <v>69</v>
      </c>
      <c r="I13" s="32">
        <f>'MERCADO TE'!$U$10</f>
        <v>1214.3559999999998</v>
      </c>
      <c r="J13" s="17"/>
      <c r="L13" s="30">
        <f>('TE BE'!$L$13+'TE BF'!$L$13+'TE CVA'!$L$13)*(1 - 0.4)</f>
        <v>0</v>
      </c>
      <c r="M13" s="30">
        <f>('TE BE'!$M$13+'TE BF'!$M$13+'TE CVA'!$M$13)*(1 - 0.4)</f>
        <v>0</v>
      </c>
      <c r="N13" s="30">
        <f>('TE BE'!$N$13+'TE BF'!$N$13+'TE CVA'!$N$13)*(1 - 0.4)</f>
        <v>0</v>
      </c>
      <c r="O13" s="30">
        <f>('TE BE'!$O$13+'TE BF'!$O$13+'TE CVA'!$O$13)*(1 - 0.4)</f>
        <v>0</v>
      </c>
      <c r="P13" s="30">
        <f>('TE BE'!$Q$13+'TE BF'!$Q$13+'TE CVA'!$Q$13)*(1 - 0.4)</f>
        <v>152.29996388942632</v>
      </c>
      <c r="Q13" s="30">
        <f>('TE BE'!$S$13+'TE BF'!$S$13+'TE CVA'!$S$13)*(1 - 0.4)</f>
        <v>0</v>
      </c>
      <c r="R13" s="30">
        <f>('TE BE'!$T$13+'TE BF'!$T$13+'TE CVA'!$T$13)*(1 - 0.4)</f>
        <v>0</v>
      </c>
      <c r="S13" s="30">
        <f>('TE BE'!$U$13+'TE BF'!$U$13+'TE CVA'!$U$13)*(1 - 0.4)</f>
        <v>0</v>
      </c>
      <c r="T13" s="30">
        <f>('TE BE'!$W$13+'TE BF'!$W$13+'TE CVA'!$W$13)*(1 - 0.4)</f>
        <v>1.7153350195875845</v>
      </c>
      <c r="U13" s="30">
        <f>('TE BE'!$Y$13+'TE BF'!$Y$13+'TE CVA'!$Y$13)*(1 - 0.4)</f>
        <v>0</v>
      </c>
      <c r="W13" s="30">
        <v>0</v>
      </c>
      <c r="X13" s="30">
        <v>0</v>
      </c>
      <c r="Y13" s="30">
        <v>0</v>
      </c>
      <c r="Z13" s="30">
        <v>0</v>
      </c>
      <c r="AA13" s="30">
        <v>152.722075074228</v>
      </c>
      <c r="AB13" s="30">
        <v>0</v>
      </c>
      <c r="AC13" s="30">
        <v>0</v>
      </c>
      <c r="AD13" s="30">
        <v>0</v>
      </c>
      <c r="AE13" s="30">
        <v>-1.61103937134852</v>
      </c>
      <c r="AF13" s="30">
        <v>0</v>
      </c>
    </row>
    <row r="14" spans="1:32" ht="11.25" customHeight="1" x14ac:dyDescent="0.25">
      <c r="A14" s="136"/>
      <c r="B14" s="136"/>
      <c r="C14" s="136"/>
      <c r="D14" s="87" t="s">
        <v>30</v>
      </c>
      <c r="E14" s="87" t="s">
        <v>25</v>
      </c>
      <c r="F14" s="87" t="s">
        <v>25</v>
      </c>
      <c r="G14" s="32" t="s">
        <v>73</v>
      </c>
      <c r="H14" s="32" t="s">
        <v>69</v>
      </c>
      <c r="I14" s="32">
        <f>'MERCADO TE'!$U$11</f>
        <v>403.89</v>
      </c>
      <c r="J14" s="17"/>
      <c r="L14" s="30">
        <f>('TE BE'!$L$14+'TE BF'!$L$14+'TE CVA'!$L$14)*(1 - 0.1)</f>
        <v>0</v>
      </c>
      <c r="M14" s="30">
        <f>('TE BE'!$M$14+'TE BF'!$M$14+'TE CVA'!$M$14)*(1 - 0.1)</f>
        <v>0</v>
      </c>
      <c r="N14" s="30">
        <f>('TE BE'!$N$14+'TE BF'!$N$14+'TE CVA'!$N$14)*(1 - 0.1)</f>
        <v>0</v>
      </c>
      <c r="O14" s="30">
        <f>('TE BE'!$O$14+'TE BF'!$O$14+'TE CVA'!$O$14)*(1 - 0.1)</f>
        <v>0</v>
      </c>
      <c r="P14" s="30">
        <f>('TE BE'!$Q$14+'TE BF'!$Q$14+'TE CVA'!$Q$14)*(1 - 0.1)</f>
        <v>228.44994583413947</v>
      </c>
      <c r="Q14" s="30">
        <f>('TE BE'!$S$14+'TE BF'!$S$14+'TE CVA'!$S$14)*(1 - 0.1)</f>
        <v>0</v>
      </c>
      <c r="R14" s="30">
        <f>('TE BE'!$T$14+'TE BF'!$T$14+'TE CVA'!$T$14)*(1 - 0.1)</f>
        <v>0</v>
      </c>
      <c r="S14" s="30">
        <f>('TE BE'!$U$14+'TE BF'!$U$14+'TE CVA'!$U$14)*(1 - 0.1)</f>
        <v>0</v>
      </c>
      <c r="T14" s="30">
        <f>('TE BE'!$W$14+'TE BF'!$W$14+'TE CVA'!$W$14)*(1 - 0.1)</f>
        <v>2.5730025293813767</v>
      </c>
      <c r="U14" s="30">
        <f>('TE BE'!$Y$14+'TE BF'!$Y$14+'TE CVA'!$Y$14)*(1 - 0.1)</f>
        <v>0</v>
      </c>
      <c r="W14" s="30">
        <v>0</v>
      </c>
      <c r="X14" s="30">
        <v>0</v>
      </c>
      <c r="Y14" s="30">
        <v>0</v>
      </c>
      <c r="Z14" s="30">
        <v>0</v>
      </c>
      <c r="AA14" s="30">
        <v>229.08311261134199</v>
      </c>
      <c r="AB14" s="30">
        <v>0</v>
      </c>
      <c r="AC14" s="30">
        <v>0</v>
      </c>
      <c r="AD14" s="30">
        <v>0</v>
      </c>
      <c r="AE14" s="30">
        <v>-2.41655905702277</v>
      </c>
      <c r="AF14" s="30">
        <v>0</v>
      </c>
    </row>
    <row r="15" spans="1:32" ht="11.25" customHeight="1" x14ac:dyDescent="0.25">
      <c r="A15" s="136"/>
      <c r="B15" s="136"/>
      <c r="C15" s="136"/>
      <c r="D15" s="87" t="s">
        <v>31</v>
      </c>
      <c r="E15" s="87" t="s">
        <v>25</v>
      </c>
      <c r="F15" s="87" t="s">
        <v>25</v>
      </c>
      <c r="G15" s="32" t="s">
        <v>73</v>
      </c>
      <c r="H15" s="32" t="s">
        <v>69</v>
      </c>
      <c r="I15" s="32">
        <f>'MERCADO TE'!$U$12</f>
        <v>103.88300000000001</v>
      </c>
      <c r="J15" s="17"/>
      <c r="L15" s="30">
        <f>('TE BE'!$L$15+'TE BF'!$L$15+'TE CVA'!$L$15)*1</f>
        <v>0</v>
      </c>
      <c r="M15" s="30">
        <f>('TE BE'!$M$15+'TE BF'!$M$15+'TE CVA'!$M$15)*1</f>
        <v>0</v>
      </c>
      <c r="N15" s="30">
        <f>('TE BE'!$N$15+'TE BF'!$N$15+'TE CVA'!$N$15)*1</f>
        <v>0</v>
      </c>
      <c r="O15" s="30">
        <f>('TE BE'!$O$15+'TE BF'!$O$15+'TE CVA'!$O$15)*1</f>
        <v>0</v>
      </c>
      <c r="P15" s="30">
        <f>('TE BE'!$Q$15+'TE BF'!$Q$15+'TE CVA'!$Q$15)*1</f>
        <v>253.83327314904386</v>
      </c>
      <c r="Q15" s="30">
        <f>('TE BE'!$S$15+'TE BF'!$S$15+'TE CVA'!$S$15)*1</f>
        <v>0</v>
      </c>
      <c r="R15" s="30">
        <f>('TE BE'!$T$15+'TE BF'!$T$15+'TE CVA'!$T$15)*1</f>
        <v>0</v>
      </c>
      <c r="S15" s="30">
        <f>('TE BE'!$U$15+'TE BF'!$U$15+'TE CVA'!$U$15)*1</f>
        <v>0</v>
      </c>
      <c r="T15" s="30">
        <f>('TE BE'!$W$15+'TE BF'!$W$15+'TE CVA'!$W$15)*1</f>
        <v>2.858891699312641</v>
      </c>
      <c r="U15" s="30">
        <f>('TE BE'!$Y$15+'TE BF'!$Y$15+'TE CVA'!$Y$15)*1</f>
        <v>0</v>
      </c>
      <c r="W15" s="30">
        <v>0</v>
      </c>
      <c r="X15" s="30">
        <v>0</v>
      </c>
      <c r="Y15" s="30">
        <v>0</v>
      </c>
      <c r="Z15" s="30">
        <v>0</v>
      </c>
      <c r="AA15" s="30">
        <v>254.53679179037999</v>
      </c>
      <c r="AB15" s="30">
        <v>0</v>
      </c>
      <c r="AC15" s="30">
        <v>0</v>
      </c>
      <c r="AD15" s="30">
        <v>0</v>
      </c>
      <c r="AE15" s="30">
        <v>-2.6850656189141899</v>
      </c>
      <c r="AF15" s="30">
        <v>0</v>
      </c>
    </row>
    <row r="16" spans="1:32" ht="11.25" customHeight="1" x14ac:dyDescent="0.25">
      <c r="A16" s="136"/>
      <c r="B16" s="136" t="s">
        <v>84</v>
      </c>
      <c r="C16" s="136" t="s">
        <v>24</v>
      </c>
      <c r="D16" s="87" t="s">
        <v>24</v>
      </c>
      <c r="E16" s="87" t="s">
        <v>25</v>
      </c>
      <c r="F16" s="87" t="s">
        <v>25</v>
      </c>
      <c r="G16" s="32" t="s">
        <v>73</v>
      </c>
      <c r="H16" s="32" t="s">
        <v>69</v>
      </c>
      <c r="I16" s="32">
        <f>'MERCADO TE'!$U$13</f>
        <v>0</v>
      </c>
      <c r="J16" s="17"/>
      <c r="L16" s="30">
        <f>('TE BE'!$L$16+'TE BF'!$L$16+'TE CVA'!$L$16)*1</f>
        <v>0</v>
      </c>
      <c r="M16" s="30">
        <f>('TE BE'!$M$16+'TE BF'!$M$16+'TE CVA'!$M$16)*1</f>
        <v>0</v>
      </c>
      <c r="N16" s="30">
        <f>('TE BE'!$N$16+'TE BF'!$N$16+'TE CVA'!$N$16)*1</f>
        <v>0</v>
      </c>
      <c r="O16" s="30">
        <f>('TE BE'!$O$16+'TE BF'!$O$16+'TE CVA'!$O$16)*1</f>
        <v>0</v>
      </c>
      <c r="P16" s="30">
        <f>('TE BE'!$Q$16+'TE BF'!$Q$16+'TE CVA'!$Q$16)*1</f>
        <v>253.83327314904386</v>
      </c>
      <c r="Q16" s="30">
        <f>('TE BE'!$S$16+'TE BF'!$S$16+'TE CVA'!$S$16)*1</f>
        <v>0</v>
      </c>
      <c r="R16" s="30">
        <f>('TE BE'!$T$16+'TE BF'!$T$16+'TE CVA'!$T$16)*1</f>
        <v>0</v>
      </c>
      <c r="S16" s="30">
        <f>('TE BE'!$U$16+'TE BF'!$U$16+'TE CVA'!$U$16)*1</f>
        <v>0</v>
      </c>
      <c r="T16" s="30">
        <f>('TE BE'!$W$16+'TE BF'!$W$16+'TE CVA'!$W$16)*1</f>
        <v>2.858891699312641</v>
      </c>
      <c r="U16" s="30">
        <f>('TE BE'!$Y$16+'TE BF'!$Y$16+'TE CVA'!$Y$16)*1</f>
        <v>0</v>
      </c>
      <c r="W16" s="30">
        <v>0</v>
      </c>
      <c r="X16" s="30">
        <v>0</v>
      </c>
      <c r="Y16" s="30">
        <v>0</v>
      </c>
      <c r="Z16" s="30">
        <v>0</v>
      </c>
      <c r="AA16" s="30">
        <v>254.53679179037999</v>
      </c>
      <c r="AB16" s="30">
        <v>0</v>
      </c>
      <c r="AC16" s="30">
        <v>0</v>
      </c>
      <c r="AD16" s="30">
        <v>0</v>
      </c>
      <c r="AE16" s="30">
        <v>-2.6850656189141899</v>
      </c>
      <c r="AF16" s="30">
        <v>0</v>
      </c>
    </row>
    <row r="17" spans="1:32" ht="11.25" customHeight="1" x14ac:dyDescent="0.25">
      <c r="A17" s="136"/>
      <c r="B17" s="136"/>
      <c r="C17" s="136"/>
      <c r="D17" s="87" t="s">
        <v>28</v>
      </c>
      <c r="E17" s="87" t="s">
        <v>25</v>
      </c>
      <c r="F17" s="87" t="s">
        <v>25</v>
      </c>
      <c r="G17" s="32" t="s">
        <v>73</v>
      </c>
      <c r="H17" s="32" t="s">
        <v>69</v>
      </c>
      <c r="I17" s="32">
        <f>'MERCADO TE'!$U$14</f>
        <v>0</v>
      </c>
      <c r="J17" s="17"/>
      <c r="L17" s="30">
        <f>('TE BE'!$L$17+'TE BF'!$L$17+'TE CVA'!$L$17)*(1 - 0.65)</f>
        <v>0</v>
      </c>
      <c r="M17" s="30">
        <f>('TE BE'!$M$17+'TE BF'!$M$17+'TE CVA'!$M$17)*(1 - 0.65)</f>
        <v>0</v>
      </c>
      <c r="N17" s="30">
        <f>('TE BE'!$N$17+'TE BF'!$N$17+'TE CVA'!$N$17)*(1 - 0.65)</f>
        <v>0</v>
      </c>
      <c r="O17" s="30">
        <f>('TE BE'!$O$17+'TE BF'!$O$17+'TE CVA'!$O$17)*(1 - 0.65)</f>
        <v>0</v>
      </c>
      <c r="P17" s="30">
        <f>('TE BE'!$Q$17+'TE BF'!$Q$17+'TE CVA'!$Q$17)*(1 - 0.65)</f>
        <v>88.841645602165343</v>
      </c>
      <c r="Q17" s="30">
        <f>('TE BE'!$S$17+'TE BF'!$S$17+'TE CVA'!$S$17)*(1 - 0.65)</f>
        <v>0</v>
      </c>
      <c r="R17" s="30">
        <f>('TE BE'!$T$17+'TE BF'!$T$17+'TE CVA'!$T$17)*(1 - 0.65)</f>
        <v>0</v>
      </c>
      <c r="S17" s="30">
        <f>('TE BE'!$U$17+'TE BF'!$U$17+'TE CVA'!$U$17)*(1 - 0.65)</f>
        <v>0</v>
      </c>
      <c r="T17" s="30">
        <f>('TE BE'!$W$17+'TE BF'!$W$17+'TE CVA'!$W$17)*(1 - 0.65)</f>
        <v>1.0006120947594244</v>
      </c>
      <c r="U17" s="30">
        <f>('TE BE'!$Y$17+'TE BF'!$Y$17+'TE CVA'!$Y$17)*(1 - 0.65)</f>
        <v>0</v>
      </c>
      <c r="W17" s="30">
        <v>0</v>
      </c>
      <c r="X17" s="30">
        <v>0</v>
      </c>
      <c r="Y17" s="30">
        <v>0</v>
      </c>
      <c r="Z17" s="30">
        <v>0</v>
      </c>
      <c r="AA17" s="30">
        <v>89.087877126633003</v>
      </c>
      <c r="AB17" s="30">
        <v>0</v>
      </c>
      <c r="AC17" s="30">
        <v>0</v>
      </c>
      <c r="AD17" s="30">
        <v>0</v>
      </c>
      <c r="AE17" s="30">
        <v>-0.93977296661996701</v>
      </c>
      <c r="AF17" s="30">
        <v>0</v>
      </c>
    </row>
    <row r="18" spans="1:32" ht="11.25" customHeight="1" x14ac:dyDescent="0.25">
      <c r="A18" s="136"/>
      <c r="B18" s="136"/>
      <c r="C18" s="136"/>
      <c r="D18" s="87" t="s">
        <v>29</v>
      </c>
      <c r="E18" s="87" t="s">
        <v>25</v>
      </c>
      <c r="F18" s="87" t="s">
        <v>25</v>
      </c>
      <c r="G18" s="32" t="s">
        <v>73</v>
      </c>
      <c r="H18" s="32" t="s">
        <v>69</v>
      </c>
      <c r="I18" s="32">
        <f>'MERCADO TE'!$U$15</f>
        <v>0</v>
      </c>
      <c r="J18" s="17"/>
      <c r="L18" s="30">
        <f>('TE BE'!$L$18+'TE BF'!$L$18+'TE CVA'!$L$18)*(1 - 0.4)</f>
        <v>0</v>
      </c>
      <c r="M18" s="30">
        <f>('TE BE'!$M$18+'TE BF'!$M$18+'TE CVA'!$M$18)*(1 - 0.4)</f>
        <v>0</v>
      </c>
      <c r="N18" s="30">
        <f>('TE BE'!$N$18+'TE BF'!$N$18+'TE CVA'!$N$18)*(1 - 0.4)</f>
        <v>0</v>
      </c>
      <c r="O18" s="30">
        <f>('TE BE'!$O$18+'TE BF'!$O$18+'TE CVA'!$O$18)*(1 - 0.4)</f>
        <v>0</v>
      </c>
      <c r="P18" s="30">
        <f>('TE BE'!$Q$18+'TE BF'!$Q$18+'TE CVA'!$Q$18)*(1 - 0.4)</f>
        <v>152.29996388942632</v>
      </c>
      <c r="Q18" s="30">
        <f>('TE BE'!$S$18+'TE BF'!$S$18+'TE CVA'!$S$18)*(1 - 0.4)</f>
        <v>0</v>
      </c>
      <c r="R18" s="30">
        <f>('TE BE'!$T$18+'TE BF'!$T$18+'TE CVA'!$T$18)*(1 - 0.4)</f>
        <v>0</v>
      </c>
      <c r="S18" s="30">
        <f>('TE BE'!$U$18+'TE BF'!$U$18+'TE CVA'!$U$18)*(1 - 0.4)</f>
        <v>0</v>
      </c>
      <c r="T18" s="30">
        <f>('TE BE'!$W$18+'TE BF'!$W$18+'TE CVA'!$W$18)*(1 - 0.4)</f>
        <v>1.7153350195875845</v>
      </c>
      <c r="U18" s="30">
        <f>('TE BE'!$Y$18+'TE BF'!$Y$18+'TE CVA'!$Y$18)*(1 - 0.4)</f>
        <v>0</v>
      </c>
      <c r="W18" s="30">
        <v>0</v>
      </c>
      <c r="X18" s="30">
        <v>0</v>
      </c>
      <c r="Y18" s="30">
        <v>0</v>
      </c>
      <c r="Z18" s="30">
        <v>0</v>
      </c>
      <c r="AA18" s="30">
        <v>152.722075074228</v>
      </c>
      <c r="AB18" s="30">
        <v>0</v>
      </c>
      <c r="AC18" s="30">
        <v>0</v>
      </c>
      <c r="AD18" s="30">
        <v>0</v>
      </c>
      <c r="AE18" s="30">
        <v>-1.61103937134852</v>
      </c>
      <c r="AF18" s="30">
        <v>0</v>
      </c>
    </row>
    <row r="19" spans="1:32" ht="11.25" customHeight="1" x14ac:dyDescent="0.25">
      <c r="A19" s="136"/>
      <c r="B19" s="136"/>
      <c r="C19" s="136"/>
      <c r="D19" s="87" t="s">
        <v>30</v>
      </c>
      <c r="E19" s="87" t="s">
        <v>25</v>
      </c>
      <c r="F19" s="87" t="s">
        <v>25</v>
      </c>
      <c r="G19" s="32" t="s">
        <v>73</v>
      </c>
      <c r="H19" s="32" t="s">
        <v>69</v>
      </c>
      <c r="I19" s="32">
        <f>'MERCADO TE'!$U$16</f>
        <v>0</v>
      </c>
      <c r="J19" s="17"/>
      <c r="L19" s="30">
        <f>('TE BE'!$L$19+'TE BF'!$L$19+'TE CVA'!$L$19)*(1 - 0.1)</f>
        <v>0</v>
      </c>
      <c r="M19" s="30">
        <f>('TE BE'!$M$19+'TE BF'!$M$19+'TE CVA'!$M$19)*(1 - 0.1)</f>
        <v>0</v>
      </c>
      <c r="N19" s="30">
        <f>('TE BE'!$N$19+'TE BF'!$N$19+'TE CVA'!$N$19)*(1 - 0.1)</f>
        <v>0</v>
      </c>
      <c r="O19" s="30">
        <f>('TE BE'!$O$19+'TE BF'!$O$19+'TE CVA'!$O$19)*(1 - 0.1)</f>
        <v>0</v>
      </c>
      <c r="P19" s="30">
        <f>('TE BE'!$Q$19+'TE BF'!$Q$19+'TE CVA'!$Q$19)*(1 - 0.1)</f>
        <v>228.44994583413947</v>
      </c>
      <c r="Q19" s="30">
        <f>('TE BE'!$S$19+'TE BF'!$S$19+'TE CVA'!$S$19)*(1 - 0.1)</f>
        <v>0</v>
      </c>
      <c r="R19" s="30">
        <f>('TE BE'!$T$19+'TE BF'!$T$19+'TE CVA'!$T$19)*(1 - 0.1)</f>
        <v>0</v>
      </c>
      <c r="S19" s="30">
        <f>('TE BE'!$U$19+'TE BF'!$U$19+'TE CVA'!$U$19)*(1 - 0.1)</f>
        <v>0</v>
      </c>
      <c r="T19" s="30">
        <f>('TE BE'!$W$19+'TE BF'!$W$19+'TE CVA'!$W$19)*(1 - 0.1)</f>
        <v>2.5730025293813767</v>
      </c>
      <c r="U19" s="30">
        <f>('TE BE'!$Y$19+'TE BF'!$Y$19+'TE CVA'!$Y$19)*(1 - 0.1)</f>
        <v>0</v>
      </c>
      <c r="W19" s="30">
        <v>0</v>
      </c>
      <c r="X19" s="30">
        <v>0</v>
      </c>
      <c r="Y19" s="30">
        <v>0</v>
      </c>
      <c r="Z19" s="30">
        <v>0</v>
      </c>
      <c r="AA19" s="30">
        <v>229.08311261134199</v>
      </c>
      <c r="AB19" s="30">
        <v>0</v>
      </c>
      <c r="AC19" s="30">
        <v>0</v>
      </c>
      <c r="AD19" s="30">
        <v>0</v>
      </c>
      <c r="AE19" s="30">
        <v>-2.41655905702277</v>
      </c>
      <c r="AF19" s="30">
        <v>0</v>
      </c>
    </row>
    <row r="20" spans="1:32" ht="11.25" customHeight="1" x14ac:dyDescent="0.25">
      <c r="A20" s="136"/>
      <c r="B20" s="136"/>
      <c r="C20" s="136"/>
      <c r="D20" s="87" t="s">
        <v>31</v>
      </c>
      <c r="E20" s="87" t="s">
        <v>25</v>
      </c>
      <c r="F20" s="87" t="s">
        <v>25</v>
      </c>
      <c r="G20" s="32" t="s">
        <v>73</v>
      </c>
      <c r="H20" s="32" t="s">
        <v>69</v>
      </c>
      <c r="I20" s="32">
        <f>'MERCADO TE'!$U$17</f>
        <v>0</v>
      </c>
      <c r="J20" s="17"/>
      <c r="L20" s="30">
        <f>('TE BE'!$L$20+'TE BF'!$L$20+'TE CVA'!$L$20)*1</f>
        <v>0</v>
      </c>
      <c r="M20" s="30">
        <f>('TE BE'!$M$20+'TE BF'!$M$20+'TE CVA'!$M$20)*1</f>
        <v>0</v>
      </c>
      <c r="N20" s="30">
        <f>('TE BE'!$N$20+'TE BF'!$N$20+'TE CVA'!$N$20)*1</f>
        <v>0</v>
      </c>
      <c r="O20" s="30">
        <f>('TE BE'!$O$20+'TE BF'!$O$20+'TE CVA'!$O$20)*1</f>
        <v>0</v>
      </c>
      <c r="P20" s="30">
        <f>('TE BE'!$Q$20+'TE BF'!$Q$20+'TE CVA'!$Q$20)*1</f>
        <v>253.83327314904386</v>
      </c>
      <c r="Q20" s="30">
        <f>('TE BE'!$S$20+'TE BF'!$S$20+'TE CVA'!$S$20)*1</f>
        <v>0</v>
      </c>
      <c r="R20" s="30">
        <f>('TE BE'!$T$20+'TE BF'!$T$20+'TE CVA'!$T$20)*1</f>
        <v>0</v>
      </c>
      <c r="S20" s="30">
        <f>('TE BE'!$U$20+'TE BF'!$U$20+'TE CVA'!$U$20)*1</f>
        <v>0</v>
      </c>
      <c r="T20" s="30">
        <f>('TE BE'!$W$20+'TE BF'!$W$20+'TE CVA'!$W$20)*1</f>
        <v>2.858891699312641</v>
      </c>
      <c r="U20" s="30">
        <f>('TE BE'!$Y$20+'TE BF'!$Y$20+'TE CVA'!$Y$20)*1</f>
        <v>0</v>
      </c>
      <c r="W20" s="30">
        <v>0</v>
      </c>
      <c r="X20" s="30">
        <v>0</v>
      </c>
      <c r="Y20" s="30">
        <v>0</v>
      </c>
      <c r="Z20" s="30">
        <v>0</v>
      </c>
      <c r="AA20" s="30">
        <v>254.53679179037999</v>
      </c>
      <c r="AB20" s="30">
        <v>0</v>
      </c>
      <c r="AC20" s="30">
        <v>0</v>
      </c>
      <c r="AD20" s="30">
        <v>0</v>
      </c>
      <c r="AE20" s="30">
        <v>-2.6850656189141899</v>
      </c>
      <c r="AF20" s="30">
        <v>0</v>
      </c>
    </row>
    <row r="21" spans="1:32" ht="11.25" customHeight="1" x14ac:dyDescent="0.25">
      <c r="A21" s="136" t="s">
        <v>41</v>
      </c>
      <c r="B21" s="136" t="s">
        <v>68</v>
      </c>
      <c r="C21" s="136" t="s">
        <v>42</v>
      </c>
      <c r="D21" s="136" t="s">
        <v>25</v>
      </c>
      <c r="E21" s="136" t="s">
        <v>25</v>
      </c>
      <c r="F21" s="136" t="s">
        <v>25</v>
      </c>
      <c r="G21" s="32" t="s">
        <v>70</v>
      </c>
      <c r="H21" s="32" t="s">
        <v>69</v>
      </c>
      <c r="I21" s="32">
        <f>'MERCADO TE'!$U$18</f>
        <v>0.34100000000000003</v>
      </c>
      <c r="J21" s="17"/>
      <c r="L21" s="30">
        <f>('TE BE'!$L$21+'TE BF'!$L$21+'TE CVA'!$L$21)*(1 - CUSTOS!$M$38)</f>
        <v>0</v>
      </c>
      <c r="M21" s="30">
        <f>('TE BE'!$M$21+'TE BF'!$M$21+'TE CVA'!$M$21)*(1 - CUSTOS!$M$38)</f>
        <v>0</v>
      </c>
      <c r="N21" s="30">
        <f>('TE BE'!$N$21+'TE BF'!$N$21+'TE CVA'!$N$21)*(1 - CUSTOS!$M$38)</f>
        <v>0</v>
      </c>
      <c r="O21" s="30">
        <f>('TE BE'!$O$21+'TE BF'!$O$21+'TE CVA'!$O$21)*(1 - CUSTOS!$M$38)</f>
        <v>0</v>
      </c>
      <c r="P21" s="30">
        <f>('TE BE'!$Q$21+'TE BF'!$Q$21+'TE CVA'!$Q$21)*(1 - CUSTOS!$M$38)</f>
        <v>238.60327676010121</v>
      </c>
      <c r="Q21" s="30">
        <f>('TE BE'!$S$21+'TE BF'!$S$21+'TE CVA'!$S$21)*(1 - CUSTOS!$M$38)</f>
        <v>0</v>
      </c>
      <c r="R21" s="30">
        <f>('TE BE'!$T$21+'TE BF'!$T$21+'TE CVA'!$T$21)*(1 - CUSTOS!$M$38)</f>
        <v>0</v>
      </c>
      <c r="S21" s="30">
        <f>('TE BE'!$U$21+'TE BF'!$U$21+'TE CVA'!$U$21)*(1 - CUSTOS!$M$38)</f>
        <v>0</v>
      </c>
      <c r="T21" s="30">
        <f>('TE BE'!$W$21+'TE BF'!$W$21+'TE CVA'!$W$21)*(1 - CUSTOS!$M$38)</f>
        <v>2.6873581973538823</v>
      </c>
      <c r="U21" s="30">
        <f>('TE BE'!$Y$21+'TE BF'!$Y$21+'TE CVA'!$Y$21)*(1 - CUSTOS!$M$38)</f>
        <v>0</v>
      </c>
      <c r="W21" s="30">
        <v>0</v>
      </c>
      <c r="X21" s="30">
        <v>0</v>
      </c>
      <c r="Y21" s="30">
        <v>0</v>
      </c>
      <c r="Z21" s="30">
        <v>0</v>
      </c>
      <c r="AA21" s="30">
        <v>223.99237677553401</v>
      </c>
      <c r="AB21" s="30">
        <v>0</v>
      </c>
      <c r="AC21" s="30">
        <v>0</v>
      </c>
      <c r="AD21" s="30">
        <v>0</v>
      </c>
      <c r="AE21" s="30">
        <v>-2.3628577446444901</v>
      </c>
      <c r="AF21" s="30">
        <v>0</v>
      </c>
    </row>
    <row r="22" spans="1:32" ht="11.25" customHeight="1" x14ac:dyDescent="0.25">
      <c r="A22" s="136"/>
      <c r="B22" s="136"/>
      <c r="C22" s="136"/>
      <c r="D22" s="136"/>
      <c r="E22" s="136"/>
      <c r="F22" s="136"/>
      <c r="G22" s="32" t="s">
        <v>83</v>
      </c>
      <c r="H22" s="32" t="s">
        <v>69</v>
      </c>
      <c r="I22" s="32">
        <f>'MERCADO TE'!$U$19</f>
        <v>0.55500000000000005</v>
      </c>
      <c r="J22" s="17"/>
      <c r="L22" s="30">
        <f>('TE BE'!$L$22+'TE BF'!$L$22+'TE CVA'!$L$22)*(1 - CUSTOS!$M$38)</f>
        <v>0</v>
      </c>
      <c r="M22" s="30">
        <f>('TE BE'!$M$22+'TE BF'!$M$22+'TE CVA'!$M$22)*(1 - CUSTOS!$M$38)</f>
        <v>0</v>
      </c>
      <c r="N22" s="30">
        <f>('TE BE'!$N$22+'TE BF'!$N$22+'TE CVA'!$N$22)*(1 - CUSTOS!$M$38)</f>
        <v>0</v>
      </c>
      <c r="O22" s="30">
        <f>('TE BE'!$O$22+'TE BF'!$O$22+'TE CVA'!$O$22)*(1 - CUSTOS!$M$38)</f>
        <v>0</v>
      </c>
      <c r="P22" s="30">
        <f>('TE BE'!$Q$22+'TE BF'!$Q$22+'TE CVA'!$Q$22)*(1 - CUSTOS!$M$38)</f>
        <v>238.60327676010121</v>
      </c>
      <c r="Q22" s="30">
        <f>('TE BE'!$S$22+'TE BF'!$S$22+'TE CVA'!$S$22)*(1 - CUSTOS!$M$38)</f>
        <v>0</v>
      </c>
      <c r="R22" s="30">
        <f>('TE BE'!$T$22+'TE BF'!$T$22+'TE CVA'!$T$22)*(1 - CUSTOS!$M$38)</f>
        <v>0</v>
      </c>
      <c r="S22" s="30">
        <f>('TE BE'!$U$22+'TE BF'!$U$22+'TE CVA'!$U$22)*(1 - CUSTOS!$M$38)</f>
        <v>0</v>
      </c>
      <c r="T22" s="30">
        <f>('TE BE'!$W$22+'TE BF'!$W$22+'TE CVA'!$W$22)*(1 - CUSTOS!$M$38)</f>
        <v>2.6873581973538823</v>
      </c>
      <c r="U22" s="30">
        <f>('TE BE'!$Y$22+'TE BF'!$Y$22+'TE CVA'!$Y$22)*(1 - CUSTOS!$M$38)</f>
        <v>0</v>
      </c>
      <c r="W22" s="30">
        <v>0</v>
      </c>
      <c r="X22" s="30">
        <v>0</v>
      </c>
      <c r="Y22" s="30">
        <v>0</v>
      </c>
      <c r="Z22" s="30">
        <v>0</v>
      </c>
      <c r="AA22" s="30">
        <v>223.99237677553401</v>
      </c>
      <c r="AB22" s="30">
        <v>0</v>
      </c>
      <c r="AC22" s="30">
        <v>0</v>
      </c>
      <c r="AD22" s="30">
        <v>0</v>
      </c>
      <c r="AE22" s="30">
        <v>-2.3628577446444901</v>
      </c>
      <c r="AF22" s="30">
        <v>0</v>
      </c>
    </row>
    <row r="23" spans="1:32" ht="11.25" customHeight="1" x14ac:dyDescent="0.25">
      <c r="A23" s="136"/>
      <c r="B23" s="136"/>
      <c r="C23" s="136"/>
      <c r="D23" s="136"/>
      <c r="E23" s="136"/>
      <c r="F23" s="136"/>
      <c r="G23" s="32" t="s">
        <v>71</v>
      </c>
      <c r="H23" s="32" t="s">
        <v>69</v>
      </c>
      <c r="I23" s="32">
        <f>'MERCADO TE'!$U$20</f>
        <v>16.565999999999999</v>
      </c>
      <c r="J23" s="17"/>
      <c r="L23" s="30">
        <f>('TE BE'!$L$23+'TE BF'!$L$23+'TE CVA'!$L$23)*(1 - CUSTOS!$M$38)</f>
        <v>0</v>
      </c>
      <c r="M23" s="30">
        <f>('TE BE'!$M$23+'TE BF'!$M$23+'TE CVA'!$M$23)*(1 - CUSTOS!$M$38)</f>
        <v>0</v>
      </c>
      <c r="N23" s="30">
        <f>('TE BE'!$N$23+'TE BF'!$N$23+'TE CVA'!$N$23)*(1 - CUSTOS!$M$38)</f>
        <v>0</v>
      </c>
      <c r="O23" s="30">
        <f>('TE BE'!$O$23+'TE BF'!$O$23+'TE CVA'!$O$23)*(1 - CUSTOS!$M$38)</f>
        <v>0</v>
      </c>
      <c r="P23" s="30">
        <f>('TE BE'!$Q$23+'TE BF'!$Q$23+'TE CVA'!$Q$23)*(1 - CUSTOS!$M$38)</f>
        <v>238.60327676010121</v>
      </c>
      <c r="Q23" s="30">
        <f>('TE BE'!$S$23+'TE BF'!$S$23+'TE CVA'!$S$23)*(1 - CUSTOS!$M$38)</f>
        <v>0</v>
      </c>
      <c r="R23" s="30">
        <f>('TE BE'!$T$23+'TE BF'!$T$23+'TE CVA'!$T$23)*(1 - CUSTOS!$M$38)</f>
        <v>0</v>
      </c>
      <c r="S23" s="30">
        <f>('TE BE'!$U$23+'TE BF'!$U$23+'TE CVA'!$U$23)*(1 - CUSTOS!$M$38)</f>
        <v>0</v>
      </c>
      <c r="T23" s="30">
        <f>('TE BE'!$W$23+'TE BF'!$W$23+'TE CVA'!$W$23)*(1 - CUSTOS!$M$38)</f>
        <v>2.6873581973538823</v>
      </c>
      <c r="U23" s="30">
        <f>('TE BE'!$Y$23+'TE BF'!$Y$23+'TE CVA'!$Y$23)*(1 - CUSTOS!$M$38)</f>
        <v>0</v>
      </c>
      <c r="W23" s="30">
        <v>0</v>
      </c>
      <c r="X23" s="30">
        <v>0</v>
      </c>
      <c r="Y23" s="30">
        <v>0</v>
      </c>
      <c r="Z23" s="30">
        <v>0</v>
      </c>
      <c r="AA23" s="30">
        <v>223.99237677553401</v>
      </c>
      <c r="AB23" s="30">
        <v>0</v>
      </c>
      <c r="AC23" s="30">
        <v>0</v>
      </c>
      <c r="AD23" s="30">
        <v>0</v>
      </c>
      <c r="AE23" s="30">
        <v>-2.3628577446444901</v>
      </c>
      <c r="AF23" s="30">
        <v>0</v>
      </c>
    </row>
    <row r="24" spans="1:32" ht="11.25" customHeight="1" x14ac:dyDescent="0.25">
      <c r="A24" s="136"/>
      <c r="B24" s="87" t="s">
        <v>72</v>
      </c>
      <c r="C24" s="87" t="s">
        <v>42</v>
      </c>
      <c r="D24" s="87" t="s">
        <v>25</v>
      </c>
      <c r="E24" s="87" t="s">
        <v>25</v>
      </c>
      <c r="F24" s="87" t="s">
        <v>25</v>
      </c>
      <c r="G24" s="32" t="s">
        <v>73</v>
      </c>
      <c r="H24" s="32" t="s">
        <v>69</v>
      </c>
      <c r="I24" s="32">
        <f>'MERCADO TE'!$U$21</f>
        <v>2549.6099999999997</v>
      </c>
      <c r="J24" s="17"/>
      <c r="L24" s="30">
        <f>('TE BE'!$L$24+'TE BF'!$L$24+'TE CVA'!$L$24)*(1 - CUSTOS!$M$38)</f>
        <v>0</v>
      </c>
      <c r="M24" s="30">
        <f>('TE BE'!$M$24+'TE BF'!$M$24+'TE CVA'!$M$24)*(1 - CUSTOS!$M$38)</f>
        <v>0</v>
      </c>
      <c r="N24" s="30">
        <f>('TE BE'!$N$24+'TE BF'!$N$24+'TE CVA'!$N$24)*(1 - CUSTOS!$M$38)</f>
        <v>0</v>
      </c>
      <c r="O24" s="30">
        <f>('TE BE'!$O$24+'TE BF'!$O$24+'TE CVA'!$O$24)*(1 - CUSTOS!$M$38)</f>
        <v>0</v>
      </c>
      <c r="P24" s="30">
        <f>('TE BE'!$Q$24+'TE BF'!$Q$24+'TE CVA'!$Q$24)*(1 - CUSTOS!$M$38)</f>
        <v>238.60327676010121</v>
      </c>
      <c r="Q24" s="30">
        <f>('TE BE'!$S$24+'TE BF'!$S$24+'TE CVA'!$S$24)*(1 - CUSTOS!$M$38)</f>
        <v>0</v>
      </c>
      <c r="R24" s="30">
        <f>('TE BE'!$T$24+'TE BF'!$T$24+'TE CVA'!$T$24)*(1 - CUSTOS!$M$38)</f>
        <v>0</v>
      </c>
      <c r="S24" s="30">
        <f>('TE BE'!$U$24+'TE BF'!$U$24+'TE CVA'!$U$24)*(1 - CUSTOS!$M$38)</f>
        <v>0</v>
      </c>
      <c r="T24" s="30">
        <f>('TE BE'!$W$24+'TE BF'!$W$24+'TE CVA'!$W$24)*(1 - CUSTOS!$M$38)</f>
        <v>2.6873581973538823</v>
      </c>
      <c r="U24" s="30">
        <f>('TE BE'!$Y$24+'TE BF'!$Y$24+'TE CVA'!$Y$24)*(1 - CUSTOS!$M$38)</f>
        <v>0</v>
      </c>
      <c r="W24" s="30">
        <v>0</v>
      </c>
      <c r="X24" s="30">
        <v>0</v>
      </c>
      <c r="Y24" s="30">
        <v>0</v>
      </c>
      <c r="Z24" s="30">
        <v>0</v>
      </c>
      <c r="AA24" s="30">
        <v>223.99237677553401</v>
      </c>
      <c r="AB24" s="30">
        <v>0</v>
      </c>
      <c r="AC24" s="30">
        <v>0</v>
      </c>
      <c r="AD24" s="30">
        <v>0</v>
      </c>
      <c r="AE24" s="30">
        <v>-2.3628577446444901</v>
      </c>
      <c r="AF24" s="30">
        <v>0</v>
      </c>
    </row>
    <row r="25" spans="1:32" ht="11.25" customHeight="1" x14ac:dyDescent="0.25">
      <c r="A25" s="136"/>
      <c r="B25" s="136" t="s">
        <v>68</v>
      </c>
      <c r="C25" s="136" t="s">
        <v>42</v>
      </c>
      <c r="D25" s="136" t="s">
        <v>86</v>
      </c>
      <c r="E25" s="136" t="s">
        <v>25</v>
      </c>
      <c r="F25" s="136" t="s">
        <v>25</v>
      </c>
      <c r="G25" s="32" t="s">
        <v>70</v>
      </c>
      <c r="H25" s="32" t="s">
        <v>69</v>
      </c>
      <c r="I25" s="32">
        <f>'MERCADO TE'!$U$22</f>
        <v>0</v>
      </c>
      <c r="J25" s="17"/>
      <c r="L25" s="30">
        <f>('TE BE'!$L$25+'TE BF'!$L$25+'TE CVA'!$L$25)*(1 - CUSTOS!$M$39)</f>
        <v>0</v>
      </c>
      <c r="M25" s="30">
        <f>('TE BE'!$M$25+'TE BF'!$M$25+'TE CVA'!$M$25)*(1 - CUSTOS!$M$39)</f>
        <v>0</v>
      </c>
      <c r="N25" s="30">
        <f>('TE BE'!$N$25+'TE BF'!$N$25+'TE CVA'!$N$25)*(1 - CUSTOS!$M$39)</f>
        <v>0</v>
      </c>
      <c r="O25" s="30">
        <f>('TE BE'!$O$25+'TE BF'!$O$25+'TE CVA'!$O$25)*(1 - CUSTOS!$M$39)</f>
        <v>0</v>
      </c>
      <c r="P25" s="30">
        <f>('TE BE'!$Q$25+'TE BF'!$Q$25+'TE CVA'!$Q$25)*(1 - CUSTOS!$M$39)</f>
        <v>238.60327676010121</v>
      </c>
      <c r="Q25" s="30">
        <f>('TE BE'!$S$25+'TE BF'!$S$25+'TE CVA'!$S$25)*(1 - CUSTOS!$M$39)</f>
        <v>0</v>
      </c>
      <c r="R25" s="30">
        <f>('TE BE'!$T$25+'TE BF'!$T$25+'TE CVA'!$T$25)*(1 - CUSTOS!$M$39)</f>
        <v>0</v>
      </c>
      <c r="S25" s="30">
        <f>('TE BE'!$U$25+'TE BF'!$U$25+'TE CVA'!$U$25)*(1 - CUSTOS!$M$39)</f>
        <v>0</v>
      </c>
      <c r="T25" s="30">
        <f>('TE BE'!$W$25+'TE BF'!$W$25+'TE CVA'!$W$25)*(1 - CUSTOS!$M$39)</f>
        <v>2.6873581973538823</v>
      </c>
      <c r="U25" s="30">
        <f>('TE BE'!$Y$25+'TE BF'!$Y$25+'TE CVA'!$Y$25)*(1 - CUSTOS!$M$39)</f>
        <v>0</v>
      </c>
      <c r="W25" s="30">
        <v>0</v>
      </c>
      <c r="X25" s="30">
        <v>0</v>
      </c>
      <c r="Y25" s="30">
        <v>0</v>
      </c>
      <c r="Z25" s="30">
        <v>0</v>
      </c>
      <c r="AA25" s="30">
        <v>223.99237677553401</v>
      </c>
      <c r="AB25" s="30">
        <v>0</v>
      </c>
      <c r="AC25" s="30">
        <v>0</v>
      </c>
      <c r="AD25" s="30">
        <v>0</v>
      </c>
      <c r="AE25" s="30">
        <v>-2.3628577446444901</v>
      </c>
      <c r="AF25" s="30">
        <v>0</v>
      </c>
    </row>
    <row r="26" spans="1:32" ht="11.25" customHeight="1" x14ac:dyDescent="0.25">
      <c r="A26" s="136"/>
      <c r="B26" s="136"/>
      <c r="C26" s="136"/>
      <c r="D26" s="136"/>
      <c r="E26" s="136"/>
      <c r="F26" s="136"/>
      <c r="G26" s="32" t="s">
        <v>83</v>
      </c>
      <c r="H26" s="32" t="s">
        <v>69</v>
      </c>
      <c r="I26" s="32">
        <f>'MERCADO TE'!$U$23</f>
        <v>0</v>
      </c>
      <c r="J26" s="17"/>
      <c r="L26" s="30">
        <f>('TE BE'!$L$26+'TE BF'!$L$26+'TE CVA'!$L$26)*(1 - CUSTOS!$M$39)</f>
        <v>0</v>
      </c>
      <c r="M26" s="30">
        <f>('TE BE'!$M$26+'TE BF'!$M$26+'TE CVA'!$M$26)*(1 - CUSTOS!$M$39)</f>
        <v>0</v>
      </c>
      <c r="N26" s="30">
        <f>('TE BE'!$N$26+'TE BF'!$N$26+'TE CVA'!$N$26)*(1 - CUSTOS!$M$39)</f>
        <v>0</v>
      </c>
      <c r="O26" s="30">
        <f>('TE BE'!$O$26+'TE BF'!$O$26+'TE CVA'!$O$26)*(1 - CUSTOS!$M$39)</f>
        <v>0</v>
      </c>
      <c r="P26" s="30">
        <f>('TE BE'!$Q$26+'TE BF'!$Q$26+'TE CVA'!$Q$26)*(1 - CUSTOS!$M$39)</f>
        <v>238.60327676010121</v>
      </c>
      <c r="Q26" s="30">
        <f>('TE BE'!$S$26+'TE BF'!$S$26+'TE CVA'!$S$26)*(1 - CUSTOS!$M$39)</f>
        <v>0</v>
      </c>
      <c r="R26" s="30">
        <f>('TE BE'!$T$26+'TE BF'!$T$26+'TE CVA'!$T$26)*(1 - CUSTOS!$M$39)</f>
        <v>0</v>
      </c>
      <c r="S26" s="30">
        <f>('TE BE'!$U$26+'TE BF'!$U$26+'TE CVA'!$U$26)*(1 - CUSTOS!$M$39)</f>
        <v>0</v>
      </c>
      <c r="T26" s="30">
        <f>('TE BE'!$W$26+'TE BF'!$W$26+'TE CVA'!$W$26)*(1 - CUSTOS!$M$39)</f>
        <v>2.6873581973538823</v>
      </c>
      <c r="U26" s="30">
        <f>('TE BE'!$Y$26+'TE BF'!$Y$26+'TE CVA'!$Y$26)*(1 - CUSTOS!$M$39)</f>
        <v>0</v>
      </c>
      <c r="W26" s="30">
        <v>0</v>
      </c>
      <c r="X26" s="30">
        <v>0</v>
      </c>
      <c r="Y26" s="30">
        <v>0</v>
      </c>
      <c r="Z26" s="30">
        <v>0</v>
      </c>
      <c r="AA26" s="30">
        <v>223.99237677553401</v>
      </c>
      <c r="AB26" s="30">
        <v>0</v>
      </c>
      <c r="AC26" s="30">
        <v>0</v>
      </c>
      <c r="AD26" s="30">
        <v>0</v>
      </c>
      <c r="AE26" s="30">
        <v>-2.3628577446444901</v>
      </c>
      <c r="AF26" s="30">
        <v>0</v>
      </c>
    </row>
    <row r="27" spans="1:32" ht="11.25" customHeight="1" x14ac:dyDescent="0.25">
      <c r="A27" s="136"/>
      <c r="B27" s="136"/>
      <c r="C27" s="136"/>
      <c r="D27" s="136"/>
      <c r="E27" s="136"/>
      <c r="F27" s="136"/>
      <c r="G27" s="32" t="s">
        <v>71</v>
      </c>
      <c r="H27" s="32" t="s">
        <v>69</v>
      </c>
      <c r="I27" s="32">
        <f>'MERCADO TE'!$U$24</f>
        <v>0</v>
      </c>
      <c r="J27" s="17"/>
      <c r="L27" s="30">
        <f>('TE BE'!$L$27+'TE BF'!$L$27+'TE CVA'!$L$27)*(1 - CUSTOS!$M$39)</f>
        <v>0</v>
      </c>
      <c r="M27" s="30">
        <f>('TE BE'!$M$27+'TE BF'!$M$27+'TE CVA'!$M$27)*(1 - CUSTOS!$M$39)</f>
        <v>0</v>
      </c>
      <c r="N27" s="30">
        <f>('TE BE'!$N$27+'TE BF'!$N$27+'TE CVA'!$N$27)*(1 - CUSTOS!$M$39)</f>
        <v>0</v>
      </c>
      <c r="O27" s="30">
        <f>('TE BE'!$O$27+'TE BF'!$O$27+'TE CVA'!$O$27)*(1 - CUSTOS!$M$39)</f>
        <v>0</v>
      </c>
      <c r="P27" s="30">
        <f>('TE BE'!$Q$27+'TE BF'!$Q$27+'TE CVA'!$Q$27)*(1 - CUSTOS!$M$39)</f>
        <v>238.60327676010121</v>
      </c>
      <c r="Q27" s="30">
        <f>('TE BE'!$S$27+'TE BF'!$S$27+'TE CVA'!$S$27)*(1 - CUSTOS!$M$39)</f>
        <v>0</v>
      </c>
      <c r="R27" s="30">
        <f>('TE BE'!$T$27+'TE BF'!$T$27+'TE CVA'!$T$27)*(1 - CUSTOS!$M$39)</f>
        <v>0</v>
      </c>
      <c r="S27" s="30">
        <f>('TE BE'!$U$27+'TE BF'!$U$27+'TE CVA'!$U$27)*(1 - CUSTOS!$M$39)</f>
        <v>0</v>
      </c>
      <c r="T27" s="30">
        <f>('TE BE'!$W$27+'TE BF'!$W$27+'TE CVA'!$W$27)*(1 - CUSTOS!$M$39)</f>
        <v>2.6873581973538823</v>
      </c>
      <c r="U27" s="30">
        <f>('TE BE'!$Y$27+'TE BF'!$Y$27+'TE CVA'!$Y$27)*(1 - CUSTOS!$M$39)</f>
        <v>0</v>
      </c>
      <c r="W27" s="30">
        <v>0</v>
      </c>
      <c r="X27" s="30">
        <v>0</v>
      </c>
      <c r="Y27" s="30">
        <v>0</v>
      </c>
      <c r="Z27" s="30">
        <v>0</v>
      </c>
      <c r="AA27" s="30">
        <v>223.99237677553401</v>
      </c>
      <c r="AB27" s="30">
        <v>0</v>
      </c>
      <c r="AC27" s="30">
        <v>0</v>
      </c>
      <c r="AD27" s="30">
        <v>0</v>
      </c>
      <c r="AE27" s="30">
        <v>-2.3628577446444901</v>
      </c>
      <c r="AF27" s="30">
        <v>0</v>
      </c>
    </row>
    <row r="28" spans="1:32" ht="11.25" customHeight="1" x14ac:dyDescent="0.25">
      <c r="A28" s="136"/>
      <c r="B28" s="87" t="s">
        <v>72</v>
      </c>
      <c r="C28" s="87" t="s">
        <v>42</v>
      </c>
      <c r="D28" s="87" t="s">
        <v>86</v>
      </c>
      <c r="E28" s="87" t="s">
        <v>25</v>
      </c>
      <c r="F28" s="87" t="s">
        <v>25</v>
      </c>
      <c r="G28" s="32" t="s">
        <v>73</v>
      </c>
      <c r="H28" s="32" t="s">
        <v>69</v>
      </c>
      <c r="I28" s="32">
        <f>'MERCADO TE'!$U$25</f>
        <v>0</v>
      </c>
      <c r="J28" s="17"/>
      <c r="L28" s="30">
        <f>('TE BE'!$L$28+'TE BF'!$L$28+'TE CVA'!$L$28)*(1 - CUSTOS!$M$39)</f>
        <v>0</v>
      </c>
      <c r="M28" s="30">
        <f>('TE BE'!$M$28+'TE BF'!$M$28+'TE CVA'!$M$28)*(1 - CUSTOS!$M$39)</f>
        <v>0</v>
      </c>
      <c r="N28" s="30">
        <f>('TE BE'!$N$28+'TE BF'!$N$28+'TE CVA'!$N$28)*(1 - CUSTOS!$M$39)</f>
        <v>0</v>
      </c>
      <c r="O28" s="30">
        <f>('TE BE'!$O$28+'TE BF'!$O$28+'TE CVA'!$O$28)*(1 - CUSTOS!$M$39)</f>
        <v>0</v>
      </c>
      <c r="P28" s="30">
        <f>('TE BE'!$Q$28+'TE BF'!$Q$28+'TE CVA'!$Q$28)*(1 - CUSTOS!$M$39)</f>
        <v>238.60327676010121</v>
      </c>
      <c r="Q28" s="30">
        <f>('TE BE'!$S$28+'TE BF'!$S$28+'TE CVA'!$S$28)*(1 - CUSTOS!$M$39)</f>
        <v>0</v>
      </c>
      <c r="R28" s="30">
        <f>('TE BE'!$T$28+'TE BF'!$T$28+'TE CVA'!$T$28)*(1 - CUSTOS!$M$39)</f>
        <v>0</v>
      </c>
      <c r="S28" s="30">
        <f>('TE BE'!$U$28+'TE BF'!$U$28+'TE CVA'!$U$28)*(1 - CUSTOS!$M$39)</f>
        <v>0</v>
      </c>
      <c r="T28" s="30">
        <f>('TE BE'!$W$28+'TE BF'!$W$28+'TE CVA'!$W$28)*(1 - CUSTOS!$M$39)</f>
        <v>2.6873581973538823</v>
      </c>
      <c r="U28" s="30">
        <f>('TE BE'!$Y$28+'TE BF'!$Y$28+'TE CVA'!$Y$28)*(1 - CUSTOS!$M$39)</f>
        <v>0</v>
      </c>
      <c r="W28" s="30">
        <v>0</v>
      </c>
      <c r="X28" s="30">
        <v>0</v>
      </c>
      <c r="Y28" s="30">
        <v>0</v>
      </c>
      <c r="Z28" s="30">
        <v>0</v>
      </c>
      <c r="AA28" s="30">
        <v>223.99237677553401</v>
      </c>
      <c r="AB28" s="30">
        <v>0</v>
      </c>
      <c r="AC28" s="30">
        <v>0</v>
      </c>
      <c r="AD28" s="30">
        <v>0</v>
      </c>
      <c r="AE28" s="30">
        <v>-2.3628577446444901</v>
      </c>
      <c r="AF28" s="30">
        <v>0</v>
      </c>
    </row>
    <row r="29" spans="1:32" ht="11.25" customHeight="1" x14ac:dyDescent="0.25">
      <c r="A29" s="136"/>
      <c r="B29" s="136" t="s">
        <v>68</v>
      </c>
      <c r="C29" s="136" t="s">
        <v>42</v>
      </c>
      <c r="D29" s="136" t="s">
        <v>87</v>
      </c>
      <c r="E29" s="136" t="s">
        <v>25</v>
      </c>
      <c r="F29" s="136" t="s">
        <v>25</v>
      </c>
      <c r="G29" s="32" t="s">
        <v>70</v>
      </c>
      <c r="H29" s="32" t="s">
        <v>69</v>
      </c>
      <c r="I29" s="32">
        <f>'MERCADO TE'!$U$26</f>
        <v>0</v>
      </c>
      <c r="J29" s="17"/>
      <c r="L29" s="30">
        <f>('TE BE'!$L$29+'TE BF'!$L$29+'TE CVA'!$L$29)*(1 - CUSTOS!$M$40)</f>
        <v>0</v>
      </c>
      <c r="M29" s="30">
        <f>('TE BE'!$M$29+'TE BF'!$M$29+'TE CVA'!$M$29)*(1 - CUSTOS!$M$40)</f>
        <v>0</v>
      </c>
      <c r="N29" s="30">
        <f>('TE BE'!$N$29+'TE BF'!$N$29+'TE CVA'!$N$29)*(1 - CUSTOS!$M$40)</f>
        <v>0</v>
      </c>
      <c r="O29" s="30">
        <f>('TE BE'!$O$29+'TE BF'!$O$29+'TE CVA'!$O$29)*(1 - CUSTOS!$M$40)</f>
        <v>0</v>
      </c>
      <c r="P29" s="30">
        <f>('TE BE'!$Q$29+'TE BF'!$Q$29+'TE CVA'!$Q$29)*(1 - CUSTOS!$M$40)</f>
        <v>233.52661129712035</v>
      </c>
      <c r="Q29" s="30">
        <f>('TE BE'!$S$29+'TE BF'!$S$29+'TE CVA'!$S$29)*(1 - CUSTOS!$M$40)</f>
        <v>0</v>
      </c>
      <c r="R29" s="30">
        <f>('TE BE'!$T$29+'TE BF'!$T$29+'TE CVA'!$T$29)*(1 - CUSTOS!$M$40)</f>
        <v>0</v>
      </c>
      <c r="S29" s="30">
        <f>('TE BE'!$U$29+'TE BF'!$U$29+'TE CVA'!$U$29)*(1 - CUSTOS!$M$40)</f>
        <v>0</v>
      </c>
      <c r="T29" s="30">
        <f>('TE BE'!$W$29+'TE BF'!$W$29+'TE CVA'!$W$29)*(1 - CUSTOS!$M$40)</f>
        <v>2.6301803633676299</v>
      </c>
      <c r="U29" s="30">
        <f>('TE BE'!$Y$29+'TE BF'!$Y$29+'TE CVA'!$Y$29)*(1 - CUSTOS!$M$40)</f>
        <v>0</v>
      </c>
      <c r="W29" s="30">
        <v>0</v>
      </c>
      <c r="X29" s="30">
        <v>0</v>
      </c>
      <c r="Y29" s="30">
        <v>0</v>
      </c>
      <c r="Z29" s="30">
        <v>0</v>
      </c>
      <c r="AA29" s="30">
        <v>213.810905103919</v>
      </c>
      <c r="AB29" s="30">
        <v>0</v>
      </c>
      <c r="AC29" s="30">
        <v>0</v>
      </c>
      <c r="AD29" s="30">
        <v>0</v>
      </c>
      <c r="AE29" s="30">
        <v>-2.25545511988792</v>
      </c>
      <c r="AF29" s="30">
        <v>0</v>
      </c>
    </row>
    <row r="30" spans="1:32" ht="11.25" customHeight="1" x14ac:dyDescent="0.25">
      <c r="A30" s="136"/>
      <c r="B30" s="136"/>
      <c r="C30" s="136"/>
      <c r="D30" s="136"/>
      <c r="E30" s="136"/>
      <c r="F30" s="136"/>
      <c r="G30" s="32" t="s">
        <v>83</v>
      </c>
      <c r="H30" s="32" t="s">
        <v>69</v>
      </c>
      <c r="I30" s="32">
        <f>'MERCADO TE'!$U$27</f>
        <v>0</v>
      </c>
      <c r="J30" s="17"/>
      <c r="L30" s="30">
        <f>('TE BE'!$L$30+'TE BF'!$L$30+'TE CVA'!$L$30)*(1 - CUSTOS!$M$40)</f>
        <v>0</v>
      </c>
      <c r="M30" s="30">
        <f>('TE BE'!$M$30+'TE BF'!$M$30+'TE CVA'!$M$30)*(1 - CUSTOS!$M$40)</f>
        <v>0</v>
      </c>
      <c r="N30" s="30">
        <f>('TE BE'!$N$30+'TE BF'!$N$30+'TE CVA'!$N$30)*(1 - CUSTOS!$M$40)</f>
        <v>0</v>
      </c>
      <c r="O30" s="30">
        <f>('TE BE'!$O$30+'TE BF'!$O$30+'TE CVA'!$O$30)*(1 - CUSTOS!$M$40)</f>
        <v>0</v>
      </c>
      <c r="P30" s="30">
        <f>('TE BE'!$Q$30+'TE BF'!$Q$30+'TE CVA'!$Q$30)*(1 - CUSTOS!$M$40)</f>
        <v>233.52661129712035</v>
      </c>
      <c r="Q30" s="30">
        <f>('TE BE'!$S$30+'TE BF'!$S$30+'TE CVA'!$S$30)*(1 - CUSTOS!$M$40)</f>
        <v>0</v>
      </c>
      <c r="R30" s="30">
        <f>('TE BE'!$T$30+'TE BF'!$T$30+'TE CVA'!$T$30)*(1 - CUSTOS!$M$40)</f>
        <v>0</v>
      </c>
      <c r="S30" s="30">
        <f>('TE BE'!$U$30+'TE BF'!$U$30+'TE CVA'!$U$30)*(1 - CUSTOS!$M$40)</f>
        <v>0</v>
      </c>
      <c r="T30" s="30">
        <f>('TE BE'!$W$30+'TE BF'!$W$30+'TE CVA'!$W$30)*(1 - CUSTOS!$M$40)</f>
        <v>2.6301803633676299</v>
      </c>
      <c r="U30" s="30">
        <f>('TE BE'!$Y$30+'TE BF'!$Y$30+'TE CVA'!$Y$30)*(1 - CUSTOS!$M$40)</f>
        <v>0</v>
      </c>
      <c r="W30" s="30">
        <v>0</v>
      </c>
      <c r="X30" s="30">
        <v>0</v>
      </c>
      <c r="Y30" s="30">
        <v>0</v>
      </c>
      <c r="Z30" s="30">
        <v>0</v>
      </c>
      <c r="AA30" s="30">
        <v>213.810905103919</v>
      </c>
      <c r="AB30" s="30">
        <v>0</v>
      </c>
      <c r="AC30" s="30">
        <v>0</v>
      </c>
      <c r="AD30" s="30">
        <v>0</v>
      </c>
      <c r="AE30" s="30">
        <v>-2.25545511988792</v>
      </c>
      <c r="AF30" s="30">
        <v>0</v>
      </c>
    </row>
    <row r="31" spans="1:32" ht="11.25" customHeight="1" x14ac:dyDescent="0.25">
      <c r="A31" s="136"/>
      <c r="B31" s="136"/>
      <c r="C31" s="136"/>
      <c r="D31" s="136"/>
      <c r="E31" s="136"/>
      <c r="F31" s="136"/>
      <c r="G31" s="32" t="s">
        <v>71</v>
      </c>
      <c r="H31" s="32" t="s">
        <v>69</v>
      </c>
      <c r="I31" s="32">
        <f>'MERCADO TE'!$U$28</f>
        <v>0</v>
      </c>
      <c r="J31" s="17"/>
      <c r="L31" s="30">
        <f>('TE BE'!$L$31+'TE BF'!$L$31+'TE CVA'!$L$31)*(1 - CUSTOS!$M$40)</f>
        <v>0</v>
      </c>
      <c r="M31" s="30">
        <f>('TE BE'!$M$31+'TE BF'!$M$31+'TE CVA'!$M$31)*(1 - CUSTOS!$M$40)</f>
        <v>0</v>
      </c>
      <c r="N31" s="30">
        <f>('TE BE'!$N$31+'TE BF'!$N$31+'TE CVA'!$N$31)*(1 - CUSTOS!$M$40)</f>
        <v>0</v>
      </c>
      <c r="O31" s="30">
        <f>('TE BE'!$O$31+'TE BF'!$O$31+'TE CVA'!$O$31)*(1 - CUSTOS!$M$40)</f>
        <v>0</v>
      </c>
      <c r="P31" s="30">
        <f>('TE BE'!$Q$31+'TE BF'!$Q$31+'TE CVA'!$Q$31)*(1 - CUSTOS!$M$40)</f>
        <v>233.52661129712035</v>
      </c>
      <c r="Q31" s="30">
        <f>('TE BE'!$S$31+'TE BF'!$S$31+'TE CVA'!$S$31)*(1 - CUSTOS!$M$40)</f>
        <v>0</v>
      </c>
      <c r="R31" s="30">
        <f>('TE BE'!$T$31+'TE BF'!$T$31+'TE CVA'!$T$31)*(1 - CUSTOS!$M$40)</f>
        <v>0</v>
      </c>
      <c r="S31" s="30">
        <f>('TE BE'!$U$31+'TE BF'!$U$31+'TE CVA'!$U$31)*(1 - CUSTOS!$M$40)</f>
        <v>0</v>
      </c>
      <c r="T31" s="30">
        <f>('TE BE'!$W$31+'TE BF'!$W$31+'TE CVA'!$W$31)*(1 - CUSTOS!$M$40)</f>
        <v>2.6301803633676299</v>
      </c>
      <c r="U31" s="30">
        <f>('TE BE'!$Y$31+'TE BF'!$Y$31+'TE CVA'!$Y$31)*(1 - CUSTOS!$M$40)</f>
        <v>0</v>
      </c>
      <c r="W31" s="30">
        <v>0</v>
      </c>
      <c r="X31" s="30">
        <v>0</v>
      </c>
      <c r="Y31" s="30">
        <v>0</v>
      </c>
      <c r="Z31" s="30">
        <v>0</v>
      </c>
      <c r="AA31" s="30">
        <v>213.810905103919</v>
      </c>
      <c r="AB31" s="30">
        <v>0</v>
      </c>
      <c r="AC31" s="30">
        <v>0</v>
      </c>
      <c r="AD31" s="30">
        <v>0</v>
      </c>
      <c r="AE31" s="30">
        <v>-2.25545511988792</v>
      </c>
      <c r="AF31" s="30">
        <v>0</v>
      </c>
    </row>
    <row r="32" spans="1:32" ht="11.25" customHeight="1" x14ac:dyDescent="0.25">
      <c r="A32" s="136"/>
      <c r="B32" s="87" t="s">
        <v>72</v>
      </c>
      <c r="C32" s="87" t="s">
        <v>42</v>
      </c>
      <c r="D32" s="87" t="s">
        <v>87</v>
      </c>
      <c r="E32" s="87" t="s">
        <v>25</v>
      </c>
      <c r="F32" s="87" t="s">
        <v>25</v>
      </c>
      <c r="G32" s="32" t="s">
        <v>73</v>
      </c>
      <c r="H32" s="32" t="s">
        <v>69</v>
      </c>
      <c r="I32" s="32">
        <f>'MERCADO TE'!$U$29</f>
        <v>0</v>
      </c>
      <c r="J32" s="17"/>
      <c r="L32" s="30">
        <f>('TE BE'!$L$32+'TE BF'!$L$32+'TE CVA'!$L$32)*(1 - CUSTOS!$M$40)</f>
        <v>0</v>
      </c>
      <c r="M32" s="30">
        <f>('TE BE'!$M$32+'TE BF'!$M$32+'TE CVA'!$M$32)*(1 - CUSTOS!$M$40)</f>
        <v>0</v>
      </c>
      <c r="N32" s="30">
        <f>('TE BE'!$N$32+'TE BF'!$N$32+'TE CVA'!$N$32)*(1 - CUSTOS!$M$40)</f>
        <v>0</v>
      </c>
      <c r="O32" s="30">
        <f>('TE BE'!$O$32+'TE BF'!$O$32+'TE CVA'!$O$32)*(1 - CUSTOS!$M$40)</f>
        <v>0</v>
      </c>
      <c r="P32" s="30">
        <f>('TE BE'!$Q$32+'TE BF'!$Q$32+'TE CVA'!$Q$32)*(1 - CUSTOS!$M$40)</f>
        <v>233.52661129712035</v>
      </c>
      <c r="Q32" s="30">
        <f>('TE BE'!$S$32+'TE BF'!$S$32+'TE CVA'!$S$32)*(1 - CUSTOS!$M$40)</f>
        <v>0</v>
      </c>
      <c r="R32" s="30">
        <f>('TE BE'!$T$32+'TE BF'!$T$32+'TE CVA'!$T$32)*(1 - CUSTOS!$M$40)</f>
        <v>0</v>
      </c>
      <c r="S32" s="30">
        <f>('TE BE'!$U$32+'TE BF'!$U$32+'TE CVA'!$U$32)*(1 - CUSTOS!$M$40)</f>
        <v>0</v>
      </c>
      <c r="T32" s="30">
        <f>('TE BE'!$W$32+'TE BF'!$W$32+'TE CVA'!$W$32)*(1 - CUSTOS!$M$40)</f>
        <v>2.6301803633676299</v>
      </c>
      <c r="U32" s="30">
        <f>('TE BE'!$Y$32+'TE BF'!$Y$32+'TE CVA'!$Y$32)*(1 - CUSTOS!$M$40)</f>
        <v>0</v>
      </c>
      <c r="W32" s="30">
        <v>0</v>
      </c>
      <c r="X32" s="30">
        <v>0</v>
      </c>
      <c r="Y32" s="30">
        <v>0</v>
      </c>
      <c r="Z32" s="30">
        <v>0</v>
      </c>
      <c r="AA32" s="30">
        <v>213.810905103919</v>
      </c>
      <c r="AB32" s="30">
        <v>0</v>
      </c>
      <c r="AC32" s="30">
        <v>0</v>
      </c>
      <c r="AD32" s="30">
        <v>0</v>
      </c>
      <c r="AE32" s="30">
        <v>-2.25545511988792</v>
      </c>
      <c r="AF32" s="30">
        <v>0</v>
      </c>
    </row>
    <row r="33" spans="1:32" ht="11.25" customHeight="1" x14ac:dyDescent="0.25">
      <c r="A33" s="136"/>
      <c r="B33" s="136" t="s">
        <v>84</v>
      </c>
      <c r="C33" s="136" t="s">
        <v>42</v>
      </c>
      <c r="D33" s="87" t="s">
        <v>25</v>
      </c>
      <c r="E33" s="87" t="s">
        <v>25</v>
      </c>
      <c r="F33" s="87" t="s">
        <v>25</v>
      </c>
      <c r="G33" s="32" t="s">
        <v>73</v>
      </c>
      <c r="H33" s="32" t="s">
        <v>69</v>
      </c>
      <c r="I33" s="32">
        <f>'MERCADO TE'!$U$30</f>
        <v>0</v>
      </c>
      <c r="J33" s="17"/>
      <c r="L33" s="30">
        <f>('TE BE'!$L$33+'TE BF'!$L$33+'TE CVA'!$L$33)*(1 - CUSTOS!$M$38)</f>
        <v>0</v>
      </c>
      <c r="M33" s="30">
        <f>('TE BE'!$M$33+'TE BF'!$M$33+'TE CVA'!$M$33)*(1 - CUSTOS!$M$38)</f>
        <v>0</v>
      </c>
      <c r="N33" s="30">
        <f>('TE BE'!$N$33+'TE BF'!$N$33+'TE CVA'!$N$33)*(1 - CUSTOS!$M$38)</f>
        <v>0</v>
      </c>
      <c r="O33" s="30">
        <f>('TE BE'!$O$33+'TE BF'!$O$33+'TE CVA'!$O$33)*(1 - CUSTOS!$M$38)</f>
        <v>0</v>
      </c>
      <c r="P33" s="30">
        <f>('TE BE'!$Q$33+'TE BF'!$Q$33+'TE CVA'!$Q$33)*(1 - CUSTOS!$M$38)</f>
        <v>238.60327676010121</v>
      </c>
      <c r="Q33" s="30">
        <f>('TE BE'!$S$33+'TE BF'!$S$33+'TE CVA'!$S$33)*(1 - CUSTOS!$M$38)</f>
        <v>0</v>
      </c>
      <c r="R33" s="30">
        <f>('TE BE'!$T$33+'TE BF'!$T$33+'TE CVA'!$T$33)*(1 - CUSTOS!$M$38)</f>
        <v>0</v>
      </c>
      <c r="S33" s="30">
        <f>('TE BE'!$U$33+'TE BF'!$U$33+'TE CVA'!$U$33)*(1 - CUSTOS!$M$38)</f>
        <v>0</v>
      </c>
      <c r="T33" s="30">
        <f>('TE BE'!$W$33+'TE BF'!$W$33+'TE CVA'!$W$33)*(1 - CUSTOS!$M$38)</f>
        <v>2.6873581973538823</v>
      </c>
      <c r="U33" s="30">
        <f>('TE BE'!$Y$33+'TE BF'!$Y$33+'TE CVA'!$Y$33)*(1 - CUSTOS!$M$38)</f>
        <v>0</v>
      </c>
      <c r="W33" s="30">
        <v>0</v>
      </c>
      <c r="X33" s="30">
        <v>0</v>
      </c>
      <c r="Y33" s="30">
        <v>0</v>
      </c>
      <c r="Z33" s="30">
        <v>0</v>
      </c>
      <c r="AA33" s="30">
        <v>223.99237677553401</v>
      </c>
      <c r="AB33" s="30">
        <v>0</v>
      </c>
      <c r="AC33" s="30">
        <v>0</v>
      </c>
      <c r="AD33" s="30">
        <v>0</v>
      </c>
      <c r="AE33" s="30">
        <v>-2.3628577446444901</v>
      </c>
      <c r="AF33" s="30">
        <v>0</v>
      </c>
    </row>
    <row r="34" spans="1:32" ht="11.25" customHeight="1" x14ac:dyDescent="0.25">
      <c r="A34" s="136"/>
      <c r="B34" s="136"/>
      <c r="C34" s="136"/>
      <c r="D34" s="87" t="s">
        <v>86</v>
      </c>
      <c r="E34" s="87" t="s">
        <v>25</v>
      </c>
      <c r="F34" s="87" t="s">
        <v>25</v>
      </c>
      <c r="G34" s="32" t="s">
        <v>73</v>
      </c>
      <c r="H34" s="32" t="s">
        <v>69</v>
      </c>
      <c r="I34" s="32">
        <f>'MERCADO TE'!$U$31</f>
        <v>0</v>
      </c>
      <c r="J34" s="17"/>
      <c r="L34" s="30">
        <f>('TE BE'!$L$34+'TE BF'!$L$34+'TE CVA'!$L$34)*(1 - CUSTOS!$M$39)</f>
        <v>0</v>
      </c>
      <c r="M34" s="30">
        <f>('TE BE'!$M$34+'TE BF'!$M$34+'TE CVA'!$M$34)*(1 - CUSTOS!$M$39)</f>
        <v>0</v>
      </c>
      <c r="N34" s="30">
        <f>('TE BE'!$N$34+'TE BF'!$N$34+'TE CVA'!$N$34)*(1 - CUSTOS!$M$39)</f>
        <v>0</v>
      </c>
      <c r="O34" s="30">
        <f>('TE BE'!$O$34+'TE BF'!$O$34+'TE CVA'!$O$34)*(1 - CUSTOS!$M$39)</f>
        <v>0</v>
      </c>
      <c r="P34" s="30">
        <f>('TE BE'!$Q$34+'TE BF'!$Q$34+'TE CVA'!$Q$34)*(1 - CUSTOS!$M$39)</f>
        <v>238.60327676010121</v>
      </c>
      <c r="Q34" s="30">
        <f>('TE BE'!$S$34+'TE BF'!$S$34+'TE CVA'!$S$34)*(1 - CUSTOS!$M$39)</f>
        <v>0</v>
      </c>
      <c r="R34" s="30">
        <f>('TE BE'!$T$34+'TE BF'!$T$34+'TE CVA'!$T$34)*(1 - CUSTOS!$M$39)</f>
        <v>0</v>
      </c>
      <c r="S34" s="30">
        <f>('TE BE'!$U$34+'TE BF'!$U$34+'TE CVA'!$U$34)*(1 - CUSTOS!$M$39)</f>
        <v>0</v>
      </c>
      <c r="T34" s="30">
        <f>('TE BE'!$W$34+'TE BF'!$W$34+'TE CVA'!$W$34)*(1 - CUSTOS!$M$39)</f>
        <v>2.6873581973538823</v>
      </c>
      <c r="U34" s="30">
        <f>('TE BE'!$Y$34+'TE BF'!$Y$34+'TE CVA'!$Y$34)*(1 - CUSTOS!$M$39)</f>
        <v>0</v>
      </c>
      <c r="W34" s="30">
        <v>0</v>
      </c>
      <c r="X34" s="30">
        <v>0</v>
      </c>
      <c r="Y34" s="30">
        <v>0</v>
      </c>
      <c r="Z34" s="30">
        <v>0</v>
      </c>
      <c r="AA34" s="30">
        <v>223.99237677553401</v>
      </c>
      <c r="AB34" s="30">
        <v>0</v>
      </c>
      <c r="AC34" s="30">
        <v>0</v>
      </c>
      <c r="AD34" s="30">
        <v>0</v>
      </c>
      <c r="AE34" s="30">
        <v>-2.3628577446444901</v>
      </c>
      <c r="AF34" s="30">
        <v>0</v>
      </c>
    </row>
    <row r="35" spans="1:32" ht="11.25" customHeight="1" x14ac:dyDescent="0.25">
      <c r="A35" s="136"/>
      <c r="B35" s="136"/>
      <c r="C35" s="136"/>
      <c r="D35" s="87" t="s">
        <v>87</v>
      </c>
      <c r="E35" s="87" t="s">
        <v>25</v>
      </c>
      <c r="F35" s="87" t="s">
        <v>25</v>
      </c>
      <c r="G35" s="32" t="s">
        <v>73</v>
      </c>
      <c r="H35" s="32" t="s">
        <v>69</v>
      </c>
      <c r="I35" s="32">
        <f>'MERCADO TE'!$U$32</f>
        <v>0</v>
      </c>
      <c r="J35" s="17"/>
      <c r="L35" s="30">
        <f>('TE BE'!$L$35+'TE BF'!$L$35+'TE CVA'!$L$35)*(1 - CUSTOS!$M$40)</f>
        <v>0</v>
      </c>
      <c r="M35" s="30">
        <f>('TE BE'!$M$35+'TE BF'!$M$35+'TE CVA'!$M$35)*(1 - CUSTOS!$M$40)</f>
        <v>0</v>
      </c>
      <c r="N35" s="30">
        <f>('TE BE'!$N$35+'TE BF'!$N$35+'TE CVA'!$N$35)*(1 - CUSTOS!$M$40)</f>
        <v>0</v>
      </c>
      <c r="O35" s="30">
        <f>('TE BE'!$O$35+'TE BF'!$O$35+'TE CVA'!$O$35)*(1 - CUSTOS!$M$40)</f>
        <v>0</v>
      </c>
      <c r="P35" s="30">
        <f>('TE BE'!$Q$35+'TE BF'!$Q$35+'TE CVA'!$Q$35)*(1 - CUSTOS!$M$40)</f>
        <v>233.52661129712035</v>
      </c>
      <c r="Q35" s="30">
        <f>('TE BE'!$S$35+'TE BF'!$S$35+'TE CVA'!$S$35)*(1 - CUSTOS!$M$40)</f>
        <v>0</v>
      </c>
      <c r="R35" s="30">
        <f>('TE BE'!$T$35+'TE BF'!$T$35+'TE CVA'!$T$35)*(1 - CUSTOS!$M$40)</f>
        <v>0</v>
      </c>
      <c r="S35" s="30">
        <f>('TE BE'!$U$35+'TE BF'!$U$35+'TE CVA'!$U$35)*(1 - CUSTOS!$M$40)</f>
        <v>0</v>
      </c>
      <c r="T35" s="30">
        <f>('TE BE'!$W$35+'TE BF'!$W$35+'TE CVA'!$W$35)*(1 - CUSTOS!$M$40)</f>
        <v>2.6301803633676299</v>
      </c>
      <c r="U35" s="30">
        <f>('TE BE'!$Y$35+'TE BF'!$Y$35+'TE CVA'!$Y$35)*(1 - CUSTOS!$M$40)</f>
        <v>0</v>
      </c>
      <c r="W35" s="30">
        <v>0</v>
      </c>
      <c r="X35" s="30">
        <v>0</v>
      </c>
      <c r="Y35" s="30">
        <v>0</v>
      </c>
      <c r="Z35" s="30">
        <v>0</v>
      </c>
      <c r="AA35" s="30">
        <v>213.810905103919</v>
      </c>
      <c r="AB35" s="30">
        <v>0</v>
      </c>
      <c r="AC35" s="30">
        <v>0</v>
      </c>
      <c r="AD35" s="30">
        <v>0</v>
      </c>
      <c r="AE35" s="30">
        <v>-2.25545511988792</v>
      </c>
      <c r="AF35" s="30">
        <v>0</v>
      </c>
    </row>
    <row r="36" spans="1:32" ht="11.25" customHeight="1" x14ac:dyDescent="0.25">
      <c r="A36" s="136" t="s">
        <v>32</v>
      </c>
      <c r="B36" s="136" t="s">
        <v>68</v>
      </c>
      <c r="C36" s="136" t="s">
        <v>25</v>
      </c>
      <c r="D36" s="136" t="s">
        <v>25</v>
      </c>
      <c r="E36" s="136" t="s">
        <v>25</v>
      </c>
      <c r="F36" s="136" t="s">
        <v>25</v>
      </c>
      <c r="G36" s="32" t="s">
        <v>70</v>
      </c>
      <c r="H36" s="32" t="s">
        <v>69</v>
      </c>
      <c r="I36" s="32">
        <f>'MERCADO TE'!$U$33</f>
        <v>0.13600000000000001</v>
      </c>
      <c r="J36" s="17"/>
      <c r="L36" s="30">
        <f>('TE BE'!$L$36+'TE BF'!$L$36+'TE CVA'!$L$36)*1</f>
        <v>0</v>
      </c>
      <c r="M36" s="30">
        <f>('TE BE'!$M$36+'TE BF'!$M$36+'TE CVA'!$M$36)*1</f>
        <v>0</v>
      </c>
      <c r="N36" s="30">
        <f>('TE BE'!$N$36+'TE BF'!$N$36+'TE CVA'!$N$36)*1</f>
        <v>0</v>
      </c>
      <c r="O36" s="30">
        <f>('TE BE'!$O$36+'TE BF'!$O$36+'TE CVA'!$O$36)*1</f>
        <v>0</v>
      </c>
      <c r="P36" s="30">
        <f>('TE BE'!$Q$36+'TE BF'!$Q$36+'TE CVA'!$Q$36)*1</f>
        <v>253.83327314904386</v>
      </c>
      <c r="Q36" s="30">
        <f>('TE BE'!$S$36+'TE BF'!$S$36+'TE CVA'!$S$36)*1</f>
        <v>0</v>
      </c>
      <c r="R36" s="30">
        <f>('TE BE'!$T$36+'TE BF'!$T$36+'TE CVA'!$T$36)*1</f>
        <v>0</v>
      </c>
      <c r="S36" s="30">
        <f>('TE BE'!$U$36+'TE BF'!$U$36+'TE CVA'!$U$36)*1</f>
        <v>0</v>
      </c>
      <c r="T36" s="30">
        <f>('TE BE'!$W$36+'TE BF'!$W$36+'TE CVA'!$W$36)*1</f>
        <v>2.858891699312641</v>
      </c>
      <c r="U36" s="30">
        <f>('TE BE'!$Y$36+'TE BF'!$Y$36+'TE CVA'!$Y$36)*1</f>
        <v>0</v>
      </c>
      <c r="W36" s="30">
        <v>0</v>
      </c>
      <c r="X36" s="30">
        <v>0</v>
      </c>
      <c r="Y36" s="30">
        <v>0</v>
      </c>
      <c r="Z36" s="30">
        <v>0</v>
      </c>
      <c r="AA36" s="30">
        <v>254.53679179037999</v>
      </c>
      <c r="AB36" s="30">
        <v>0</v>
      </c>
      <c r="AC36" s="30">
        <v>0</v>
      </c>
      <c r="AD36" s="30">
        <v>0</v>
      </c>
      <c r="AE36" s="30">
        <v>-2.6850656189141899</v>
      </c>
      <c r="AF36" s="30">
        <v>0</v>
      </c>
    </row>
    <row r="37" spans="1:32" ht="11.25" customHeight="1" x14ac:dyDescent="0.25">
      <c r="A37" s="136"/>
      <c r="B37" s="136"/>
      <c r="C37" s="136"/>
      <c r="D37" s="136"/>
      <c r="E37" s="136"/>
      <c r="F37" s="136"/>
      <c r="G37" s="32" t="s">
        <v>83</v>
      </c>
      <c r="H37" s="32" t="s">
        <v>69</v>
      </c>
      <c r="I37" s="32">
        <f>'MERCADO TE'!$U$34</f>
        <v>0.16400000000000003</v>
      </c>
      <c r="J37" s="17"/>
      <c r="L37" s="30">
        <f>('TE BE'!$L$37+'TE BF'!$L$37+'TE CVA'!$L$37)*1</f>
        <v>0</v>
      </c>
      <c r="M37" s="30">
        <f>('TE BE'!$M$37+'TE BF'!$M$37+'TE CVA'!$M$37)*1</f>
        <v>0</v>
      </c>
      <c r="N37" s="30">
        <f>('TE BE'!$N$37+'TE BF'!$N$37+'TE CVA'!$N$37)*1</f>
        <v>0</v>
      </c>
      <c r="O37" s="30">
        <f>('TE BE'!$O$37+'TE BF'!$O$37+'TE CVA'!$O$37)*1</f>
        <v>0</v>
      </c>
      <c r="P37" s="30">
        <f>('TE BE'!$Q$37+'TE BF'!$Q$37+'TE CVA'!$Q$37)*1</f>
        <v>253.83327314904386</v>
      </c>
      <c r="Q37" s="30">
        <f>('TE BE'!$S$37+'TE BF'!$S$37+'TE CVA'!$S$37)*1</f>
        <v>0</v>
      </c>
      <c r="R37" s="30">
        <f>('TE BE'!$T$37+'TE BF'!$T$37+'TE CVA'!$T$37)*1</f>
        <v>0</v>
      </c>
      <c r="S37" s="30">
        <f>('TE BE'!$U$37+'TE BF'!$U$37+'TE CVA'!$U$37)*1</f>
        <v>0</v>
      </c>
      <c r="T37" s="30">
        <f>('TE BE'!$W$37+'TE BF'!$W$37+'TE CVA'!$W$37)*1</f>
        <v>2.858891699312641</v>
      </c>
      <c r="U37" s="30">
        <f>('TE BE'!$Y$37+'TE BF'!$Y$37+'TE CVA'!$Y$37)*1</f>
        <v>0</v>
      </c>
      <c r="W37" s="30">
        <v>0</v>
      </c>
      <c r="X37" s="30">
        <v>0</v>
      </c>
      <c r="Y37" s="30">
        <v>0</v>
      </c>
      <c r="Z37" s="30">
        <v>0</v>
      </c>
      <c r="AA37" s="30">
        <v>254.53679179037999</v>
      </c>
      <c r="AB37" s="30">
        <v>0</v>
      </c>
      <c r="AC37" s="30">
        <v>0</v>
      </c>
      <c r="AD37" s="30">
        <v>0</v>
      </c>
      <c r="AE37" s="30">
        <v>-2.6850656189141899</v>
      </c>
      <c r="AF37" s="30">
        <v>0</v>
      </c>
    </row>
    <row r="38" spans="1:32" ht="11.25" customHeight="1" x14ac:dyDescent="0.25">
      <c r="A38" s="136"/>
      <c r="B38" s="136"/>
      <c r="C38" s="136"/>
      <c r="D38" s="136"/>
      <c r="E38" s="136"/>
      <c r="F38" s="136"/>
      <c r="G38" s="32" t="s">
        <v>71</v>
      </c>
      <c r="H38" s="32" t="s">
        <v>69</v>
      </c>
      <c r="I38" s="32">
        <f>'MERCADO TE'!$U$35</f>
        <v>5.0719999999999992</v>
      </c>
      <c r="J38" s="17"/>
      <c r="L38" s="30">
        <f>('TE BE'!$L$38+'TE BF'!$L$38+'TE CVA'!$L$38)*1</f>
        <v>0</v>
      </c>
      <c r="M38" s="30">
        <f>('TE BE'!$M$38+'TE BF'!$M$38+'TE CVA'!$M$38)*1</f>
        <v>0</v>
      </c>
      <c r="N38" s="30">
        <f>('TE BE'!$N$38+'TE BF'!$N$38+'TE CVA'!$N$38)*1</f>
        <v>0</v>
      </c>
      <c r="O38" s="30">
        <f>('TE BE'!$O$38+'TE BF'!$O$38+'TE CVA'!$O$38)*1</f>
        <v>0</v>
      </c>
      <c r="P38" s="30">
        <f>('TE BE'!$Q$38+'TE BF'!$Q$38+'TE CVA'!$Q$38)*1</f>
        <v>253.83327314904386</v>
      </c>
      <c r="Q38" s="30">
        <f>('TE BE'!$S$38+'TE BF'!$S$38+'TE CVA'!$S$38)*1</f>
        <v>0</v>
      </c>
      <c r="R38" s="30">
        <f>('TE BE'!$T$38+'TE BF'!$T$38+'TE CVA'!$T$38)*1</f>
        <v>0</v>
      </c>
      <c r="S38" s="30">
        <f>('TE BE'!$U$38+'TE BF'!$U$38+'TE CVA'!$U$38)*1</f>
        <v>0</v>
      </c>
      <c r="T38" s="30">
        <f>('TE BE'!$W$38+'TE BF'!$W$38+'TE CVA'!$W$38)*1</f>
        <v>2.858891699312641</v>
      </c>
      <c r="U38" s="30">
        <f>('TE BE'!$Y$38+'TE BF'!$Y$38+'TE CVA'!$Y$38)*1</f>
        <v>0</v>
      </c>
      <c r="W38" s="30">
        <v>0</v>
      </c>
      <c r="X38" s="30">
        <v>0</v>
      </c>
      <c r="Y38" s="30">
        <v>0</v>
      </c>
      <c r="Z38" s="30">
        <v>0</v>
      </c>
      <c r="AA38" s="30">
        <v>254.53679179037999</v>
      </c>
      <c r="AB38" s="30">
        <v>0</v>
      </c>
      <c r="AC38" s="30">
        <v>0</v>
      </c>
      <c r="AD38" s="30">
        <v>0</v>
      </c>
      <c r="AE38" s="30">
        <v>-2.6850656189141899</v>
      </c>
      <c r="AF38" s="30">
        <v>0</v>
      </c>
    </row>
    <row r="39" spans="1:32" ht="11.25" customHeight="1" x14ac:dyDescent="0.25">
      <c r="A39" s="136"/>
      <c r="B39" s="87" t="s">
        <v>72</v>
      </c>
      <c r="C39" s="87" t="s">
        <v>25</v>
      </c>
      <c r="D39" s="87" t="s">
        <v>25</v>
      </c>
      <c r="E39" s="87" t="s">
        <v>25</v>
      </c>
      <c r="F39" s="87" t="s">
        <v>25</v>
      </c>
      <c r="G39" s="32" t="s">
        <v>73</v>
      </c>
      <c r="H39" s="32" t="s">
        <v>69</v>
      </c>
      <c r="I39" s="32">
        <f>'MERCADO TE'!$U$36</f>
        <v>1791.422</v>
      </c>
      <c r="J39" s="17"/>
      <c r="L39" s="30">
        <f>('TE BE'!$L$39+'TE BF'!$L$39+'TE CVA'!$L$39)*1</f>
        <v>0</v>
      </c>
      <c r="M39" s="30">
        <f>('TE BE'!$M$39+'TE BF'!$M$39+'TE CVA'!$M$39)*1</f>
        <v>0</v>
      </c>
      <c r="N39" s="30">
        <f>('TE BE'!$N$39+'TE BF'!$N$39+'TE CVA'!$N$39)*1</f>
        <v>0</v>
      </c>
      <c r="O39" s="30">
        <f>('TE BE'!$O$39+'TE BF'!$O$39+'TE CVA'!$O$39)*1</f>
        <v>0</v>
      </c>
      <c r="P39" s="30">
        <f>('TE BE'!$Q$39+'TE BF'!$Q$39+'TE CVA'!$Q$39)*1</f>
        <v>253.83327314904386</v>
      </c>
      <c r="Q39" s="30">
        <f>('TE BE'!$S$39+'TE BF'!$S$39+'TE CVA'!$S$39)*1</f>
        <v>0</v>
      </c>
      <c r="R39" s="30">
        <f>('TE BE'!$T$39+'TE BF'!$T$39+'TE CVA'!$T$39)*1</f>
        <v>0</v>
      </c>
      <c r="S39" s="30">
        <f>('TE BE'!$U$39+'TE BF'!$U$39+'TE CVA'!$U$39)*1</f>
        <v>0</v>
      </c>
      <c r="T39" s="30">
        <f>('TE BE'!$W$39+'TE BF'!$W$39+'TE CVA'!$W$39)*1</f>
        <v>2.858891699312641</v>
      </c>
      <c r="U39" s="30">
        <f>('TE BE'!$Y$39+'TE BF'!$Y$39+'TE CVA'!$Y$39)*1</f>
        <v>0</v>
      </c>
      <c r="W39" s="30">
        <v>0</v>
      </c>
      <c r="X39" s="30">
        <v>0</v>
      </c>
      <c r="Y39" s="30">
        <v>0</v>
      </c>
      <c r="Z39" s="30">
        <v>0</v>
      </c>
      <c r="AA39" s="30">
        <v>254.53679179037999</v>
      </c>
      <c r="AB39" s="30">
        <v>0</v>
      </c>
      <c r="AC39" s="30">
        <v>0</v>
      </c>
      <c r="AD39" s="30">
        <v>0</v>
      </c>
      <c r="AE39" s="30">
        <v>-2.6850656189141899</v>
      </c>
      <c r="AF39" s="30">
        <v>0</v>
      </c>
    </row>
    <row r="40" spans="1:32" ht="11.25" customHeight="1" x14ac:dyDescent="0.25">
      <c r="A40" s="136"/>
      <c r="B40" s="87" t="s">
        <v>84</v>
      </c>
      <c r="C40" s="87" t="s">
        <v>25</v>
      </c>
      <c r="D40" s="87" t="s">
        <v>25</v>
      </c>
      <c r="E40" s="87" t="s">
        <v>25</v>
      </c>
      <c r="F40" s="87" t="s">
        <v>25</v>
      </c>
      <c r="G40" s="32" t="s">
        <v>73</v>
      </c>
      <c r="H40" s="32" t="s">
        <v>69</v>
      </c>
      <c r="I40" s="32">
        <f>'MERCADO TE'!$U$37</f>
        <v>0</v>
      </c>
      <c r="J40" s="17"/>
      <c r="L40" s="30">
        <f>('TE BE'!$L$40+'TE BF'!$L$40+'TE CVA'!$L$40)*1</f>
        <v>0</v>
      </c>
      <c r="M40" s="30">
        <f>('TE BE'!$M$40+'TE BF'!$M$40+'TE CVA'!$M$40)*1</f>
        <v>0</v>
      </c>
      <c r="N40" s="30">
        <f>('TE BE'!$N$40+'TE BF'!$N$40+'TE CVA'!$N$40)*1</f>
        <v>0</v>
      </c>
      <c r="O40" s="30">
        <f>('TE BE'!$O$40+'TE BF'!$O$40+'TE CVA'!$O$40)*1</f>
        <v>0</v>
      </c>
      <c r="P40" s="30">
        <f>('TE BE'!$Q$40+'TE BF'!$Q$40+'TE CVA'!$Q$40)*1</f>
        <v>253.83327314904386</v>
      </c>
      <c r="Q40" s="30">
        <f>('TE BE'!$S$40+'TE BF'!$S$40+'TE CVA'!$S$40)*1</f>
        <v>0</v>
      </c>
      <c r="R40" s="30">
        <f>('TE BE'!$T$40+'TE BF'!$T$40+'TE CVA'!$T$40)*1</f>
        <v>0</v>
      </c>
      <c r="S40" s="30">
        <f>('TE BE'!$U$40+'TE BF'!$U$40+'TE CVA'!$U$40)*1</f>
        <v>0</v>
      </c>
      <c r="T40" s="30">
        <f>('TE BE'!$W$40+'TE BF'!$W$40+'TE CVA'!$W$40)*1</f>
        <v>2.858891699312641</v>
      </c>
      <c r="U40" s="30">
        <f>('TE BE'!$Y$40+'TE BF'!$Y$40+'TE CVA'!$Y$40)*1</f>
        <v>0</v>
      </c>
      <c r="W40" s="30">
        <v>0</v>
      </c>
      <c r="X40" s="30">
        <v>0</v>
      </c>
      <c r="Y40" s="30">
        <v>0</v>
      </c>
      <c r="Z40" s="30">
        <v>0</v>
      </c>
      <c r="AA40" s="30">
        <v>254.53679179037999</v>
      </c>
      <c r="AB40" s="30">
        <v>0</v>
      </c>
      <c r="AC40" s="30">
        <v>0</v>
      </c>
      <c r="AD40" s="30">
        <v>0</v>
      </c>
      <c r="AE40" s="30">
        <v>-2.6850656189141899</v>
      </c>
      <c r="AF40" s="30">
        <v>0</v>
      </c>
    </row>
    <row r="41" spans="1:32" ht="11.25" customHeight="1" x14ac:dyDescent="0.25">
      <c r="A41" s="136" t="s">
        <v>44</v>
      </c>
      <c r="B41" s="136" t="s">
        <v>72</v>
      </c>
      <c r="C41" s="136" t="s">
        <v>45</v>
      </c>
      <c r="D41" s="87" t="s">
        <v>46</v>
      </c>
      <c r="E41" s="87" t="s">
        <v>25</v>
      </c>
      <c r="F41" s="87" t="s">
        <v>25</v>
      </c>
      <c r="G41" s="32" t="s">
        <v>73</v>
      </c>
      <c r="H41" s="32" t="s">
        <v>69</v>
      </c>
      <c r="I41" s="32">
        <f>'MERCADO TE'!$U$38</f>
        <v>1518.0680000000002</v>
      </c>
      <c r="J41" s="17"/>
      <c r="L41" s="30">
        <f>('TE BE'!$L$41+'TE BF'!$L$41+'TE CVA'!$L$41)*1</f>
        <v>0</v>
      </c>
      <c r="M41" s="30">
        <f>('TE BE'!$M$41+'TE BF'!$M$41+'TE CVA'!$M$41)*1</f>
        <v>0</v>
      </c>
      <c r="N41" s="30">
        <f>('TE BE'!$N$41+'TE BF'!$N$41+'TE CVA'!$N$41)*1</f>
        <v>0</v>
      </c>
      <c r="O41" s="30">
        <f>('TE BE'!$O$41+'TE BF'!$O$41+'TE CVA'!$O$41)*1</f>
        <v>0</v>
      </c>
      <c r="P41" s="30">
        <f>('TE BE'!$Q$41+'TE BF'!$Q$41+'TE CVA'!$Q$41)*1</f>
        <v>139.60830023197414</v>
      </c>
      <c r="Q41" s="30">
        <f>('TE BE'!$S$41+'TE BF'!$S$41+'TE CVA'!$S$41)*1</f>
        <v>0</v>
      </c>
      <c r="R41" s="30">
        <f>('TE BE'!$T$41+'TE BF'!$T$41+'TE CVA'!$T$41)*1</f>
        <v>0</v>
      </c>
      <c r="S41" s="30">
        <f>('TE BE'!$U$41+'TE BF'!$U$41+'TE CVA'!$U$41)*1</f>
        <v>0</v>
      </c>
      <c r="T41" s="30">
        <f>('TE BE'!$W$41+'TE BF'!$W$41+'TE CVA'!$W$41)*1</f>
        <v>1.5723904346219526</v>
      </c>
      <c r="U41" s="30">
        <f>('TE BE'!$Y$41+'TE BF'!$Y$41+'TE CVA'!$Y$41)*1</f>
        <v>0</v>
      </c>
      <c r="W41" s="30">
        <v>0</v>
      </c>
      <c r="X41" s="30">
        <v>0</v>
      </c>
      <c r="Y41" s="30">
        <v>0</v>
      </c>
      <c r="Z41" s="30">
        <v>0</v>
      </c>
      <c r="AA41" s="30">
        <v>139.99523548470901</v>
      </c>
      <c r="AB41" s="30">
        <v>0</v>
      </c>
      <c r="AC41" s="30">
        <v>0</v>
      </c>
      <c r="AD41" s="30">
        <v>0</v>
      </c>
      <c r="AE41" s="30">
        <v>-1.4767860904028101</v>
      </c>
      <c r="AF41" s="30">
        <v>0</v>
      </c>
    </row>
    <row r="42" spans="1:32" ht="11.25" customHeight="1" x14ac:dyDescent="0.25">
      <c r="A42" s="136"/>
      <c r="B42" s="136"/>
      <c r="C42" s="136"/>
      <c r="D42" s="32" t="s">
        <v>88</v>
      </c>
      <c r="E42" s="32" t="s">
        <v>25</v>
      </c>
      <c r="F42" s="32" t="s">
        <v>25</v>
      </c>
      <c r="G42" s="32" t="s">
        <v>73</v>
      </c>
      <c r="H42" s="32" t="s">
        <v>69</v>
      </c>
      <c r="I42" s="32">
        <f>'MERCADO TE'!$U$39</f>
        <v>0</v>
      </c>
      <c r="J42" s="17"/>
      <c r="L42" s="30">
        <f>('TE BE'!$L$42+'TE BF'!$L$42+'TE CVA'!$L$42)*1</f>
        <v>0</v>
      </c>
      <c r="M42" s="30">
        <f>('TE BE'!$M$42+'TE BF'!$M$42+'TE CVA'!$M$42)*1</f>
        <v>0</v>
      </c>
      <c r="N42" s="30">
        <f>('TE BE'!$N$42+'TE BF'!$N$42+'TE CVA'!$N$42)*1</f>
        <v>0</v>
      </c>
      <c r="O42" s="30">
        <f>('TE BE'!$O$42+'TE BF'!$O$42+'TE CVA'!$O$42)*1</f>
        <v>0</v>
      </c>
      <c r="P42" s="30">
        <f>('TE BE'!$Q$42+'TE BF'!$Q$42+'TE CVA'!$Q$42)*1</f>
        <v>152.29996388942632</v>
      </c>
      <c r="Q42" s="30">
        <f>('TE BE'!$S$42+'TE BF'!$S$42+'TE CVA'!$S$42)*1</f>
        <v>0</v>
      </c>
      <c r="R42" s="30">
        <f>('TE BE'!$T$42+'TE BF'!$T$42+'TE CVA'!$T$42)*1</f>
        <v>0</v>
      </c>
      <c r="S42" s="30">
        <f>('TE BE'!$U$42+'TE BF'!$U$42+'TE CVA'!$U$42)*1</f>
        <v>0</v>
      </c>
      <c r="T42" s="30">
        <f>('TE BE'!$W$42+'TE BF'!$W$42+'TE CVA'!$W$42)*1</f>
        <v>1.7153350195875847</v>
      </c>
      <c r="U42" s="30">
        <f>('TE BE'!$Y$42+'TE BF'!$Y$42+'TE CVA'!$Y$42)*1</f>
        <v>0</v>
      </c>
      <c r="W42" s="30">
        <v>0</v>
      </c>
      <c r="X42" s="30">
        <v>0</v>
      </c>
      <c r="Y42" s="30">
        <v>0</v>
      </c>
      <c r="Z42" s="30">
        <v>0</v>
      </c>
      <c r="AA42" s="30">
        <v>152.722075074228</v>
      </c>
      <c r="AB42" s="30">
        <v>0</v>
      </c>
      <c r="AC42" s="30">
        <v>0</v>
      </c>
      <c r="AD42" s="30">
        <v>0</v>
      </c>
      <c r="AE42" s="30">
        <v>-1.61103937134852</v>
      </c>
      <c r="AF42" s="30">
        <v>0</v>
      </c>
    </row>
    <row r="44" spans="1:32" ht="11.25" customHeight="1" x14ac:dyDescent="0.25">
      <c r="L44" s="138" t="s">
        <v>977</v>
      </c>
      <c r="M44" s="138"/>
      <c r="N44" s="138"/>
      <c r="O44" s="138"/>
      <c r="P44" s="138"/>
      <c r="Q44" s="138"/>
      <c r="R44" s="138"/>
      <c r="S44" s="138"/>
      <c r="T44" s="138"/>
      <c r="U44" s="138"/>
      <c r="W44" s="138" t="s">
        <v>978</v>
      </c>
      <c r="X44" s="138"/>
      <c r="Y44" s="138"/>
      <c r="Z44" s="138"/>
      <c r="AA44" s="138"/>
      <c r="AB44" s="138"/>
      <c r="AC44" s="138"/>
      <c r="AD44" s="138"/>
      <c r="AE44" s="138"/>
      <c r="AF44" s="138"/>
    </row>
    <row r="45" spans="1:32" ht="11.25" customHeight="1" x14ac:dyDescent="0.25">
      <c r="L45" s="138" t="s">
        <v>536</v>
      </c>
      <c r="M45" s="138"/>
      <c r="N45" s="138"/>
      <c r="O45" s="138"/>
      <c r="P45" s="138"/>
      <c r="Q45" s="138"/>
      <c r="R45" s="138"/>
      <c r="S45" s="138"/>
      <c r="T45" s="138"/>
      <c r="U45" s="138"/>
      <c r="W45" s="138" t="s">
        <v>536</v>
      </c>
      <c r="X45" s="138"/>
      <c r="Y45" s="138"/>
      <c r="Z45" s="138"/>
      <c r="AA45" s="138"/>
      <c r="AB45" s="138"/>
      <c r="AC45" s="138"/>
      <c r="AD45" s="138"/>
      <c r="AE45" s="138"/>
      <c r="AF45" s="138"/>
    </row>
    <row r="46" spans="1:32" ht="11.25" customHeight="1" x14ac:dyDescent="0.25">
      <c r="L46" s="138" t="s">
        <v>509</v>
      </c>
      <c r="M46" s="138"/>
      <c r="N46" s="138"/>
      <c r="O46" s="138"/>
      <c r="P46" s="88" t="s">
        <v>539</v>
      </c>
      <c r="Q46" s="138" t="s">
        <v>518</v>
      </c>
      <c r="R46" s="138"/>
      <c r="S46" s="138"/>
      <c r="T46" s="88" t="s">
        <v>528</v>
      </c>
      <c r="U46" s="88" t="s">
        <v>531</v>
      </c>
      <c r="W46" s="138" t="s">
        <v>509</v>
      </c>
      <c r="X46" s="138"/>
      <c r="Y46" s="138"/>
      <c r="Z46" s="138"/>
      <c r="AA46" s="88" t="s">
        <v>539</v>
      </c>
      <c r="AB46" s="138" t="s">
        <v>518</v>
      </c>
      <c r="AC46" s="138"/>
      <c r="AD46" s="138"/>
      <c r="AE46" s="88" t="s">
        <v>528</v>
      </c>
      <c r="AF46" s="88" t="s">
        <v>531</v>
      </c>
    </row>
    <row r="47" spans="1:32" ht="11.25" customHeight="1" x14ac:dyDescent="0.25">
      <c r="L47" s="88" t="s">
        <v>511</v>
      </c>
      <c r="M47" s="88" t="s">
        <v>537</v>
      </c>
      <c r="N47" s="88" t="s">
        <v>538</v>
      </c>
      <c r="O47" s="88" t="s">
        <v>596</v>
      </c>
      <c r="P47" s="88" t="s">
        <v>540</v>
      </c>
      <c r="Q47" s="88" t="s">
        <v>541</v>
      </c>
      <c r="R47" s="88" t="s">
        <v>542</v>
      </c>
      <c r="S47" s="88" t="s">
        <v>543</v>
      </c>
      <c r="T47" s="88" t="s">
        <v>529</v>
      </c>
      <c r="U47" s="88" t="s">
        <v>544</v>
      </c>
      <c r="W47" s="88" t="s">
        <v>511</v>
      </c>
      <c r="X47" s="88" t="s">
        <v>537</v>
      </c>
      <c r="Y47" s="88" t="s">
        <v>538</v>
      </c>
      <c r="Z47" s="88" t="s">
        <v>596</v>
      </c>
      <c r="AA47" s="88" t="s">
        <v>540</v>
      </c>
      <c r="AB47" s="88" t="s">
        <v>541</v>
      </c>
      <c r="AC47" s="88" t="s">
        <v>542</v>
      </c>
      <c r="AD47" s="88" t="s">
        <v>543</v>
      </c>
      <c r="AE47" s="88" t="s">
        <v>529</v>
      </c>
      <c r="AF47" s="88" t="s">
        <v>544</v>
      </c>
    </row>
    <row r="48" spans="1:32" ht="11.25" customHeight="1" x14ac:dyDescent="0.25">
      <c r="A48" s="9" t="s">
        <v>34</v>
      </c>
      <c r="B48" s="9" t="s">
        <v>979</v>
      </c>
      <c r="C48" s="9" t="s">
        <v>980</v>
      </c>
      <c r="D48" s="9" t="s">
        <v>981</v>
      </c>
      <c r="E48" s="9" t="s">
        <v>982</v>
      </c>
      <c r="F48" s="9" t="s">
        <v>983</v>
      </c>
      <c r="G48" s="9" t="s">
        <v>984</v>
      </c>
      <c r="L48" s="30">
        <f>$I$5*$L$5</f>
        <v>0</v>
      </c>
      <c r="M48" s="30">
        <f>$I$5*$M$5</f>
        <v>0</v>
      </c>
      <c r="N48" s="30">
        <f>$I$5*$N$5</f>
        <v>0</v>
      </c>
      <c r="O48" s="30">
        <f>$I$5*$O$5</f>
        <v>0</v>
      </c>
      <c r="P48" s="30">
        <f>$I$5*$P$5</f>
        <v>581.78586205760848</v>
      </c>
      <c r="Q48" s="30">
        <f>$I$5*$Q$5</f>
        <v>0</v>
      </c>
      <c r="R48" s="30">
        <f>$I$5*$R$5</f>
        <v>0</v>
      </c>
      <c r="S48" s="30">
        <f>$I$5*$S$5</f>
        <v>0</v>
      </c>
      <c r="T48" s="30">
        <f>$I$5*$T$5</f>
        <v>6.5525797748245722</v>
      </c>
      <c r="U48" s="30">
        <f>$I$5*$U$5</f>
        <v>0</v>
      </c>
      <c r="W48" s="30">
        <f>$I$5*$W$5</f>
        <v>0</v>
      </c>
      <c r="X48" s="30">
        <f>$I$5*$X$5</f>
        <v>0</v>
      </c>
      <c r="Y48" s="30">
        <f>$I$5*$Y$5</f>
        <v>0</v>
      </c>
      <c r="Z48" s="30">
        <f>$I$5*$Z$5</f>
        <v>0</v>
      </c>
      <c r="AA48" s="30">
        <f>$I$5*$AA$5</f>
        <v>583.39832678355094</v>
      </c>
      <c r="AB48" s="30">
        <f>$I$5*$AB$5</f>
        <v>0</v>
      </c>
      <c r="AC48" s="30">
        <f>$I$5*$AC$5</f>
        <v>0</v>
      </c>
      <c r="AD48" s="30">
        <f>$I$5*$AD$5</f>
        <v>0</v>
      </c>
      <c r="AE48" s="30">
        <f>$I$5*$AE$5</f>
        <v>-6.1541703985513232</v>
      </c>
      <c r="AF48" s="30">
        <f>$I$5*$AF$5</f>
        <v>0</v>
      </c>
    </row>
    <row r="49" spans="1:32" ht="11.25" customHeight="1" x14ac:dyDescent="0.25">
      <c r="A49" s="9" t="s">
        <v>34</v>
      </c>
      <c r="B49" s="9" t="s">
        <v>979</v>
      </c>
      <c r="C49" s="9" t="s">
        <v>980</v>
      </c>
      <c r="D49" s="9" t="s">
        <v>981</v>
      </c>
      <c r="E49" s="9" t="s">
        <v>982</v>
      </c>
      <c r="F49" s="9" t="s">
        <v>983</v>
      </c>
      <c r="G49" s="9" t="s">
        <v>985</v>
      </c>
      <c r="L49" s="30">
        <f>$I$6*$L$6</f>
        <v>0</v>
      </c>
      <c r="M49" s="30">
        <f>$I$6*$M$6</f>
        <v>0</v>
      </c>
      <c r="N49" s="30">
        <f>$I$6*$N$6</f>
        <v>0</v>
      </c>
      <c r="O49" s="30">
        <f>$I$6*$O$6</f>
        <v>0</v>
      </c>
      <c r="P49" s="30">
        <f>$I$6*$P$6</f>
        <v>78821.830977880003</v>
      </c>
      <c r="Q49" s="30">
        <f>$I$6*$Q$6</f>
        <v>0</v>
      </c>
      <c r="R49" s="30">
        <f>$I$6*$R$6</f>
        <v>0</v>
      </c>
      <c r="S49" s="30">
        <f>$I$6*$S$6</f>
        <v>0</v>
      </c>
      <c r="T49" s="30">
        <f>$I$6*$T$6</f>
        <v>887.76020382075717</v>
      </c>
      <c r="U49" s="30">
        <f>$I$6*$U$6</f>
        <v>0</v>
      </c>
      <c r="W49" s="30">
        <f>$I$6*$W$6</f>
        <v>0</v>
      </c>
      <c r="X49" s="30">
        <f>$I$6*$X$6</f>
        <v>0</v>
      </c>
      <c r="Y49" s="30">
        <f>$I$6*$Y$6</f>
        <v>0</v>
      </c>
      <c r="Z49" s="30">
        <f>$I$6*$Z$6</f>
        <v>0</v>
      </c>
      <c r="AA49" s="30">
        <f>$I$6*$AA$6</f>
        <v>79040.29180749954</v>
      </c>
      <c r="AB49" s="30">
        <f>$I$6*$AB$6</f>
        <v>0</v>
      </c>
      <c r="AC49" s="30">
        <f>$I$6*$AC$6</f>
        <v>0</v>
      </c>
      <c r="AD49" s="30">
        <f>$I$6*$AD$6</f>
        <v>0</v>
      </c>
      <c r="AE49" s="30">
        <f>$I$6*$AE$6</f>
        <v>-833.7826863789478</v>
      </c>
      <c r="AF49" s="30">
        <f>$I$6*$AF$6</f>
        <v>0</v>
      </c>
    </row>
    <row r="50" spans="1:32" ht="11.25" customHeight="1" x14ac:dyDescent="0.25">
      <c r="A50" s="9" t="s">
        <v>34</v>
      </c>
      <c r="B50" s="9" t="s">
        <v>986</v>
      </c>
      <c r="C50" s="9" t="s">
        <v>987</v>
      </c>
      <c r="D50" s="9" t="s">
        <v>988</v>
      </c>
      <c r="E50" s="9" t="s">
        <v>989</v>
      </c>
      <c r="F50" s="9" t="s">
        <v>990</v>
      </c>
      <c r="G50" s="9" t="s">
        <v>991</v>
      </c>
      <c r="L50" s="30">
        <f>$I$7*$L$7</f>
        <v>0</v>
      </c>
      <c r="M50" s="30">
        <f>$I$7*$M$7</f>
        <v>0</v>
      </c>
      <c r="N50" s="30">
        <f>$I$7*$N$7</f>
        <v>0</v>
      </c>
      <c r="O50" s="30">
        <f>$I$7*$O$7</f>
        <v>0</v>
      </c>
      <c r="P50" s="30">
        <f>$I$7*$P$7</f>
        <v>0</v>
      </c>
      <c r="Q50" s="30">
        <f>$I$7*$Q$7</f>
        <v>0</v>
      </c>
      <c r="R50" s="30">
        <f>$I$7*$R$7</f>
        <v>0</v>
      </c>
      <c r="S50" s="30">
        <f>$I$7*$S$7</f>
        <v>0</v>
      </c>
      <c r="T50" s="30">
        <f>$I$7*$T$7</f>
        <v>0</v>
      </c>
      <c r="U50" s="30">
        <f>$I$7*$U$7</f>
        <v>0</v>
      </c>
      <c r="W50" s="30">
        <f>$I$7*$W$7</f>
        <v>0</v>
      </c>
      <c r="X50" s="30">
        <f>$I$7*$X$7</f>
        <v>0</v>
      </c>
      <c r="Y50" s="30">
        <f>$I$7*$Y$7</f>
        <v>0</v>
      </c>
      <c r="Z50" s="30">
        <f>$I$7*$Z$7</f>
        <v>0</v>
      </c>
      <c r="AA50" s="30">
        <f>$I$7*$AA$7</f>
        <v>0</v>
      </c>
      <c r="AB50" s="30">
        <f>$I$7*$AB$7</f>
        <v>0</v>
      </c>
      <c r="AC50" s="30">
        <f>$I$7*$AC$7</f>
        <v>0</v>
      </c>
      <c r="AD50" s="30">
        <f>$I$7*$AD$7</f>
        <v>0</v>
      </c>
      <c r="AE50" s="30">
        <f>$I$7*$AE$7</f>
        <v>0</v>
      </c>
      <c r="AF50" s="30">
        <f>$I$7*$AF$7</f>
        <v>0</v>
      </c>
    </row>
    <row r="51" spans="1:32" ht="11.25" customHeight="1" x14ac:dyDescent="0.25">
      <c r="A51" s="9" t="s">
        <v>22</v>
      </c>
      <c r="B51" s="9" t="s">
        <v>992</v>
      </c>
      <c r="C51" s="9" t="s">
        <v>993</v>
      </c>
      <c r="D51" s="9" t="s">
        <v>994</v>
      </c>
      <c r="E51" s="9" t="s">
        <v>995</v>
      </c>
      <c r="F51" s="9" t="s">
        <v>996</v>
      </c>
      <c r="G51" s="9" t="s">
        <v>997</v>
      </c>
      <c r="L51" s="30">
        <f>$I$8*$L$8</f>
        <v>0</v>
      </c>
      <c r="M51" s="30">
        <f>$I$8*$M$8</f>
        <v>0</v>
      </c>
      <c r="N51" s="30">
        <f>$I$8*$N$8</f>
        <v>0</v>
      </c>
      <c r="O51" s="30">
        <f>$I$8*$O$8</f>
        <v>0</v>
      </c>
      <c r="P51" s="30">
        <f>$I$8*$P$8</f>
        <v>0</v>
      </c>
      <c r="Q51" s="30">
        <f>$I$8*$Q$8</f>
        <v>0</v>
      </c>
      <c r="R51" s="30">
        <f>$I$8*$R$8</f>
        <v>0</v>
      </c>
      <c r="S51" s="30">
        <f>$I$8*$S$8</f>
        <v>0</v>
      </c>
      <c r="T51" s="30">
        <f>$I$8*$T$8</f>
        <v>0</v>
      </c>
      <c r="U51" s="30">
        <f>$I$8*$U$8</f>
        <v>0</v>
      </c>
      <c r="W51" s="30">
        <f>$I$8*$W$8</f>
        <v>0</v>
      </c>
      <c r="X51" s="30">
        <f>$I$8*$X$8</f>
        <v>0</v>
      </c>
      <c r="Y51" s="30">
        <f>$I$8*$Y$8</f>
        <v>0</v>
      </c>
      <c r="Z51" s="30">
        <f>$I$8*$Z$8</f>
        <v>0</v>
      </c>
      <c r="AA51" s="30">
        <f>$I$8*$AA$8</f>
        <v>0</v>
      </c>
      <c r="AB51" s="30">
        <f>$I$8*$AB$8</f>
        <v>0</v>
      </c>
      <c r="AC51" s="30">
        <f>$I$8*$AC$8</f>
        <v>0</v>
      </c>
      <c r="AD51" s="30">
        <f>$I$8*$AD$8</f>
        <v>0</v>
      </c>
      <c r="AE51" s="30">
        <f>$I$8*$AE$8</f>
        <v>0</v>
      </c>
      <c r="AF51" s="30">
        <f>$I$8*$AF$8</f>
        <v>0</v>
      </c>
    </row>
    <row r="52" spans="1:32" ht="11.25" customHeight="1" x14ac:dyDescent="0.25">
      <c r="A52" s="9" t="s">
        <v>22</v>
      </c>
      <c r="B52" s="9" t="s">
        <v>992</v>
      </c>
      <c r="C52" s="9" t="s">
        <v>993</v>
      </c>
      <c r="D52" s="9" t="s">
        <v>994</v>
      </c>
      <c r="E52" s="9" t="s">
        <v>995</v>
      </c>
      <c r="F52" s="9" t="s">
        <v>996</v>
      </c>
      <c r="G52" s="9" t="s">
        <v>998</v>
      </c>
      <c r="L52" s="30">
        <f>$I$9*$L$9</f>
        <v>0</v>
      </c>
      <c r="M52" s="30">
        <f>$I$9*$M$9</f>
        <v>0</v>
      </c>
      <c r="N52" s="30">
        <f>$I$9*$N$9</f>
        <v>0</v>
      </c>
      <c r="O52" s="30">
        <f>$I$9*$O$9</f>
        <v>0</v>
      </c>
      <c r="P52" s="30">
        <f>$I$9*$P$9</f>
        <v>1.2691663657452192</v>
      </c>
      <c r="Q52" s="30">
        <f>$I$9*$Q$9</f>
        <v>0</v>
      </c>
      <c r="R52" s="30">
        <f>$I$9*$R$9</f>
        <v>0</v>
      </c>
      <c r="S52" s="30">
        <f>$I$9*$S$9</f>
        <v>0</v>
      </c>
      <c r="T52" s="30">
        <f>$I$9*$T$9</f>
        <v>1.4294458496563205E-2</v>
      </c>
      <c r="U52" s="30">
        <f>$I$9*$U$9</f>
        <v>0</v>
      </c>
      <c r="W52" s="30">
        <f>$I$9*$W$9</f>
        <v>0</v>
      </c>
      <c r="X52" s="30">
        <f>$I$9*$X$9</f>
        <v>0</v>
      </c>
      <c r="Y52" s="30">
        <f>$I$9*$Y$9</f>
        <v>0</v>
      </c>
      <c r="Z52" s="30">
        <f>$I$9*$Z$9</f>
        <v>0</v>
      </c>
      <c r="AA52" s="30">
        <f>$I$9*$AA$9</f>
        <v>1.2726839589518999</v>
      </c>
      <c r="AB52" s="30">
        <f>$I$9*$AB$9</f>
        <v>0</v>
      </c>
      <c r="AC52" s="30">
        <f>$I$9*$AC$9</f>
        <v>0</v>
      </c>
      <c r="AD52" s="30">
        <f>$I$9*$AD$9</f>
        <v>0</v>
      </c>
      <c r="AE52" s="30">
        <f>$I$9*$AE$9</f>
        <v>-1.342532809457095E-2</v>
      </c>
      <c r="AF52" s="30">
        <f>$I$9*$AF$9</f>
        <v>0</v>
      </c>
    </row>
    <row r="53" spans="1:32" ht="11.25" customHeight="1" x14ac:dyDescent="0.25">
      <c r="A53" s="9" t="s">
        <v>22</v>
      </c>
      <c r="B53" s="9" t="s">
        <v>992</v>
      </c>
      <c r="C53" s="9" t="s">
        <v>993</v>
      </c>
      <c r="D53" s="9" t="s">
        <v>994</v>
      </c>
      <c r="E53" s="9" t="s">
        <v>995</v>
      </c>
      <c r="F53" s="9" t="s">
        <v>996</v>
      </c>
      <c r="G53" s="9" t="s">
        <v>999</v>
      </c>
      <c r="L53" s="30">
        <f>$I$10*$L$10</f>
        <v>0</v>
      </c>
      <c r="M53" s="30">
        <f>$I$10*$M$10</f>
        <v>0</v>
      </c>
      <c r="N53" s="30">
        <f>$I$10*$N$10</f>
        <v>0</v>
      </c>
      <c r="O53" s="30">
        <f>$I$10*$O$10</f>
        <v>0</v>
      </c>
      <c r="P53" s="30">
        <f>$I$10*$P$10</f>
        <v>245.2029418619764</v>
      </c>
      <c r="Q53" s="30">
        <f>$I$10*$Q$10</f>
        <v>0</v>
      </c>
      <c r="R53" s="30">
        <f>$I$10*$R$10</f>
        <v>0</v>
      </c>
      <c r="S53" s="30">
        <f>$I$10*$S$10</f>
        <v>0</v>
      </c>
      <c r="T53" s="30">
        <f>$I$10*$T$10</f>
        <v>2.7616893815360113</v>
      </c>
      <c r="U53" s="30">
        <f>$I$10*$U$10</f>
        <v>0</v>
      </c>
      <c r="W53" s="30">
        <f>$I$10*$W$10</f>
        <v>0</v>
      </c>
      <c r="X53" s="30">
        <f>$I$10*$X$10</f>
        <v>0</v>
      </c>
      <c r="Y53" s="30">
        <f>$I$10*$Y$10</f>
        <v>0</v>
      </c>
      <c r="Z53" s="30">
        <f>$I$10*$Z$10</f>
        <v>0</v>
      </c>
      <c r="AA53" s="30">
        <f>$I$10*$AA$10</f>
        <v>245.8825408695071</v>
      </c>
      <c r="AB53" s="30">
        <f>$I$10*$AB$10</f>
        <v>0</v>
      </c>
      <c r="AC53" s="30">
        <f>$I$10*$AC$10</f>
        <v>0</v>
      </c>
      <c r="AD53" s="30">
        <f>$I$10*$AD$10</f>
        <v>0</v>
      </c>
      <c r="AE53" s="30">
        <f>$I$10*$AE$10</f>
        <v>-2.5937733878711078</v>
      </c>
      <c r="AF53" s="30">
        <f>$I$10*$AF$10</f>
        <v>0</v>
      </c>
    </row>
    <row r="54" spans="1:32" ht="11.25" customHeight="1" x14ac:dyDescent="0.25">
      <c r="A54" s="9" t="s">
        <v>22</v>
      </c>
      <c r="B54" s="9" t="s">
        <v>1000</v>
      </c>
      <c r="C54" s="9" t="s">
        <v>1001</v>
      </c>
      <c r="D54" s="9" t="s">
        <v>1002</v>
      </c>
      <c r="E54" s="9" t="s">
        <v>1003</v>
      </c>
      <c r="F54" s="9" t="s">
        <v>1004</v>
      </c>
      <c r="G54" s="9" t="s">
        <v>1005</v>
      </c>
      <c r="L54" s="30">
        <f>$I$11*$L$11</f>
        <v>0</v>
      </c>
      <c r="M54" s="30">
        <f>$I$11*$M$11</f>
        <v>0</v>
      </c>
      <c r="N54" s="30">
        <f>$I$11*$N$11</f>
        <v>0</v>
      </c>
      <c r="O54" s="30">
        <f>$I$11*$O$11</f>
        <v>0</v>
      </c>
      <c r="P54" s="30">
        <f>$I$11*$P$11</f>
        <v>639830.17046187364</v>
      </c>
      <c r="Q54" s="30">
        <f>$I$11*$Q$11</f>
        <v>0</v>
      </c>
      <c r="R54" s="30">
        <f>$I$11*$R$11</f>
        <v>0</v>
      </c>
      <c r="S54" s="30">
        <f>$I$11*$S$11</f>
        <v>0</v>
      </c>
      <c r="T54" s="30">
        <f>$I$11*$T$11</f>
        <v>7206.3253985980946</v>
      </c>
      <c r="U54" s="30">
        <f>$I$11*$U$11</f>
        <v>0</v>
      </c>
      <c r="W54" s="30">
        <f>$I$11*$W$11</f>
        <v>0</v>
      </c>
      <c r="X54" s="30">
        <f>$I$11*$X$11</f>
        <v>0</v>
      </c>
      <c r="Y54" s="30">
        <f>$I$11*$Y$11</f>
        <v>0</v>
      </c>
      <c r="Z54" s="30">
        <f>$I$11*$Z$11</f>
        <v>0</v>
      </c>
      <c r="AA54" s="30">
        <f>$I$11*$AA$11</f>
        <v>641603.50949904905</v>
      </c>
      <c r="AB54" s="30">
        <f>$I$11*$AB$11</f>
        <v>0</v>
      </c>
      <c r="AC54" s="30">
        <f>$I$11*$AC$11</f>
        <v>0</v>
      </c>
      <c r="AD54" s="30">
        <f>$I$11*$AD$11</f>
        <v>0</v>
      </c>
      <c r="AE54" s="30">
        <f>$I$11*$AE$11</f>
        <v>-6768.1670386940505</v>
      </c>
      <c r="AF54" s="30">
        <f>$I$11*$AF$11</f>
        <v>0</v>
      </c>
    </row>
    <row r="55" spans="1:32" ht="11.25" customHeight="1" x14ac:dyDescent="0.25">
      <c r="A55" s="9" t="s">
        <v>22</v>
      </c>
      <c r="B55" s="9" t="s">
        <v>1000</v>
      </c>
      <c r="C55" s="9" t="s">
        <v>1001</v>
      </c>
      <c r="D55" s="9" t="s">
        <v>1006</v>
      </c>
      <c r="E55" s="9" t="s">
        <v>1007</v>
      </c>
      <c r="F55" s="9" t="s">
        <v>1008</v>
      </c>
      <c r="G55" s="9" t="s">
        <v>1009</v>
      </c>
      <c r="L55" s="30">
        <f>$I$12*$L$12</f>
        <v>0</v>
      </c>
      <c r="M55" s="30">
        <f>$I$12*$M$12</f>
        <v>0</v>
      </c>
      <c r="N55" s="30">
        <f>$I$12*$N$12</f>
        <v>0</v>
      </c>
      <c r="O55" s="30">
        <f>$I$12*$O$12</f>
        <v>0</v>
      </c>
      <c r="P55" s="30">
        <f>$I$12*$P$12</f>
        <v>69488.381524189637</v>
      </c>
      <c r="Q55" s="30">
        <f>$I$12*$Q$12</f>
        <v>0</v>
      </c>
      <c r="R55" s="30">
        <f>$I$12*$R$12</f>
        <v>0</v>
      </c>
      <c r="S55" s="30">
        <f>$I$12*$S$12</f>
        <v>0</v>
      </c>
      <c r="T55" s="30">
        <f>$I$12*$T$12</f>
        <v>782.63875603703138</v>
      </c>
      <c r="U55" s="30">
        <f>$I$12*$U$12</f>
        <v>0</v>
      </c>
      <c r="W55" s="30">
        <f>$I$12*$W$12</f>
        <v>0</v>
      </c>
      <c r="X55" s="30">
        <f>$I$12*$X$12</f>
        <v>0</v>
      </c>
      <c r="Y55" s="30">
        <f>$I$12*$Y$12</f>
        <v>0</v>
      </c>
      <c r="Z55" s="30">
        <f>$I$12*$Z$12</f>
        <v>0</v>
      </c>
      <c r="AA55" s="30">
        <f>$I$12*$AA$12</f>
        <v>69680.973973367261</v>
      </c>
      <c r="AB55" s="30">
        <f>$I$12*$AB$12</f>
        <v>0</v>
      </c>
      <c r="AC55" s="30">
        <f>$I$12*$AC$12</f>
        <v>0</v>
      </c>
      <c r="AD55" s="30">
        <f>$I$12*$AD$12</f>
        <v>0</v>
      </c>
      <c r="AE55" s="30">
        <f>$I$12*$AE$12</f>
        <v>-735.05282357147337</v>
      </c>
      <c r="AF55" s="30">
        <f>$I$12*$AF$12</f>
        <v>0</v>
      </c>
    </row>
    <row r="56" spans="1:32" ht="11.25" customHeight="1" x14ac:dyDescent="0.25">
      <c r="A56" s="9" t="s">
        <v>22</v>
      </c>
      <c r="B56" s="9" t="s">
        <v>1000</v>
      </c>
      <c r="C56" s="9" t="s">
        <v>1001</v>
      </c>
      <c r="D56" s="9" t="s">
        <v>1010</v>
      </c>
      <c r="E56" s="9" t="s">
        <v>1011</v>
      </c>
      <c r="F56" s="9" t="s">
        <v>1012</v>
      </c>
      <c r="G56" s="9" t="s">
        <v>1013</v>
      </c>
      <c r="L56" s="30">
        <f>$I$13*$L$13</f>
        <v>0</v>
      </c>
      <c r="M56" s="30">
        <f>$I$13*$M$13</f>
        <v>0</v>
      </c>
      <c r="N56" s="30">
        <f>$I$13*$N$13</f>
        <v>0</v>
      </c>
      <c r="O56" s="30">
        <f>$I$13*$O$13</f>
        <v>0</v>
      </c>
      <c r="P56" s="30">
        <f>$I$13*$P$13</f>
        <v>184946.37494890817</v>
      </c>
      <c r="Q56" s="30">
        <f>$I$13*$Q$13</f>
        <v>0</v>
      </c>
      <c r="R56" s="30">
        <f>$I$13*$R$13</f>
        <v>0</v>
      </c>
      <c r="S56" s="30">
        <f>$I$13*$S$13</f>
        <v>0</v>
      </c>
      <c r="T56" s="30">
        <f>$I$13*$T$13</f>
        <v>2083.0273730463005</v>
      </c>
      <c r="U56" s="30">
        <f>$I$13*$U$13</f>
        <v>0</v>
      </c>
      <c r="W56" s="30">
        <f>$I$13*$W$13</f>
        <v>0</v>
      </c>
      <c r="X56" s="30">
        <f>$I$13*$X$13</f>
        <v>0</v>
      </c>
      <c r="Y56" s="30">
        <f>$I$13*$Y$13</f>
        <v>0</v>
      </c>
      <c r="Z56" s="30">
        <f>$I$13*$Z$13</f>
        <v>0</v>
      </c>
      <c r="AA56" s="30">
        <f>$I$13*$AA$13</f>
        <v>185458.9681988392</v>
      </c>
      <c r="AB56" s="30">
        <f>$I$13*$AB$13</f>
        <v>0</v>
      </c>
      <c r="AC56" s="30">
        <f>$I$13*$AC$13</f>
        <v>0</v>
      </c>
      <c r="AD56" s="30">
        <f>$I$13*$AD$13</f>
        <v>0</v>
      </c>
      <c r="AE56" s="30">
        <f>$I$13*$AE$13</f>
        <v>-1956.375326833303</v>
      </c>
      <c r="AF56" s="30">
        <f>$I$13*$AF$13</f>
        <v>0</v>
      </c>
    </row>
    <row r="57" spans="1:32" ht="11.25" customHeight="1" x14ac:dyDescent="0.25">
      <c r="A57" s="9" t="s">
        <v>22</v>
      </c>
      <c r="B57" s="9" t="s">
        <v>1000</v>
      </c>
      <c r="C57" s="9" t="s">
        <v>1001</v>
      </c>
      <c r="D57" s="9" t="s">
        <v>1014</v>
      </c>
      <c r="E57" s="9" t="s">
        <v>1015</v>
      </c>
      <c r="F57" s="9" t="s">
        <v>1016</v>
      </c>
      <c r="G57" s="9" t="s">
        <v>1017</v>
      </c>
      <c r="L57" s="30">
        <f>$I$14*$L$14</f>
        <v>0</v>
      </c>
      <c r="M57" s="30">
        <f>$I$14*$M$14</f>
        <v>0</v>
      </c>
      <c r="N57" s="30">
        <f>$I$14*$N$14</f>
        <v>0</v>
      </c>
      <c r="O57" s="30">
        <f>$I$14*$O$14</f>
        <v>0</v>
      </c>
      <c r="P57" s="30">
        <f>$I$14*$P$14</f>
        <v>92268.648622950583</v>
      </c>
      <c r="Q57" s="30">
        <f>$I$14*$Q$14</f>
        <v>0</v>
      </c>
      <c r="R57" s="30">
        <f>$I$14*$R$14</f>
        <v>0</v>
      </c>
      <c r="S57" s="30">
        <f>$I$14*$S$14</f>
        <v>0</v>
      </c>
      <c r="T57" s="30">
        <f>$I$14*$T$14</f>
        <v>1039.2099915918443</v>
      </c>
      <c r="U57" s="30">
        <f>$I$14*$U$14</f>
        <v>0</v>
      </c>
      <c r="W57" s="30">
        <f>$I$14*$W$14</f>
        <v>0</v>
      </c>
      <c r="X57" s="30">
        <f>$I$14*$X$14</f>
        <v>0</v>
      </c>
      <c r="Y57" s="30">
        <f>$I$14*$Y$14</f>
        <v>0</v>
      </c>
      <c r="Z57" s="30">
        <f>$I$14*$Z$14</f>
        <v>0</v>
      </c>
      <c r="AA57" s="30">
        <f>$I$14*$AA$14</f>
        <v>92524.378352594911</v>
      </c>
      <c r="AB57" s="30">
        <f>$I$14*$AB$14</f>
        <v>0</v>
      </c>
      <c r="AC57" s="30">
        <f>$I$14*$AC$14</f>
        <v>0</v>
      </c>
      <c r="AD57" s="30">
        <f>$I$14*$AD$14</f>
        <v>0</v>
      </c>
      <c r="AE57" s="30">
        <f>$I$14*$AE$14</f>
        <v>-976.02403754092654</v>
      </c>
      <c r="AF57" s="30">
        <f>$I$14*$AF$14</f>
        <v>0</v>
      </c>
    </row>
    <row r="58" spans="1:32" ht="11.25" customHeight="1" x14ac:dyDescent="0.25">
      <c r="A58" s="9" t="s">
        <v>22</v>
      </c>
      <c r="B58" s="9" t="s">
        <v>1000</v>
      </c>
      <c r="C58" s="9" t="s">
        <v>1001</v>
      </c>
      <c r="D58" s="9" t="s">
        <v>1018</v>
      </c>
      <c r="E58" s="9" t="s">
        <v>1019</v>
      </c>
      <c r="F58" s="9" t="s">
        <v>1020</v>
      </c>
      <c r="G58" s="9" t="s">
        <v>1021</v>
      </c>
      <c r="L58" s="30">
        <f>$I$15*$L$15</f>
        <v>0</v>
      </c>
      <c r="M58" s="30">
        <f>$I$15*$M$15</f>
        <v>0</v>
      </c>
      <c r="N58" s="30">
        <f>$I$15*$N$15</f>
        <v>0</v>
      </c>
      <c r="O58" s="30">
        <f>$I$15*$O$15</f>
        <v>0</v>
      </c>
      <c r="P58" s="30">
        <f>$I$15*$P$15</f>
        <v>26368.961914542127</v>
      </c>
      <c r="Q58" s="30">
        <f>$I$15*$Q$15</f>
        <v>0</v>
      </c>
      <c r="R58" s="30">
        <f>$I$15*$R$15</f>
        <v>0</v>
      </c>
      <c r="S58" s="30">
        <f>$I$15*$S$15</f>
        <v>0</v>
      </c>
      <c r="T58" s="30">
        <f>$I$15*$T$15</f>
        <v>296.99024639969514</v>
      </c>
      <c r="U58" s="30">
        <f>$I$15*$U$15</f>
        <v>0</v>
      </c>
      <c r="W58" s="30">
        <f>$I$15*$W$15</f>
        <v>0</v>
      </c>
      <c r="X58" s="30">
        <f>$I$15*$X$15</f>
        <v>0</v>
      </c>
      <c r="Y58" s="30">
        <f>$I$15*$Y$15</f>
        <v>0</v>
      </c>
      <c r="Z58" s="30">
        <f>$I$15*$Z$15</f>
        <v>0</v>
      </c>
      <c r="AA58" s="30">
        <f>$I$15*$AA$15</f>
        <v>26442.045541560048</v>
      </c>
      <c r="AB58" s="30">
        <f>$I$15*$AB$15</f>
        <v>0</v>
      </c>
      <c r="AC58" s="30">
        <f>$I$15*$AC$15</f>
        <v>0</v>
      </c>
      <c r="AD58" s="30">
        <f>$I$15*$AD$15</f>
        <v>0</v>
      </c>
      <c r="AE58" s="30">
        <f>$I$15*$AE$15</f>
        <v>-278.93267168966281</v>
      </c>
      <c r="AF58" s="30">
        <f>$I$15*$AF$15</f>
        <v>0</v>
      </c>
    </row>
    <row r="59" spans="1:32" ht="11.25" customHeight="1" x14ac:dyDescent="0.25">
      <c r="A59" s="9" t="s">
        <v>22</v>
      </c>
      <c r="B59" s="9" t="s">
        <v>1022</v>
      </c>
      <c r="C59" s="9" t="s">
        <v>1023</v>
      </c>
      <c r="D59" s="9" t="s">
        <v>1024</v>
      </c>
      <c r="E59" s="9" t="s">
        <v>1025</v>
      </c>
      <c r="F59" s="9" t="s">
        <v>1026</v>
      </c>
      <c r="G59" s="9" t="s">
        <v>1027</v>
      </c>
      <c r="L59" s="30">
        <f>$I$16*$L$16</f>
        <v>0</v>
      </c>
      <c r="M59" s="30">
        <f>$I$16*$M$16</f>
        <v>0</v>
      </c>
      <c r="N59" s="30">
        <f>$I$16*$N$16</f>
        <v>0</v>
      </c>
      <c r="O59" s="30">
        <f>$I$16*$O$16</f>
        <v>0</v>
      </c>
      <c r="P59" s="30">
        <f>$I$16*$P$16</f>
        <v>0</v>
      </c>
      <c r="Q59" s="30">
        <f>$I$16*$Q$16</f>
        <v>0</v>
      </c>
      <c r="R59" s="30">
        <f>$I$16*$R$16</f>
        <v>0</v>
      </c>
      <c r="S59" s="30">
        <f>$I$16*$S$16</f>
        <v>0</v>
      </c>
      <c r="T59" s="30">
        <f>$I$16*$T$16</f>
        <v>0</v>
      </c>
      <c r="U59" s="30">
        <f>$I$16*$U$16</f>
        <v>0</v>
      </c>
      <c r="W59" s="30">
        <f>$I$16*$W$16</f>
        <v>0</v>
      </c>
      <c r="X59" s="30">
        <f>$I$16*$X$16</f>
        <v>0</v>
      </c>
      <c r="Y59" s="30">
        <f>$I$16*$Y$16</f>
        <v>0</v>
      </c>
      <c r="Z59" s="30">
        <f>$I$16*$Z$16</f>
        <v>0</v>
      </c>
      <c r="AA59" s="30">
        <f>$I$16*$AA$16</f>
        <v>0</v>
      </c>
      <c r="AB59" s="30">
        <f>$I$16*$AB$16</f>
        <v>0</v>
      </c>
      <c r="AC59" s="30">
        <f>$I$16*$AC$16</f>
        <v>0</v>
      </c>
      <c r="AD59" s="30">
        <f>$I$16*$AD$16</f>
        <v>0</v>
      </c>
      <c r="AE59" s="30">
        <f>$I$16*$AE$16</f>
        <v>0</v>
      </c>
      <c r="AF59" s="30">
        <f>$I$16*$AF$16</f>
        <v>0</v>
      </c>
    </row>
    <row r="60" spans="1:32" ht="11.25" customHeight="1" x14ac:dyDescent="0.25">
      <c r="A60" s="9" t="s">
        <v>22</v>
      </c>
      <c r="B60" s="9" t="s">
        <v>1022</v>
      </c>
      <c r="C60" s="9" t="s">
        <v>1023</v>
      </c>
      <c r="D60" s="9" t="s">
        <v>1028</v>
      </c>
      <c r="E60" s="9" t="s">
        <v>1029</v>
      </c>
      <c r="F60" s="9" t="s">
        <v>1030</v>
      </c>
      <c r="G60" s="9" t="s">
        <v>1031</v>
      </c>
      <c r="L60" s="30">
        <f>$I$17*$L$17</f>
        <v>0</v>
      </c>
      <c r="M60" s="30">
        <f>$I$17*$M$17</f>
        <v>0</v>
      </c>
      <c r="N60" s="30">
        <f>$I$17*$N$17</f>
        <v>0</v>
      </c>
      <c r="O60" s="30">
        <f>$I$17*$O$17</f>
        <v>0</v>
      </c>
      <c r="P60" s="30">
        <f>$I$17*$P$17</f>
        <v>0</v>
      </c>
      <c r="Q60" s="30">
        <f>$I$17*$Q$17</f>
        <v>0</v>
      </c>
      <c r="R60" s="30">
        <f>$I$17*$R$17</f>
        <v>0</v>
      </c>
      <c r="S60" s="30">
        <f>$I$17*$S$17</f>
        <v>0</v>
      </c>
      <c r="T60" s="30">
        <f>$I$17*$T$17</f>
        <v>0</v>
      </c>
      <c r="U60" s="30">
        <f>$I$17*$U$17</f>
        <v>0</v>
      </c>
      <c r="W60" s="30">
        <f>$I$17*$W$17</f>
        <v>0</v>
      </c>
      <c r="X60" s="30">
        <f>$I$17*$X$17</f>
        <v>0</v>
      </c>
      <c r="Y60" s="30">
        <f>$I$17*$Y$17</f>
        <v>0</v>
      </c>
      <c r="Z60" s="30">
        <f>$I$17*$Z$17</f>
        <v>0</v>
      </c>
      <c r="AA60" s="30">
        <f>$I$17*$AA$17</f>
        <v>0</v>
      </c>
      <c r="AB60" s="30">
        <f>$I$17*$AB$17</f>
        <v>0</v>
      </c>
      <c r="AC60" s="30">
        <f>$I$17*$AC$17</f>
        <v>0</v>
      </c>
      <c r="AD60" s="30">
        <f>$I$17*$AD$17</f>
        <v>0</v>
      </c>
      <c r="AE60" s="30">
        <f>$I$17*$AE$17</f>
        <v>0</v>
      </c>
      <c r="AF60" s="30">
        <f>$I$17*$AF$17</f>
        <v>0</v>
      </c>
    </row>
    <row r="61" spans="1:32" ht="11.25" customHeight="1" x14ac:dyDescent="0.25">
      <c r="A61" s="9" t="s">
        <v>22</v>
      </c>
      <c r="B61" s="9" t="s">
        <v>1022</v>
      </c>
      <c r="C61" s="9" t="s">
        <v>1023</v>
      </c>
      <c r="D61" s="9" t="s">
        <v>1032</v>
      </c>
      <c r="E61" s="9" t="s">
        <v>1033</v>
      </c>
      <c r="F61" s="9" t="s">
        <v>1034</v>
      </c>
      <c r="G61" s="9" t="s">
        <v>1035</v>
      </c>
      <c r="L61" s="30">
        <f>$I$18*$L$18</f>
        <v>0</v>
      </c>
      <c r="M61" s="30">
        <f>$I$18*$M$18</f>
        <v>0</v>
      </c>
      <c r="N61" s="30">
        <f>$I$18*$N$18</f>
        <v>0</v>
      </c>
      <c r="O61" s="30">
        <f>$I$18*$O$18</f>
        <v>0</v>
      </c>
      <c r="P61" s="30">
        <f>$I$18*$P$18</f>
        <v>0</v>
      </c>
      <c r="Q61" s="30">
        <f>$I$18*$Q$18</f>
        <v>0</v>
      </c>
      <c r="R61" s="30">
        <f>$I$18*$R$18</f>
        <v>0</v>
      </c>
      <c r="S61" s="30">
        <f>$I$18*$S$18</f>
        <v>0</v>
      </c>
      <c r="T61" s="30">
        <f>$I$18*$T$18</f>
        <v>0</v>
      </c>
      <c r="U61" s="30">
        <f>$I$18*$U$18</f>
        <v>0</v>
      </c>
      <c r="W61" s="30">
        <f>$I$18*$W$18</f>
        <v>0</v>
      </c>
      <c r="X61" s="30">
        <f>$I$18*$X$18</f>
        <v>0</v>
      </c>
      <c r="Y61" s="30">
        <f>$I$18*$Y$18</f>
        <v>0</v>
      </c>
      <c r="Z61" s="30">
        <f>$I$18*$Z$18</f>
        <v>0</v>
      </c>
      <c r="AA61" s="30">
        <f>$I$18*$AA$18</f>
        <v>0</v>
      </c>
      <c r="AB61" s="30">
        <f>$I$18*$AB$18</f>
        <v>0</v>
      </c>
      <c r="AC61" s="30">
        <f>$I$18*$AC$18</f>
        <v>0</v>
      </c>
      <c r="AD61" s="30">
        <f>$I$18*$AD$18</f>
        <v>0</v>
      </c>
      <c r="AE61" s="30">
        <f>$I$18*$AE$18</f>
        <v>0</v>
      </c>
      <c r="AF61" s="30">
        <f>$I$18*$AF$18</f>
        <v>0</v>
      </c>
    </row>
    <row r="62" spans="1:32" ht="11.25" customHeight="1" x14ac:dyDescent="0.25">
      <c r="A62" s="9" t="s">
        <v>22</v>
      </c>
      <c r="B62" s="9" t="s">
        <v>1022</v>
      </c>
      <c r="C62" s="9" t="s">
        <v>1023</v>
      </c>
      <c r="D62" s="9" t="s">
        <v>1036</v>
      </c>
      <c r="E62" s="9" t="s">
        <v>1037</v>
      </c>
      <c r="F62" s="9" t="s">
        <v>1038</v>
      </c>
      <c r="G62" s="9" t="s">
        <v>1039</v>
      </c>
      <c r="L62" s="30">
        <f>$I$19*$L$19</f>
        <v>0</v>
      </c>
      <c r="M62" s="30">
        <f>$I$19*$M$19</f>
        <v>0</v>
      </c>
      <c r="N62" s="30">
        <f>$I$19*$N$19</f>
        <v>0</v>
      </c>
      <c r="O62" s="30">
        <f>$I$19*$O$19</f>
        <v>0</v>
      </c>
      <c r="P62" s="30">
        <f>$I$19*$P$19</f>
        <v>0</v>
      </c>
      <c r="Q62" s="30">
        <f>$I$19*$Q$19</f>
        <v>0</v>
      </c>
      <c r="R62" s="30">
        <f>$I$19*$R$19</f>
        <v>0</v>
      </c>
      <c r="S62" s="30">
        <f>$I$19*$S$19</f>
        <v>0</v>
      </c>
      <c r="T62" s="30">
        <f>$I$19*$T$19</f>
        <v>0</v>
      </c>
      <c r="U62" s="30">
        <f>$I$19*$U$19</f>
        <v>0</v>
      </c>
      <c r="W62" s="30">
        <f>$I$19*$W$19</f>
        <v>0</v>
      </c>
      <c r="X62" s="30">
        <f>$I$19*$X$19</f>
        <v>0</v>
      </c>
      <c r="Y62" s="30">
        <f>$I$19*$Y$19</f>
        <v>0</v>
      </c>
      <c r="Z62" s="30">
        <f>$I$19*$Z$19</f>
        <v>0</v>
      </c>
      <c r="AA62" s="30">
        <f>$I$19*$AA$19</f>
        <v>0</v>
      </c>
      <c r="AB62" s="30">
        <f>$I$19*$AB$19</f>
        <v>0</v>
      </c>
      <c r="AC62" s="30">
        <f>$I$19*$AC$19</f>
        <v>0</v>
      </c>
      <c r="AD62" s="30">
        <f>$I$19*$AD$19</f>
        <v>0</v>
      </c>
      <c r="AE62" s="30">
        <f>$I$19*$AE$19</f>
        <v>0</v>
      </c>
      <c r="AF62" s="30">
        <f>$I$19*$AF$19</f>
        <v>0</v>
      </c>
    </row>
    <row r="63" spans="1:32" ht="11.25" customHeight="1" x14ac:dyDescent="0.25">
      <c r="A63" s="9" t="s">
        <v>22</v>
      </c>
      <c r="B63" s="9" t="s">
        <v>1022</v>
      </c>
      <c r="C63" s="9" t="s">
        <v>1023</v>
      </c>
      <c r="D63" s="9" t="s">
        <v>1040</v>
      </c>
      <c r="E63" s="9" t="s">
        <v>1041</v>
      </c>
      <c r="F63" s="9" t="s">
        <v>1042</v>
      </c>
      <c r="G63" s="9" t="s">
        <v>1043</v>
      </c>
      <c r="L63" s="30">
        <f>$I$20*$L$20</f>
        <v>0</v>
      </c>
      <c r="M63" s="30">
        <f>$I$20*$M$20</f>
        <v>0</v>
      </c>
      <c r="N63" s="30">
        <f>$I$20*$N$20</f>
        <v>0</v>
      </c>
      <c r="O63" s="30">
        <f>$I$20*$O$20</f>
        <v>0</v>
      </c>
      <c r="P63" s="30">
        <f>$I$20*$P$20</f>
        <v>0</v>
      </c>
      <c r="Q63" s="30">
        <f>$I$20*$Q$20</f>
        <v>0</v>
      </c>
      <c r="R63" s="30">
        <f>$I$20*$R$20</f>
        <v>0</v>
      </c>
      <c r="S63" s="30">
        <f>$I$20*$S$20</f>
        <v>0</v>
      </c>
      <c r="T63" s="30">
        <f>$I$20*$T$20</f>
        <v>0</v>
      </c>
      <c r="U63" s="30">
        <f>$I$20*$U$20</f>
        <v>0</v>
      </c>
      <c r="W63" s="30">
        <f>$I$20*$W$20</f>
        <v>0</v>
      </c>
      <c r="X63" s="30">
        <f>$I$20*$X$20</f>
        <v>0</v>
      </c>
      <c r="Y63" s="30">
        <f>$I$20*$Y$20</f>
        <v>0</v>
      </c>
      <c r="Z63" s="30">
        <f>$I$20*$Z$20</f>
        <v>0</v>
      </c>
      <c r="AA63" s="30">
        <f>$I$20*$AA$20</f>
        <v>0</v>
      </c>
      <c r="AB63" s="30">
        <f>$I$20*$AB$20</f>
        <v>0</v>
      </c>
      <c r="AC63" s="30">
        <f>$I$20*$AC$20</f>
        <v>0</v>
      </c>
      <c r="AD63" s="30">
        <f>$I$20*$AD$20</f>
        <v>0</v>
      </c>
      <c r="AE63" s="30">
        <f>$I$20*$AE$20</f>
        <v>0</v>
      </c>
      <c r="AF63" s="30">
        <f>$I$20*$AF$20</f>
        <v>0</v>
      </c>
    </row>
    <row r="64" spans="1:32" ht="11.25" customHeight="1" x14ac:dyDescent="0.25">
      <c r="A64" s="9" t="s">
        <v>41</v>
      </c>
      <c r="B64" s="9" t="s">
        <v>1044</v>
      </c>
      <c r="C64" s="9" t="s">
        <v>1045</v>
      </c>
      <c r="D64" s="9" t="s">
        <v>1046</v>
      </c>
      <c r="E64" s="9" t="s">
        <v>1047</v>
      </c>
      <c r="F64" s="9" t="s">
        <v>1048</v>
      </c>
      <c r="G64" s="9" t="s">
        <v>1049</v>
      </c>
      <c r="L64" s="30">
        <f>$I$21*$L$21</f>
        <v>0</v>
      </c>
      <c r="M64" s="30">
        <f>$I$21*$M$21</f>
        <v>0</v>
      </c>
      <c r="N64" s="30">
        <f>$I$21*$N$21</f>
        <v>0</v>
      </c>
      <c r="O64" s="30">
        <f>$I$21*$O$21</f>
        <v>0</v>
      </c>
      <c r="P64" s="30">
        <f>$I$21*$P$21</f>
        <v>81.363717375194526</v>
      </c>
      <c r="Q64" s="30">
        <f>$I$21*$Q$21</f>
        <v>0</v>
      </c>
      <c r="R64" s="30">
        <f>$I$21*$R$21</f>
        <v>0</v>
      </c>
      <c r="S64" s="30">
        <f>$I$21*$S$21</f>
        <v>0</v>
      </c>
      <c r="T64" s="30">
        <f>$I$21*$T$21</f>
        <v>0.9163891452976739</v>
      </c>
      <c r="U64" s="30">
        <f>$I$21*$U$21</f>
        <v>0</v>
      </c>
      <c r="W64" s="30">
        <f>$I$21*$W$21</f>
        <v>0</v>
      </c>
      <c r="X64" s="30">
        <f>$I$21*$X$21</f>
        <v>0</v>
      </c>
      <c r="Y64" s="30">
        <f>$I$21*$Y$21</f>
        <v>0</v>
      </c>
      <c r="Z64" s="30">
        <f>$I$21*$Z$21</f>
        <v>0</v>
      </c>
      <c r="AA64" s="30">
        <f>$I$21*$AA$21</f>
        <v>76.381400480457103</v>
      </c>
      <c r="AB64" s="30">
        <f>$I$21*$AB$21</f>
        <v>0</v>
      </c>
      <c r="AC64" s="30">
        <f>$I$21*$AC$21</f>
        <v>0</v>
      </c>
      <c r="AD64" s="30">
        <f>$I$21*$AD$21</f>
        <v>0</v>
      </c>
      <c r="AE64" s="30">
        <f>$I$21*$AE$21</f>
        <v>-0.80573449092377114</v>
      </c>
      <c r="AF64" s="30">
        <f>$I$21*$AF$21</f>
        <v>0</v>
      </c>
    </row>
    <row r="65" spans="1:32" ht="11.25" customHeight="1" x14ac:dyDescent="0.25">
      <c r="A65" s="9" t="s">
        <v>41</v>
      </c>
      <c r="B65" s="9" t="s">
        <v>1044</v>
      </c>
      <c r="C65" s="9" t="s">
        <v>1045</v>
      </c>
      <c r="D65" s="9" t="s">
        <v>1046</v>
      </c>
      <c r="E65" s="9" t="s">
        <v>1047</v>
      </c>
      <c r="F65" s="9" t="s">
        <v>1048</v>
      </c>
      <c r="G65" s="9" t="s">
        <v>1050</v>
      </c>
      <c r="L65" s="30">
        <f>$I$22*$L$22</f>
        <v>0</v>
      </c>
      <c r="M65" s="30">
        <f>$I$22*$M$22</f>
        <v>0</v>
      </c>
      <c r="N65" s="30">
        <f>$I$22*$N$22</f>
        <v>0</v>
      </c>
      <c r="O65" s="30">
        <f>$I$22*$O$22</f>
        <v>0</v>
      </c>
      <c r="P65" s="30">
        <f>$I$22*$P$22</f>
        <v>132.42481860185617</v>
      </c>
      <c r="Q65" s="30">
        <f>$I$22*$Q$22</f>
        <v>0</v>
      </c>
      <c r="R65" s="30">
        <f>$I$22*$R$22</f>
        <v>0</v>
      </c>
      <c r="S65" s="30">
        <f>$I$22*$S$22</f>
        <v>0</v>
      </c>
      <c r="T65" s="30">
        <f>$I$22*$T$22</f>
        <v>1.4914837995314048</v>
      </c>
      <c r="U65" s="30">
        <f>$I$22*$U$22</f>
        <v>0</v>
      </c>
      <c r="W65" s="30">
        <f>$I$22*$W$22</f>
        <v>0</v>
      </c>
      <c r="X65" s="30">
        <f>$I$22*$X$22</f>
        <v>0</v>
      </c>
      <c r="Y65" s="30">
        <f>$I$22*$Y$22</f>
        <v>0</v>
      </c>
      <c r="Z65" s="30">
        <f>$I$22*$Z$22</f>
        <v>0</v>
      </c>
      <c r="AA65" s="30">
        <f>$I$22*$AA$22</f>
        <v>124.31576911042139</v>
      </c>
      <c r="AB65" s="30">
        <f>$I$22*$AB$22</f>
        <v>0</v>
      </c>
      <c r="AC65" s="30">
        <f>$I$22*$AC$22</f>
        <v>0</v>
      </c>
      <c r="AD65" s="30">
        <f>$I$22*$AD$22</f>
        <v>0</v>
      </c>
      <c r="AE65" s="30">
        <f>$I$22*$AE$22</f>
        <v>-1.311386048277692</v>
      </c>
      <c r="AF65" s="30">
        <f>$I$22*$AF$22</f>
        <v>0</v>
      </c>
    </row>
    <row r="66" spans="1:32" ht="11.25" customHeight="1" x14ac:dyDescent="0.25">
      <c r="A66" s="9" t="s">
        <v>41</v>
      </c>
      <c r="B66" s="9" t="s">
        <v>1044</v>
      </c>
      <c r="C66" s="9" t="s">
        <v>1045</v>
      </c>
      <c r="D66" s="9" t="s">
        <v>1046</v>
      </c>
      <c r="E66" s="9" t="s">
        <v>1047</v>
      </c>
      <c r="F66" s="9" t="s">
        <v>1048</v>
      </c>
      <c r="G66" s="9" t="s">
        <v>1051</v>
      </c>
      <c r="L66" s="30">
        <f>$I$23*$L$23</f>
        <v>0</v>
      </c>
      <c r="M66" s="30">
        <f>$I$23*$M$23</f>
        <v>0</v>
      </c>
      <c r="N66" s="30">
        <f>$I$23*$N$23</f>
        <v>0</v>
      </c>
      <c r="O66" s="30">
        <f>$I$23*$O$23</f>
        <v>0</v>
      </c>
      <c r="P66" s="30">
        <f>$I$23*$P$23</f>
        <v>3952.7018828078362</v>
      </c>
      <c r="Q66" s="30">
        <f>$I$23*$Q$23</f>
        <v>0</v>
      </c>
      <c r="R66" s="30">
        <f>$I$23*$R$23</f>
        <v>0</v>
      </c>
      <c r="S66" s="30">
        <f>$I$23*$S$23</f>
        <v>0</v>
      </c>
      <c r="T66" s="30">
        <f>$I$23*$T$23</f>
        <v>44.518775897364414</v>
      </c>
      <c r="U66" s="30">
        <f>$I$23*$U$23</f>
        <v>0</v>
      </c>
      <c r="W66" s="30">
        <f>$I$23*$W$23</f>
        <v>0</v>
      </c>
      <c r="X66" s="30">
        <f>$I$23*$X$23</f>
        <v>0</v>
      </c>
      <c r="Y66" s="30">
        <f>$I$23*$Y$23</f>
        <v>0</v>
      </c>
      <c r="Z66" s="30">
        <f>$I$23*$Z$23</f>
        <v>0</v>
      </c>
      <c r="AA66" s="30">
        <f>$I$23*$AA$23</f>
        <v>3710.657713663496</v>
      </c>
      <c r="AB66" s="30">
        <f>$I$23*$AB$23</f>
        <v>0</v>
      </c>
      <c r="AC66" s="30">
        <f>$I$23*$AC$23</f>
        <v>0</v>
      </c>
      <c r="AD66" s="30">
        <f>$I$23*$AD$23</f>
        <v>0</v>
      </c>
      <c r="AE66" s="30">
        <f>$I$23*$AE$23</f>
        <v>-39.143101397780619</v>
      </c>
      <c r="AF66" s="30">
        <f>$I$23*$AF$23</f>
        <v>0</v>
      </c>
    </row>
    <row r="67" spans="1:32" ht="11.25" customHeight="1" x14ac:dyDescent="0.25">
      <c r="A67" s="9" t="s">
        <v>41</v>
      </c>
      <c r="B67" s="9" t="s">
        <v>1052</v>
      </c>
      <c r="C67" s="9" t="s">
        <v>1053</v>
      </c>
      <c r="D67" s="9" t="s">
        <v>1054</v>
      </c>
      <c r="E67" s="9" t="s">
        <v>1055</v>
      </c>
      <c r="F67" s="9" t="s">
        <v>1056</v>
      </c>
      <c r="G67" s="9" t="s">
        <v>1057</v>
      </c>
      <c r="L67" s="30">
        <f>$I$24*$L$24</f>
        <v>0</v>
      </c>
      <c r="M67" s="30">
        <f>$I$24*$M$24</f>
        <v>0</v>
      </c>
      <c r="N67" s="30">
        <f>$I$24*$N$24</f>
        <v>0</v>
      </c>
      <c r="O67" s="30">
        <f>$I$24*$O$24</f>
        <v>0</v>
      </c>
      <c r="P67" s="30">
        <f>$I$24*$P$24</f>
        <v>608345.3004603216</v>
      </c>
      <c r="Q67" s="30">
        <f>$I$24*$Q$24</f>
        <v>0</v>
      </c>
      <c r="R67" s="30">
        <f>$I$24*$R$24</f>
        <v>0</v>
      </c>
      <c r="S67" s="30">
        <f>$I$24*$S$24</f>
        <v>0</v>
      </c>
      <c r="T67" s="30">
        <f>$I$24*$T$24</f>
        <v>6851.7153335554312</v>
      </c>
      <c r="U67" s="30">
        <f>$I$24*$U$24</f>
        <v>0</v>
      </c>
      <c r="W67" s="30">
        <f>$I$24*$W$24</f>
        <v>0</v>
      </c>
      <c r="X67" s="30">
        <f>$I$24*$X$24</f>
        <v>0</v>
      </c>
      <c r="Y67" s="30">
        <f>$I$24*$Y$24</f>
        <v>0</v>
      </c>
      <c r="Z67" s="30">
        <f>$I$24*$Z$24</f>
        <v>0</v>
      </c>
      <c r="AA67" s="30">
        <f>$I$24*$AA$24</f>
        <v>571093.20375066926</v>
      </c>
      <c r="AB67" s="30">
        <f>$I$24*$AB$24</f>
        <v>0</v>
      </c>
      <c r="AC67" s="30">
        <f>$I$24*$AC$24</f>
        <v>0</v>
      </c>
      <c r="AD67" s="30">
        <f>$I$24*$AD$24</f>
        <v>0</v>
      </c>
      <c r="AE67" s="30">
        <f>$I$24*$AE$24</f>
        <v>-6024.3657343230379</v>
      </c>
      <c r="AF67" s="30">
        <f>$I$24*$AF$24</f>
        <v>0</v>
      </c>
    </row>
    <row r="68" spans="1:32" ht="11.25" customHeight="1" x14ac:dyDescent="0.25">
      <c r="A68" s="9" t="s">
        <v>41</v>
      </c>
      <c r="B68" s="9" t="s">
        <v>1044</v>
      </c>
      <c r="C68" s="9" t="s">
        <v>1045</v>
      </c>
      <c r="D68" s="9" t="s">
        <v>1058</v>
      </c>
      <c r="E68" s="9" t="s">
        <v>1059</v>
      </c>
      <c r="F68" s="9" t="s">
        <v>1060</v>
      </c>
      <c r="G68" s="9" t="s">
        <v>1061</v>
      </c>
      <c r="L68" s="30">
        <f>$I$25*$L$25</f>
        <v>0</v>
      </c>
      <c r="M68" s="30">
        <f>$I$25*$M$25</f>
        <v>0</v>
      </c>
      <c r="N68" s="30">
        <f>$I$25*$N$25</f>
        <v>0</v>
      </c>
      <c r="O68" s="30">
        <f>$I$25*$O$25</f>
        <v>0</v>
      </c>
      <c r="P68" s="30">
        <f>$I$25*$P$25</f>
        <v>0</v>
      </c>
      <c r="Q68" s="30">
        <f>$I$25*$Q$25</f>
        <v>0</v>
      </c>
      <c r="R68" s="30">
        <f>$I$25*$R$25</f>
        <v>0</v>
      </c>
      <c r="S68" s="30">
        <f>$I$25*$S$25</f>
        <v>0</v>
      </c>
      <c r="T68" s="30">
        <f>$I$25*$T$25</f>
        <v>0</v>
      </c>
      <c r="U68" s="30">
        <f>$I$25*$U$25</f>
        <v>0</v>
      </c>
      <c r="W68" s="30">
        <f>$I$25*$W$25</f>
        <v>0</v>
      </c>
      <c r="X68" s="30">
        <f>$I$25*$X$25</f>
        <v>0</v>
      </c>
      <c r="Y68" s="30">
        <f>$I$25*$Y$25</f>
        <v>0</v>
      </c>
      <c r="Z68" s="30">
        <f>$I$25*$Z$25</f>
        <v>0</v>
      </c>
      <c r="AA68" s="30">
        <f>$I$25*$AA$25</f>
        <v>0</v>
      </c>
      <c r="AB68" s="30">
        <f>$I$25*$AB$25</f>
        <v>0</v>
      </c>
      <c r="AC68" s="30">
        <f>$I$25*$AC$25</f>
        <v>0</v>
      </c>
      <c r="AD68" s="30">
        <f>$I$25*$AD$25</f>
        <v>0</v>
      </c>
      <c r="AE68" s="30">
        <f>$I$25*$AE$25</f>
        <v>0</v>
      </c>
      <c r="AF68" s="30">
        <f>$I$25*$AF$25</f>
        <v>0</v>
      </c>
    </row>
    <row r="69" spans="1:32" ht="11.25" customHeight="1" x14ac:dyDescent="0.25">
      <c r="A69" s="9" t="s">
        <v>41</v>
      </c>
      <c r="B69" s="9" t="s">
        <v>1044</v>
      </c>
      <c r="C69" s="9" t="s">
        <v>1045</v>
      </c>
      <c r="D69" s="9" t="s">
        <v>1058</v>
      </c>
      <c r="E69" s="9" t="s">
        <v>1059</v>
      </c>
      <c r="F69" s="9" t="s">
        <v>1060</v>
      </c>
      <c r="G69" s="9" t="s">
        <v>1062</v>
      </c>
      <c r="L69" s="30">
        <f>$I$26*$L$26</f>
        <v>0</v>
      </c>
      <c r="M69" s="30">
        <f>$I$26*$M$26</f>
        <v>0</v>
      </c>
      <c r="N69" s="30">
        <f>$I$26*$N$26</f>
        <v>0</v>
      </c>
      <c r="O69" s="30">
        <f>$I$26*$O$26</f>
        <v>0</v>
      </c>
      <c r="P69" s="30">
        <f>$I$26*$P$26</f>
        <v>0</v>
      </c>
      <c r="Q69" s="30">
        <f>$I$26*$Q$26</f>
        <v>0</v>
      </c>
      <c r="R69" s="30">
        <f>$I$26*$R$26</f>
        <v>0</v>
      </c>
      <c r="S69" s="30">
        <f>$I$26*$S$26</f>
        <v>0</v>
      </c>
      <c r="T69" s="30">
        <f>$I$26*$T$26</f>
        <v>0</v>
      </c>
      <c r="U69" s="30">
        <f>$I$26*$U$26</f>
        <v>0</v>
      </c>
      <c r="W69" s="30">
        <f>$I$26*$W$26</f>
        <v>0</v>
      </c>
      <c r="X69" s="30">
        <f>$I$26*$X$26</f>
        <v>0</v>
      </c>
      <c r="Y69" s="30">
        <f>$I$26*$Y$26</f>
        <v>0</v>
      </c>
      <c r="Z69" s="30">
        <f>$I$26*$Z$26</f>
        <v>0</v>
      </c>
      <c r="AA69" s="30">
        <f>$I$26*$AA$26</f>
        <v>0</v>
      </c>
      <c r="AB69" s="30">
        <f>$I$26*$AB$26</f>
        <v>0</v>
      </c>
      <c r="AC69" s="30">
        <f>$I$26*$AC$26</f>
        <v>0</v>
      </c>
      <c r="AD69" s="30">
        <f>$I$26*$AD$26</f>
        <v>0</v>
      </c>
      <c r="AE69" s="30">
        <f>$I$26*$AE$26</f>
        <v>0</v>
      </c>
      <c r="AF69" s="30">
        <f>$I$26*$AF$26</f>
        <v>0</v>
      </c>
    </row>
    <row r="70" spans="1:32" ht="11.25" customHeight="1" x14ac:dyDescent="0.25">
      <c r="A70" s="9" t="s">
        <v>41</v>
      </c>
      <c r="B70" s="9" t="s">
        <v>1044</v>
      </c>
      <c r="C70" s="9" t="s">
        <v>1045</v>
      </c>
      <c r="D70" s="9" t="s">
        <v>1058</v>
      </c>
      <c r="E70" s="9" t="s">
        <v>1059</v>
      </c>
      <c r="F70" s="9" t="s">
        <v>1060</v>
      </c>
      <c r="G70" s="9" t="s">
        <v>1063</v>
      </c>
      <c r="L70" s="30">
        <f>$I$27*$L$27</f>
        <v>0</v>
      </c>
      <c r="M70" s="30">
        <f>$I$27*$M$27</f>
        <v>0</v>
      </c>
      <c r="N70" s="30">
        <f>$I$27*$N$27</f>
        <v>0</v>
      </c>
      <c r="O70" s="30">
        <f>$I$27*$O$27</f>
        <v>0</v>
      </c>
      <c r="P70" s="30">
        <f>$I$27*$P$27</f>
        <v>0</v>
      </c>
      <c r="Q70" s="30">
        <f>$I$27*$Q$27</f>
        <v>0</v>
      </c>
      <c r="R70" s="30">
        <f>$I$27*$R$27</f>
        <v>0</v>
      </c>
      <c r="S70" s="30">
        <f>$I$27*$S$27</f>
        <v>0</v>
      </c>
      <c r="T70" s="30">
        <f>$I$27*$T$27</f>
        <v>0</v>
      </c>
      <c r="U70" s="30">
        <f>$I$27*$U$27</f>
        <v>0</v>
      </c>
      <c r="W70" s="30">
        <f>$I$27*$W$27</f>
        <v>0</v>
      </c>
      <c r="X70" s="30">
        <f>$I$27*$X$27</f>
        <v>0</v>
      </c>
      <c r="Y70" s="30">
        <f>$I$27*$Y$27</f>
        <v>0</v>
      </c>
      <c r="Z70" s="30">
        <f>$I$27*$Z$27</f>
        <v>0</v>
      </c>
      <c r="AA70" s="30">
        <f>$I$27*$AA$27</f>
        <v>0</v>
      </c>
      <c r="AB70" s="30">
        <f>$I$27*$AB$27</f>
        <v>0</v>
      </c>
      <c r="AC70" s="30">
        <f>$I$27*$AC$27</f>
        <v>0</v>
      </c>
      <c r="AD70" s="30">
        <f>$I$27*$AD$27</f>
        <v>0</v>
      </c>
      <c r="AE70" s="30">
        <f>$I$27*$AE$27</f>
        <v>0</v>
      </c>
      <c r="AF70" s="30">
        <f>$I$27*$AF$27</f>
        <v>0</v>
      </c>
    </row>
    <row r="71" spans="1:32" ht="11.25" customHeight="1" x14ac:dyDescent="0.25">
      <c r="A71" s="9" t="s">
        <v>41</v>
      </c>
      <c r="B71" s="9" t="s">
        <v>1052</v>
      </c>
      <c r="C71" s="9" t="s">
        <v>1053</v>
      </c>
      <c r="D71" s="9" t="s">
        <v>1064</v>
      </c>
      <c r="E71" s="9" t="s">
        <v>1065</v>
      </c>
      <c r="F71" s="9" t="s">
        <v>1066</v>
      </c>
      <c r="G71" s="9" t="s">
        <v>1067</v>
      </c>
      <c r="L71" s="30">
        <f>$I$28*$L$28</f>
        <v>0</v>
      </c>
      <c r="M71" s="30">
        <f>$I$28*$M$28</f>
        <v>0</v>
      </c>
      <c r="N71" s="30">
        <f>$I$28*$N$28</f>
        <v>0</v>
      </c>
      <c r="O71" s="30">
        <f>$I$28*$O$28</f>
        <v>0</v>
      </c>
      <c r="P71" s="30">
        <f>$I$28*$P$28</f>
        <v>0</v>
      </c>
      <c r="Q71" s="30">
        <f>$I$28*$Q$28</f>
        <v>0</v>
      </c>
      <c r="R71" s="30">
        <f>$I$28*$R$28</f>
        <v>0</v>
      </c>
      <c r="S71" s="30">
        <f>$I$28*$S$28</f>
        <v>0</v>
      </c>
      <c r="T71" s="30">
        <f>$I$28*$T$28</f>
        <v>0</v>
      </c>
      <c r="U71" s="30">
        <f>$I$28*$U$28</f>
        <v>0</v>
      </c>
      <c r="W71" s="30">
        <f>$I$28*$W$28</f>
        <v>0</v>
      </c>
      <c r="X71" s="30">
        <f>$I$28*$X$28</f>
        <v>0</v>
      </c>
      <c r="Y71" s="30">
        <f>$I$28*$Y$28</f>
        <v>0</v>
      </c>
      <c r="Z71" s="30">
        <f>$I$28*$Z$28</f>
        <v>0</v>
      </c>
      <c r="AA71" s="30">
        <f>$I$28*$AA$28</f>
        <v>0</v>
      </c>
      <c r="AB71" s="30">
        <f>$I$28*$AB$28</f>
        <v>0</v>
      </c>
      <c r="AC71" s="30">
        <f>$I$28*$AC$28</f>
        <v>0</v>
      </c>
      <c r="AD71" s="30">
        <f>$I$28*$AD$28</f>
        <v>0</v>
      </c>
      <c r="AE71" s="30">
        <f>$I$28*$AE$28</f>
        <v>0</v>
      </c>
      <c r="AF71" s="30">
        <f>$I$28*$AF$28</f>
        <v>0</v>
      </c>
    </row>
    <row r="72" spans="1:32" ht="11.25" customHeight="1" x14ac:dyDescent="0.25">
      <c r="A72" s="9" t="s">
        <v>41</v>
      </c>
      <c r="B72" s="9" t="s">
        <v>1044</v>
      </c>
      <c r="C72" s="9" t="s">
        <v>1045</v>
      </c>
      <c r="D72" s="9" t="s">
        <v>1068</v>
      </c>
      <c r="E72" s="9" t="s">
        <v>1069</v>
      </c>
      <c r="F72" s="9" t="s">
        <v>1070</v>
      </c>
      <c r="G72" s="9" t="s">
        <v>1071</v>
      </c>
      <c r="L72" s="30">
        <f>$I$29*$L$29</f>
        <v>0</v>
      </c>
      <c r="M72" s="30">
        <f>$I$29*$M$29</f>
        <v>0</v>
      </c>
      <c r="N72" s="30">
        <f>$I$29*$N$29</f>
        <v>0</v>
      </c>
      <c r="O72" s="30">
        <f>$I$29*$O$29</f>
        <v>0</v>
      </c>
      <c r="P72" s="30">
        <f>$I$29*$P$29</f>
        <v>0</v>
      </c>
      <c r="Q72" s="30">
        <f>$I$29*$Q$29</f>
        <v>0</v>
      </c>
      <c r="R72" s="30">
        <f>$I$29*$R$29</f>
        <v>0</v>
      </c>
      <c r="S72" s="30">
        <f>$I$29*$S$29</f>
        <v>0</v>
      </c>
      <c r="T72" s="30">
        <f>$I$29*$T$29</f>
        <v>0</v>
      </c>
      <c r="U72" s="30">
        <f>$I$29*$U$29</f>
        <v>0</v>
      </c>
      <c r="W72" s="30">
        <f>$I$29*$W$29</f>
        <v>0</v>
      </c>
      <c r="X72" s="30">
        <f>$I$29*$X$29</f>
        <v>0</v>
      </c>
      <c r="Y72" s="30">
        <f>$I$29*$Y$29</f>
        <v>0</v>
      </c>
      <c r="Z72" s="30">
        <f>$I$29*$Z$29</f>
        <v>0</v>
      </c>
      <c r="AA72" s="30">
        <f>$I$29*$AA$29</f>
        <v>0</v>
      </c>
      <c r="AB72" s="30">
        <f>$I$29*$AB$29</f>
        <v>0</v>
      </c>
      <c r="AC72" s="30">
        <f>$I$29*$AC$29</f>
        <v>0</v>
      </c>
      <c r="AD72" s="30">
        <f>$I$29*$AD$29</f>
        <v>0</v>
      </c>
      <c r="AE72" s="30">
        <f>$I$29*$AE$29</f>
        <v>0</v>
      </c>
      <c r="AF72" s="30">
        <f>$I$29*$AF$29</f>
        <v>0</v>
      </c>
    </row>
    <row r="73" spans="1:32" ht="11.25" customHeight="1" x14ac:dyDescent="0.25">
      <c r="A73" s="9" t="s">
        <v>41</v>
      </c>
      <c r="B73" s="9" t="s">
        <v>1044</v>
      </c>
      <c r="C73" s="9" t="s">
        <v>1045</v>
      </c>
      <c r="D73" s="9" t="s">
        <v>1068</v>
      </c>
      <c r="E73" s="9" t="s">
        <v>1069</v>
      </c>
      <c r="F73" s="9" t="s">
        <v>1070</v>
      </c>
      <c r="G73" s="9" t="s">
        <v>1072</v>
      </c>
      <c r="L73" s="30">
        <f>$I$30*$L$30</f>
        <v>0</v>
      </c>
      <c r="M73" s="30">
        <f>$I$30*$M$30</f>
        <v>0</v>
      </c>
      <c r="N73" s="30">
        <f>$I$30*$N$30</f>
        <v>0</v>
      </c>
      <c r="O73" s="30">
        <f>$I$30*$O$30</f>
        <v>0</v>
      </c>
      <c r="P73" s="30">
        <f>$I$30*$P$30</f>
        <v>0</v>
      </c>
      <c r="Q73" s="30">
        <f>$I$30*$Q$30</f>
        <v>0</v>
      </c>
      <c r="R73" s="30">
        <f>$I$30*$R$30</f>
        <v>0</v>
      </c>
      <c r="S73" s="30">
        <f>$I$30*$S$30</f>
        <v>0</v>
      </c>
      <c r="T73" s="30">
        <f>$I$30*$T$30</f>
        <v>0</v>
      </c>
      <c r="U73" s="30">
        <f>$I$30*$U$30</f>
        <v>0</v>
      </c>
      <c r="W73" s="30">
        <f>$I$30*$W$30</f>
        <v>0</v>
      </c>
      <c r="X73" s="30">
        <f>$I$30*$X$30</f>
        <v>0</v>
      </c>
      <c r="Y73" s="30">
        <f>$I$30*$Y$30</f>
        <v>0</v>
      </c>
      <c r="Z73" s="30">
        <f>$I$30*$Z$30</f>
        <v>0</v>
      </c>
      <c r="AA73" s="30">
        <f>$I$30*$AA$30</f>
        <v>0</v>
      </c>
      <c r="AB73" s="30">
        <f>$I$30*$AB$30</f>
        <v>0</v>
      </c>
      <c r="AC73" s="30">
        <f>$I$30*$AC$30</f>
        <v>0</v>
      </c>
      <c r="AD73" s="30">
        <f>$I$30*$AD$30</f>
        <v>0</v>
      </c>
      <c r="AE73" s="30">
        <f>$I$30*$AE$30</f>
        <v>0</v>
      </c>
      <c r="AF73" s="30">
        <f>$I$30*$AF$30</f>
        <v>0</v>
      </c>
    </row>
    <row r="74" spans="1:32" ht="11.25" customHeight="1" x14ac:dyDescent="0.25">
      <c r="A74" s="9" t="s">
        <v>41</v>
      </c>
      <c r="B74" s="9" t="s">
        <v>1044</v>
      </c>
      <c r="C74" s="9" t="s">
        <v>1045</v>
      </c>
      <c r="D74" s="9" t="s">
        <v>1068</v>
      </c>
      <c r="E74" s="9" t="s">
        <v>1069</v>
      </c>
      <c r="F74" s="9" t="s">
        <v>1070</v>
      </c>
      <c r="G74" s="9" t="s">
        <v>1073</v>
      </c>
      <c r="L74" s="30">
        <f>$I$31*$L$31</f>
        <v>0</v>
      </c>
      <c r="M74" s="30">
        <f>$I$31*$M$31</f>
        <v>0</v>
      </c>
      <c r="N74" s="30">
        <f>$I$31*$N$31</f>
        <v>0</v>
      </c>
      <c r="O74" s="30">
        <f>$I$31*$O$31</f>
        <v>0</v>
      </c>
      <c r="P74" s="30">
        <f>$I$31*$P$31</f>
        <v>0</v>
      </c>
      <c r="Q74" s="30">
        <f>$I$31*$Q$31</f>
        <v>0</v>
      </c>
      <c r="R74" s="30">
        <f>$I$31*$R$31</f>
        <v>0</v>
      </c>
      <c r="S74" s="30">
        <f>$I$31*$S$31</f>
        <v>0</v>
      </c>
      <c r="T74" s="30">
        <f>$I$31*$T$31</f>
        <v>0</v>
      </c>
      <c r="U74" s="30">
        <f>$I$31*$U$31</f>
        <v>0</v>
      </c>
      <c r="W74" s="30">
        <f>$I$31*$W$31</f>
        <v>0</v>
      </c>
      <c r="X74" s="30">
        <f>$I$31*$X$31</f>
        <v>0</v>
      </c>
      <c r="Y74" s="30">
        <f>$I$31*$Y$31</f>
        <v>0</v>
      </c>
      <c r="Z74" s="30">
        <f>$I$31*$Z$31</f>
        <v>0</v>
      </c>
      <c r="AA74" s="30">
        <f>$I$31*$AA$31</f>
        <v>0</v>
      </c>
      <c r="AB74" s="30">
        <f>$I$31*$AB$31</f>
        <v>0</v>
      </c>
      <c r="AC74" s="30">
        <f>$I$31*$AC$31</f>
        <v>0</v>
      </c>
      <c r="AD74" s="30">
        <f>$I$31*$AD$31</f>
        <v>0</v>
      </c>
      <c r="AE74" s="30">
        <f>$I$31*$AE$31</f>
        <v>0</v>
      </c>
      <c r="AF74" s="30">
        <f>$I$31*$AF$31</f>
        <v>0</v>
      </c>
    </row>
    <row r="75" spans="1:32" ht="11.25" customHeight="1" x14ac:dyDescent="0.25">
      <c r="A75" s="9" t="s">
        <v>41</v>
      </c>
      <c r="B75" s="9" t="s">
        <v>1052</v>
      </c>
      <c r="C75" s="9" t="s">
        <v>1053</v>
      </c>
      <c r="D75" s="9" t="s">
        <v>1074</v>
      </c>
      <c r="E75" s="9" t="s">
        <v>1075</v>
      </c>
      <c r="F75" s="9" t="s">
        <v>1076</v>
      </c>
      <c r="G75" s="9" t="s">
        <v>1077</v>
      </c>
      <c r="L75" s="30">
        <f>$I$32*$L$32</f>
        <v>0</v>
      </c>
      <c r="M75" s="30">
        <f>$I$32*$M$32</f>
        <v>0</v>
      </c>
      <c r="N75" s="30">
        <f>$I$32*$N$32</f>
        <v>0</v>
      </c>
      <c r="O75" s="30">
        <f>$I$32*$O$32</f>
        <v>0</v>
      </c>
      <c r="P75" s="30">
        <f>$I$32*$P$32</f>
        <v>0</v>
      </c>
      <c r="Q75" s="30">
        <f>$I$32*$Q$32</f>
        <v>0</v>
      </c>
      <c r="R75" s="30">
        <f>$I$32*$R$32</f>
        <v>0</v>
      </c>
      <c r="S75" s="30">
        <f>$I$32*$S$32</f>
        <v>0</v>
      </c>
      <c r="T75" s="30">
        <f>$I$32*$T$32</f>
        <v>0</v>
      </c>
      <c r="U75" s="30">
        <f>$I$32*$U$32</f>
        <v>0</v>
      </c>
      <c r="W75" s="30">
        <f>$I$32*$W$32</f>
        <v>0</v>
      </c>
      <c r="X75" s="30">
        <f>$I$32*$X$32</f>
        <v>0</v>
      </c>
      <c r="Y75" s="30">
        <f>$I$32*$Y$32</f>
        <v>0</v>
      </c>
      <c r="Z75" s="30">
        <f>$I$32*$Z$32</f>
        <v>0</v>
      </c>
      <c r="AA75" s="30">
        <f>$I$32*$AA$32</f>
        <v>0</v>
      </c>
      <c r="AB75" s="30">
        <f>$I$32*$AB$32</f>
        <v>0</v>
      </c>
      <c r="AC75" s="30">
        <f>$I$32*$AC$32</f>
        <v>0</v>
      </c>
      <c r="AD75" s="30">
        <f>$I$32*$AD$32</f>
        <v>0</v>
      </c>
      <c r="AE75" s="30">
        <f>$I$32*$AE$32</f>
        <v>0</v>
      </c>
      <c r="AF75" s="30">
        <f>$I$32*$AF$32</f>
        <v>0</v>
      </c>
    </row>
    <row r="76" spans="1:32" ht="11.25" customHeight="1" x14ac:dyDescent="0.25">
      <c r="A76" s="9" t="s">
        <v>41</v>
      </c>
      <c r="B76" s="9" t="s">
        <v>1078</v>
      </c>
      <c r="C76" s="9" t="s">
        <v>1079</v>
      </c>
      <c r="D76" s="9" t="s">
        <v>1080</v>
      </c>
      <c r="E76" s="9" t="s">
        <v>1081</v>
      </c>
      <c r="F76" s="9" t="s">
        <v>1082</v>
      </c>
      <c r="G76" s="9" t="s">
        <v>1083</v>
      </c>
      <c r="L76" s="30">
        <f>$I$33*$L$33</f>
        <v>0</v>
      </c>
      <c r="M76" s="30">
        <f>$I$33*$M$33</f>
        <v>0</v>
      </c>
      <c r="N76" s="30">
        <f>$I$33*$N$33</f>
        <v>0</v>
      </c>
      <c r="O76" s="30">
        <f>$I$33*$O$33</f>
        <v>0</v>
      </c>
      <c r="P76" s="30">
        <f>$I$33*$P$33</f>
        <v>0</v>
      </c>
      <c r="Q76" s="30">
        <f>$I$33*$Q$33</f>
        <v>0</v>
      </c>
      <c r="R76" s="30">
        <f>$I$33*$R$33</f>
        <v>0</v>
      </c>
      <c r="S76" s="30">
        <f>$I$33*$S$33</f>
        <v>0</v>
      </c>
      <c r="T76" s="30">
        <f>$I$33*$T$33</f>
        <v>0</v>
      </c>
      <c r="U76" s="30">
        <f>$I$33*$U$33</f>
        <v>0</v>
      </c>
      <c r="W76" s="30">
        <f>$I$33*$W$33</f>
        <v>0</v>
      </c>
      <c r="X76" s="30">
        <f>$I$33*$X$33</f>
        <v>0</v>
      </c>
      <c r="Y76" s="30">
        <f>$I$33*$Y$33</f>
        <v>0</v>
      </c>
      <c r="Z76" s="30">
        <f>$I$33*$Z$33</f>
        <v>0</v>
      </c>
      <c r="AA76" s="30">
        <f>$I$33*$AA$33</f>
        <v>0</v>
      </c>
      <c r="AB76" s="30">
        <f>$I$33*$AB$33</f>
        <v>0</v>
      </c>
      <c r="AC76" s="30">
        <f>$I$33*$AC$33</f>
        <v>0</v>
      </c>
      <c r="AD76" s="30">
        <f>$I$33*$AD$33</f>
        <v>0</v>
      </c>
      <c r="AE76" s="30">
        <f>$I$33*$AE$33</f>
        <v>0</v>
      </c>
      <c r="AF76" s="30">
        <f>$I$33*$AF$33</f>
        <v>0</v>
      </c>
    </row>
    <row r="77" spans="1:32" ht="11.25" customHeight="1" x14ac:dyDescent="0.25">
      <c r="A77" s="9" t="s">
        <v>41</v>
      </c>
      <c r="B77" s="9" t="s">
        <v>1078</v>
      </c>
      <c r="C77" s="9" t="s">
        <v>1079</v>
      </c>
      <c r="D77" s="9" t="s">
        <v>1084</v>
      </c>
      <c r="E77" s="9" t="s">
        <v>1085</v>
      </c>
      <c r="F77" s="9" t="s">
        <v>1086</v>
      </c>
      <c r="G77" s="9" t="s">
        <v>1087</v>
      </c>
      <c r="L77" s="30">
        <f>$I$34*$L$34</f>
        <v>0</v>
      </c>
      <c r="M77" s="30">
        <f>$I$34*$M$34</f>
        <v>0</v>
      </c>
      <c r="N77" s="30">
        <f>$I$34*$N$34</f>
        <v>0</v>
      </c>
      <c r="O77" s="30">
        <f>$I$34*$O$34</f>
        <v>0</v>
      </c>
      <c r="P77" s="30">
        <f>$I$34*$P$34</f>
        <v>0</v>
      </c>
      <c r="Q77" s="30">
        <f>$I$34*$Q$34</f>
        <v>0</v>
      </c>
      <c r="R77" s="30">
        <f>$I$34*$R$34</f>
        <v>0</v>
      </c>
      <c r="S77" s="30">
        <f>$I$34*$S$34</f>
        <v>0</v>
      </c>
      <c r="T77" s="30">
        <f>$I$34*$T$34</f>
        <v>0</v>
      </c>
      <c r="U77" s="30">
        <f>$I$34*$U$34</f>
        <v>0</v>
      </c>
      <c r="W77" s="30">
        <f>$I$34*$W$34</f>
        <v>0</v>
      </c>
      <c r="X77" s="30">
        <f>$I$34*$X$34</f>
        <v>0</v>
      </c>
      <c r="Y77" s="30">
        <f>$I$34*$Y$34</f>
        <v>0</v>
      </c>
      <c r="Z77" s="30">
        <f>$I$34*$Z$34</f>
        <v>0</v>
      </c>
      <c r="AA77" s="30">
        <f>$I$34*$AA$34</f>
        <v>0</v>
      </c>
      <c r="AB77" s="30">
        <f>$I$34*$AB$34</f>
        <v>0</v>
      </c>
      <c r="AC77" s="30">
        <f>$I$34*$AC$34</f>
        <v>0</v>
      </c>
      <c r="AD77" s="30">
        <f>$I$34*$AD$34</f>
        <v>0</v>
      </c>
      <c r="AE77" s="30">
        <f>$I$34*$AE$34</f>
        <v>0</v>
      </c>
      <c r="AF77" s="30">
        <f>$I$34*$AF$34</f>
        <v>0</v>
      </c>
    </row>
    <row r="78" spans="1:32" ht="11.25" customHeight="1" x14ac:dyDescent="0.25">
      <c r="A78" s="9" t="s">
        <v>41</v>
      </c>
      <c r="B78" s="9" t="s">
        <v>1078</v>
      </c>
      <c r="C78" s="9" t="s">
        <v>1079</v>
      </c>
      <c r="D78" s="9" t="s">
        <v>1088</v>
      </c>
      <c r="E78" s="9" t="s">
        <v>1089</v>
      </c>
      <c r="F78" s="9" t="s">
        <v>1090</v>
      </c>
      <c r="G78" s="9" t="s">
        <v>1091</v>
      </c>
      <c r="L78" s="30">
        <f>$I$35*$L$35</f>
        <v>0</v>
      </c>
      <c r="M78" s="30">
        <f>$I$35*$M$35</f>
        <v>0</v>
      </c>
      <c r="N78" s="30">
        <f>$I$35*$N$35</f>
        <v>0</v>
      </c>
      <c r="O78" s="30">
        <f>$I$35*$O$35</f>
        <v>0</v>
      </c>
      <c r="P78" s="30">
        <f>$I$35*$P$35</f>
        <v>0</v>
      </c>
      <c r="Q78" s="30">
        <f>$I$35*$Q$35</f>
        <v>0</v>
      </c>
      <c r="R78" s="30">
        <f>$I$35*$R$35</f>
        <v>0</v>
      </c>
      <c r="S78" s="30">
        <f>$I$35*$S$35</f>
        <v>0</v>
      </c>
      <c r="T78" s="30">
        <f>$I$35*$T$35</f>
        <v>0</v>
      </c>
      <c r="U78" s="30">
        <f>$I$35*$U$35</f>
        <v>0</v>
      </c>
      <c r="W78" s="30">
        <f>$I$35*$W$35</f>
        <v>0</v>
      </c>
      <c r="X78" s="30">
        <f>$I$35*$X$35</f>
        <v>0</v>
      </c>
      <c r="Y78" s="30">
        <f>$I$35*$Y$35</f>
        <v>0</v>
      </c>
      <c r="Z78" s="30">
        <f>$I$35*$Z$35</f>
        <v>0</v>
      </c>
      <c r="AA78" s="30">
        <f>$I$35*$AA$35</f>
        <v>0</v>
      </c>
      <c r="AB78" s="30">
        <f>$I$35*$AB$35</f>
        <v>0</v>
      </c>
      <c r="AC78" s="30">
        <f>$I$35*$AC$35</f>
        <v>0</v>
      </c>
      <c r="AD78" s="30">
        <f>$I$35*$AD$35</f>
        <v>0</v>
      </c>
      <c r="AE78" s="30">
        <f>$I$35*$AE$35</f>
        <v>0</v>
      </c>
      <c r="AF78" s="30">
        <f>$I$35*$AF$35</f>
        <v>0</v>
      </c>
    </row>
    <row r="79" spans="1:32" ht="11.25" customHeight="1" x14ac:dyDescent="0.25">
      <c r="A79" s="9" t="s">
        <v>32</v>
      </c>
      <c r="B79" s="9" t="s">
        <v>1092</v>
      </c>
      <c r="C79" s="9" t="s">
        <v>1093</v>
      </c>
      <c r="D79" s="9" t="s">
        <v>1094</v>
      </c>
      <c r="E79" s="9" t="s">
        <v>1095</v>
      </c>
      <c r="F79" s="9" t="s">
        <v>1096</v>
      </c>
      <c r="G79" s="9" t="s">
        <v>1097</v>
      </c>
      <c r="L79" s="30">
        <f>$I$36*$L$36</f>
        <v>0</v>
      </c>
      <c r="M79" s="30">
        <f>$I$36*$M$36</f>
        <v>0</v>
      </c>
      <c r="N79" s="30">
        <f>$I$36*$N$36</f>
        <v>0</v>
      </c>
      <c r="O79" s="30">
        <f>$I$36*$O$36</f>
        <v>0</v>
      </c>
      <c r="P79" s="30">
        <f>$I$36*$P$36</f>
        <v>34.521325148269966</v>
      </c>
      <c r="Q79" s="30">
        <f>$I$36*$Q$36</f>
        <v>0</v>
      </c>
      <c r="R79" s="30">
        <f>$I$36*$R$36</f>
        <v>0</v>
      </c>
      <c r="S79" s="30">
        <f>$I$36*$S$36</f>
        <v>0</v>
      </c>
      <c r="T79" s="30">
        <f>$I$36*$T$36</f>
        <v>0.38880927110651919</v>
      </c>
      <c r="U79" s="30">
        <f>$I$36*$U$36</f>
        <v>0</v>
      </c>
      <c r="W79" s="30">
        <f>$I$36*$W$36</f>
        <v>0</v>
      </c>
      <c r="X79" s="30">
        <f>$I$36*$X$36</f>
        <v>0</v>
      </c>
      <c r="Y79" s="30">
        <f>$I$36*$Y$36</f>
        <v>0</v>
      </c>
      <c r="Z79" s="30">
        <f>$I$36*$Z$36</f>
        <v>0</v>
      </c>
      <c r="AA79" s="30">
        <f>$I$36*$AA$36</f>
        <v>34.617003683491681</v>
      </c>
      <c r="AB79" s="30">
        <f>$I$36*$AB$36</f>
        <v>0</v>
      </c>
      <c r="AC79" s="30">
        <f>$I$36*$AC$36</f>
        <v>0</v>
      </c>
      <c r="AD79" s="30">
        <f>$I$36*$AD$36</f>
        <v>0</v>
      </c>
      <c r="AE79" s="30">
        <f>$I$36*$AE$36</f>
        <v>-0.36516892417232988</v>
      </c>
      <c r="AF79" s="30">
        <f>$I$36*$AF$36</f>
        <v>0</v>
      </c>
    </row>
    <row r="80" spans="1:32" ht="11.25" customHeight="1" x14ac:dyDescent="0.25">
      <c r="A80" s="9" t="s">
        <v>32</v>
      </c>
      <c r="B80" s="9" t="s">
        <v>1092</v>
      </c>
      <c r="C80" s="9" t="s">
        <v>1093</v>
      </c>
      <c r="D80" s="9" t="s">
        <v>1094</v>
      </c>
      <c r="E80" s="9" t="s">
        <v>1095</v>
      </c>
      <c r="F80" s="9" t="s">
        <v>1096</v>
      </c>
      <c r="G80" s="9" t="s">
        <v>1098</v>
      </c>
      <c r="L80" s="30">
        <f>$I$37*$L$37</f>
        <v>0</v>
      </c>
      <c r="M80" s="30">
        <f>$I$37*$M$37</f>
        <v>0</v>
      </c>
      <c r="N80" s="30">
        <f>$I$37*$N$37</f>
        <v>0</v>
      </c>
      <c r="O80" s="30">
        <f>$I$37*$O$37</f>
        <v>0</v>
      </c>
      <c r="P80" s="30">
        <f>$I$37*$P$37</f>
        <v>41.628656796443202</v>
      </c>
      <c r="Q80" s="30">
        <f>$I$37*$Q$37</f>
        <v>0</v>
      </c>
      <c r="R80" s="30">
        <f>$I$37*$R$37</f>
        <v>0</v>
      </c>
      <c r="S80" s="30">
        <f>$I$37*$S$37</f>
        <v>0</v>
      </c>
      <c r="T80" s="30">
        <f>$I$37*$T$37</f>
        <v>0.46885823868727322</v>
      </c>
      <c r="U80" s="30">
        <f>$I$37*$U$37</f>
        <v>0</v>
      </c>
      <c r="W80" s="30">
        <f>$I$37*$W$37</f>
        <v>0</v>
      </c>
      <c r="X80" s="30">
        <f>$I$37*$X$37</f>
        <v>0</v>
      </c>
      <c r="Y80" s="30">
        <f>$I$37*$Y$37</f>
        <v>0</v>
      </c>
      <c r="Z80" s="30">
        <f>$I$37*$Z$37</f>
        <v>0</v>
      </c>
      <c r="AA80" s="30">
        <f>$I$37*$AA$37</f>
        <v>41.744033853622327</v>
      </c>
      <c r="AB80" s="30">
        <f>$I$37*$AB$37</f>
        <v>0</v>
      </c>
      <c r="AC80" s="30">
        <f>$I$37*$AC$37</f>
        <v>0</v>
      </c>
      <c r="AD80" s="30">
        <f>$I$37*$AD$37</f>
        <v>0</v>
      </c>
      <c r="AE80" s="30">
        <f>$I$37*$AE$37</f>
        <v>-0.44035076150192726</v>
      </c>
      <c r="AF80" s="30">
        <f>$I$37*$AF$37</f>
        <v>0</v>
      </c>
    </row>
    <row r="81" spans="1:32" ht="11.25" customHeight="1" x14ac:dyDescent="0.25">
      <c r="A81" s="9" t="s">
        <v>32</v>
      </c>
      <c r="B81" s="9" t="s">
        <v>1092</v>
      </c>
      <c r="C81" s="9" t="s">
        <v>1093</v>
      </c>
      <c r="D81" s="9" t="s">
        <v>1094</v>
      </c>
      <c r="E81" s="9" t="s">
        <v>1095</v>
      </c>
      <c r="F81" s="9" t="s">
        <v>1096</v>
      </c>
      <c r="G81" s="9" t="s">
        <v>1099</v>
      </c>
      <c r="L81" s="30">
        <f>$I$38*$L$38</f>
        <v>0</v>
      </c>
      <c r="M81" s="30">
        <f>$I$38*$M$38</f>
        <v>0</v>
      </c>
      <c r="N81" s="30">
        <f>$I$38*$N$38</f>
        <v>0</v>
      </c>
      <c r="O81" s="30">
        <f>$I$38*$O$38</f>
        <v>0</v>
      </c>
      <c r="P81" s="30">
        <f>$I$38*$P$38</f>
        <v>1287.4423614119503</v>
      </c>
      <c r="Q81" s="30">
        <f>$I$38*$Q$38</f>
        <v>0</v>
      </c>
      <c r="R81" s="30">
        <f>$I$38*$R$38</f>
        <v>0</v>
      </c>
      <c r="S81" s="30">
        <f>$I$38*$S$38</f>
        <v>0</v>
      </c>
      <c r="T81" s="30">
        <f>$I$38*$T$38</f>
        <v>14.500298698913713</v>
      </c>
      <c r="U81" s="30">
        <f>$I$38*$U$38</f>
        <v>0</v>
      </c>
      <c r="W81" s="30">
        <f>$I$38*$W$38</f>
        <v>0</v>
      </c>
      <c r="X81" s="30">
        <f>$I$38*$X$38</f>
        <v>0</v>
      </c>
      <c r="Y81" s="30">
        <f>$I$38*$Y$38</f>
        <v>0</v>
      </c>
      <c r="Z81" s="30">
        <f>$I$38*$Z$38</f>
        <v>0</v>
      </c>
      <c r="AA81" s="30">
        <f>$I$38*$AA$38</f>
        <v>1291.0106079608072</v>
      </c>
      <c r="AB81" s="30">
        <f>$I$38*$AB$38</f>
        <v>0</v>
      </c>
      <c r="AC81" s="30">
        <f>$I$38*$AC$38</f>
        <v>0</v>
      </c>
      <c r="AD81" s="30">
        <f>$I$38*$AD$38</f>
        <v>0</v>
      </c>
      <c r="AE81" s="30">
        <f>$I$38*$AE$38</f>
        <v>-13.61865281913277</v>
      </c>
      <c r="AF81" s="30">
        <f>$I$38*$AF$38</f>
        <v>0</v>
      </c>
    </row>
    <row r="82" spans="1:32" ht="11.25" customHeight="1" x14ac:dyDescent="0.25">
      <c r="A82" s="9" t="s">
        <v>32</v>
      </c>
      <c r="B82" s="9" t="s">
        <v>1100</v>
      </c>
      <c r="C82" s="9" t="s">
        <v>1101</v>
      </c>
      <c r="D82" s="9" t="s">
        <v>1102</v>
      </c>
      <c r="E82" s="9" t="s">
        <v>1103</v>
      </c>
      <c r="F82" s="9" t="s">
        <v>1104</v>
      </c>
      <c r="G82" s="9" t="s">
        <v>1105</v>
      </c>
      <c r="L82" s="30">
        <f>$I$39*$L$39</f>
        <v>0</v>
      </c>
      <c r="M82" s="30">
        <f>$I$39*$M$39</f>
        <v>0</v>
      </c>
      <c r="N82" s="30">
        <f>$I$39*$N$39</f>
        <v>0</v>
      </c>
      <c r="O82" s="30">
        <f>$I$39*$O$39</f>
        <v>0</v>
      </c>
      <c r="P82" s="30">
        <f>$I$39*$P$39</f>
        <v>454722.50985120644</v>
      </c>
      <c r="Q82" s="30">
        <f>$I$39*$Q$39</f>
        <v>0</v>
      </c>
      <c r="R82" s="30">
        <f>$I$39*$R$39</f>
        <v>0</v>
      </c>
      <c r="S82" s="30">
        <f>$I$39*$S$39</f>
        <v>0</v>
      </c>
      <c r="T82" s="30">
        <f>$I$39*$T$39</f>
        <v>5121.4814857660504</v>
      </c>
      <c r="U82" s="30">
        <f>$I$39*$U$39</f>
        <v>0</v>
      </c>
      <c r="W82" s="30">
        <f>$I$39*$W$39</f>
        <v>0</v>
      </c>
      <c r="X82" s="30">
        <f>$I$39*$X$39</f>
        <v>0</v>
      </c>
      <c r="Y82" s="30">
        <f>$I$39*$Y$39</f>
        <v>0</v>
      </c>
      <c r="Z82" s="30">
        <f>$I$39*$Z$39</f>
        <v>0</v>
      </c>
      <c r="AA82" s="30">
        <f>$I$39*$AA$39</f>
        <v>455982.8086227061</v>
      </c>
      <c r="AB82" s="30">
        <f>$I$39*$AB$39</f>
        <v>0</v>
      </c>
      <c r="AC82" s="30">
        <f>$I$39*$AC$39</f>
        <v>0</v>
      </c>
      <c r="AD82" s="30">
        <f>$I$39*$AD$39</f>
        <v>0</v>
      </c>
      <c r="AE82" s="30">
        <f>$I$39*$AE$39</f>
        <v>-4810.0856211664959</v>
      </c>
      <c r="AF82" s="30">
        <f>$I$39*$AF$39</f>
        <v>0</v>
      </c>
    </row>
    <row r="83" spans="1:32" ht="11.25" customHeight="1" x14ac:dyDescent="0.25">
      <c r="A83" s="9" t="s">
        <v>32</v>
      </c>
      <c r="B83" s="9" t="s">
        <v>1106</v>
      </c>
      <c r="C83" s="9" t="s">
        <v>1107</v>
      </c>
      <c r="D83" s="9" t="s">
        <v>1108</v>
      </c>
      <c r="E83" s="9" t="s">
        <v>1109</v>
      </c>
      <c r="F83" s="9" t="s">
        <v>1110</v>
      </c>
      <c r="G83" s="9" t="s">
        <v>1111</v>
      </c>
      <c r="L83" s="30">
        <f>$I$40*$L$40</f>
        <v>0</v>
      </c>
      <c r="M83" s="30">
        <f>$I$40*$M$40</f>
        <v>0</v>
      </c>
      <c r="N83" s="30">
        <f>$I$40*$N$40</f>
        <v>0</v>
      </c>
      <c r="O83" s="30">
        <f>$I$40*$O$40</f>
        <v>0</v>
      </c>
      <c r="P83" s="30">
        <f>$I$40*$P$40</f>
        <v>0</v>
      </c>
      <c r="Q83" s="30">
        <f>$I$40*$Q$40</f>
        <v>0</v>
      </c>
      <c r="R83" s="30">
        <f>$I$40*$R$40</f>
        <v>0</v>
      </c>
      <c r="S83" s="30">
        <f>$I$40*$S$40</f>
        <v>0</v>
      </c>
      <c r="T83" s="30">
        <f>$I$40*$T$40</f>
        <v>0</v>
      </c>
      <c r="U83" s="30">
        <f>$I$40*$U$40</f>
        <v>0</v>
      </c>
      <c r="W83" s="30">
        <f>$I$40*$W$40</f>
        <v>0</v>
      </c>
      <c r="X83" s="30">
        <f>$I$40*$X$40</f>
        <v>0</v>
      </c>
      <c r="Y83" s="30">
        <f>$I$40*$Y$40</f>
        <v>0</v>
      </c>
      <c r="Z83" s="30">
        <f>$I$40*$Z$40</f>
        <v>0</v>
      </c>
      <c r="AA83" s="30">
        <f>$I$40*$AA$40</f>
        <v>0</v>
      </c>
      <c r="AB83" s="30">
        <f>$I$40*$AB$40</f>
        <v>0</v>
      </c>
      <c r="AC83" s="30">
        <f>$I$40*$AC$40</f>
        <v>0</v>
      </c>
      <c r="AD83" s="30">
        <f>$I$40*$AD$40</f>
        <v>0</v>
      </c>
      <c r="AE83" s="30">
        <f>$I$40*$AE$40</f>
        <v>0</v>
      </c>
      <c r="AF83" s="30">
        <f>$I$40*$AF$40</f>
        <v>0</v>
      </c>
    </row>
    <row r="84" spans="1:32" ht="11.25" customHeight="1" x14ac:dyDescent="0.25">
      <c r="A84" s="9" t="s">
        <v>44</v>
      </c>
      <c r="B84" s="9" t="s">
        <v>1112</v>
      </c>
      <c r="C84" s="9" t="s">
        <v>1113</v>
      </c>
      <c r="D84" s="9" t="s">
        <v>1114</v>
      </c>
      <c r="E84" s="9" t="s">
        <v>1115</v>
      </c>
      <c r="F84" s="9" t="s">
        <v>1116</v>
      </c>
      <c r="G84" s="9" t="s">
        <v>1117</v>
      </c>
      <c r="L84" s="30">
        <f>$I$41*$L$41</f>
        <v>0</v>
      </c>
      <c r="M84" s="30">
        <f>$I$41*$M$41</f>
        <v>0</v>
      </c>
      <c r="N84" s="30">
        <f>$I$41*$N$41</f>
        <v>0</v>
      </c>
      <c r="O84" s="30">
        <f>$I$41*$O$41</f>
        <v>0</v>
      </c>
      <c r="P84" s="30">
        <f>$I$41*$P$41</f>
        <v>211934.89311655256</v>
      </c>
      <c r="Q84" s="30">
        <f>$I$41*$Q$41</f>
        <v>0</v>
      </c>
      <c r="R84" s="30">
        <f>$I$41*$R$41</f>
        <v>0</v>
      </c>
      <c r="S84" s="30">
        <f>$I$41*$S$41</f>
        <v>0</v>
      </c>
      <c r="T84" s="30">
        <f>$I$41*$T$41</f>
        <v>2386.9956023056789</v>
      </c>
      <c r="U84" s="30">
        <f>$I$41*$U$41</f>
        <v>0</v>
      </c>
      <c r="W84" s="30">
        <f>$I$41*$W$41</f>
        <v>0</v>
      </c>
      <c r="X84" s="30">
        <f>$I$41*$X$41</f>
        <v>0</v>
      </c>
      <c r="Y84" s="30">
        <f>$I$41*$Y$41</f>
        <v>0</v>
      </c>
      <c r="Z84" s="30">
        <f>$I$41*$Z$41</f>
        <v>0</v>
      </c>
      <c r="AA84" s="30">
        <f>$I$41*$AA$41</f>
        <v>212522.28714180127</v>
      </c>
      <c r="AB84" s="30">
        <f>$I$41*$AB$41</f>
        <v>0</v>
      </c>
      <c r="AC84" s="30">
        <f>$I$41*$AC$41</f>
        <v>0</v>
      </c>
      <c r="AD84" s="30">
        <f>$I$41*$AD$41</f>
        <v>0</v>
      </c>
      <c r="AE84" s="30">
        <f>$I$41*$AE$41</f>
        <v>-2241.8617066856132</v>
      </c>
      <c r="AF84" s="30">
        <f>$I$41*$AF$41</f>
        <v>0</v>
      </c>
    </row>
    <row r="85" spans="1:32" ht="11.25" customHeight="1" x14ac:dyDescent="0.25">
      <c r="A85" s="9" t="s">
        <v>44</v>
      </c>
      <c r="B85" s="9" t="s">
        <v>1112</v>
      </c>
      <c r="C85" s="9" t="s">
        <v>1113</v>
      </c>
      <c r="D85" s="9" t="s">
        <v>1118</v>
      </c>
      <c r="E85" s="9" t="s">
        <v>1119</v>
      </c>
      <c r="F85" s="9" t="s">
        <v>1120</v>
      </c>
      <c r="G85" s="9" t="s">
        <v>1121</v>
      </c>
      <c r="L85" s="30">
        <f>$I$42*$L$42</f>
        <v>0</v>
      </c>
      <c r="M85" s="30">
        <f>$I$42*$M$42</f>
        <v>0</v>
      </c>
      <c r="N85" s="30">
        <f>$I$42*$N$42</f>
        <v>0</v>
      </c>
      <c r="O85" s="30">
        <f>$I$42*$O$42</f>
        <v>0</v>
      </c>
      <c r="P85" s="30">
        <f>$I$42*$P$42</f>
        <v>0</v>
      </c>
      <c r="Q85" s="30">
        <f>$I$42*$Q$42</f>
        <v>0</v>
      </c>
      <c r="R85" s="30">
        <f>$I$42*$R$42</f>
        <v>0</v>
      </c>
      <c r="S85" s="30">
        <f>$I$42*$S$42</f>
        <v>0</v>
      </c>
      <c r="T85" s="30">
        <f>$I$42*$T$42</f>
        <v>0</v>
      </c>
      <c r="U85" s="30">
        <f>$I$42*$U$42</f>
        <v>0</v>
      </c>
      <c r="W85" s="30">
        <f>$I$42*$W$42</f>
        <v>0</v>
      </c>
      <c r="X85" s="30">
        <f>$I$42*$X$42</f>
        <v>0</v>
      </c>
      <c r="Y85" s="30">
        <f>$I$42*$Y$42</f>
        <v>0</v>
      </c>
      <c r="Z85" s="30">
        <f>$I$42*$Z$42</f>
        <v>0</v>
      </c>
      <c r="AA85" s="30">
        <f>$I$42*$AA$42</f>
        <v>0</v>
      </c>
      <c r="AB85" s="30">
        <f>$I$42*$AB$42</f>
        <v>0</v>
      </c>
      <c r="AC85" s="30">
        <f>$I$42*$AC$42</f>
        <v>0</v>
      </c>
      <c r="AD85" s="30">
        <f>$I$42*$AD$42</f>
        <v>0</v>
      </c>
      <c r="AE85" s="30">
        <f>$I$42*$AE$42</f>
        <v>0</v>
      </c>
      <c r="AF85" s="30">
        <f>$I$42*$AF$42</f>
        <v>0</v>
      </c>
    </row>
  </sheetData>
  <mergeCells count="69">
    <mergeCell ref="F1:F4"/>
    <mergeCell ref="A1:A4"/>
    <mergeCell ref="B1:B4"/>
    <mergeCell ref="C1:C4"/>
    <mergeCell ref="D1:D4"/>
    <mergeCell ref="E1:E4"/>
    <mergeCell ref="H1:H4"/>
    <mergeCell ref="I1:I4"/>
    <mergeCell ref="J1:J4"/>
    <mergeCell ref="L1:U1"/>
    <mergeCell ref="L2:U2"/>
    <mergeCell ref="L3:O3"/>
    <mergeCell ref="Q3:S3"/>
    <mergeCell ref="A5:A7"/>
    <mergeCell ref="B5:B6"/>
    <mergeCell ref="C5:C6"/>
    <mergeCell ref="D5:D6"/>
    <mergeCell ref="E5:E6"/>
    <mergeCell ref="A8:A20"/>
    <mergeCell ref="B8:B10"/>
    <mergeCell ref="C8:C10"/>
    <mergeCell ref="D8:D10"/>
    <mergeCell ref="E8:E10"/>
    <mergeCell ref="B11:B15"/>
    <mergeCell ref="C11:C15"/>
    <mergeCell ref="B16:B20"/>
    <mergeCell ref="C16:C20"/>
    <mergeCell ref="A21:A35"/>
    <mergeCell ref="B21:B23"/>
    <mergeCell ref="C21:C23"/>
    <mergeCell ref="D21:D23"/>
    <mergeCell ref="E21:E23"/>
    <mergeCell ref="B25:B27"/>
    <mergeCell ref="C25:C27"/>
    <mergeCell ref="D25:D27"/>
    <mergeCell ref="E25:E27"/>
    <mergeCell ref="W1:AF1"/>
    <mergeCell ref="W2:AF2"/>
    <mergeCell ref="W3:Z3"/>
    <mergeCell ref="AB3:AD3"/>
    <mergeCell ref="B33:B35"/>
    <mergeCell ref="C33:C35"/>
    <mergeCell ref="F25:F27"/>
    <mergeCell ref="B29:B31"/>
    <mergeCell ref="C29:C31"/>
    <mergeCell ref="D29:D31"/>
    <mergeCell ref="E29:E31"/>
    <mergeCell ref="F29:F31"/>
    <mergeCell ref="F21:F23"/>
    <mergeCell ref="F8:F10"/>
    <mergeCell ref="F5:F6"/>
    <mergeCell ref="G1:G4"/>
    <mergeCell ref="E36:E38"/>
    <mergeCell ref="F36:F38"/>
    <mergeCell ref="A41:A42"/>
    <mergeCell ref="B41:B42"/>
    <mergeCell ref="C41:C42"/>
    <mergeCell ref="A36:A40"/>
    <mergeCell ref="B36:B38"/>
    <mergeCell ref="C36:C38"/>
    <mergeCell ref="D36:D38"/>
    <mergeCell ref="L44:U44"/>
    <mergeCell ref="W44:AF44"/>
    <mergeCell ref="L45:U45"/>
    <mergeCell ref="W45:AF45"/>
    <mergeCell ref="L46:O46"/>
    <mergeCell ref="Q46:S46"/>
    <mergeCell ref="W46:Z46"/>
    <mergeCell ref="AB46:AD46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B6D7-A37A-4B61-9064-16CAEF8F7B3D}">
  <dimension ref="A1:AG15"/>
  <sheetViews>
    <sheetView showGridLines="0" workbookViewId="0">
      <selection activeCell="J15" sqref="J15"/>
    </sheetView>
  </sheetViews>
  <sheetFormatPr defaultRowHeight="11.25" x14ac:dyDescent="0.2"/>
  <cols>
    <col min="1" max="1" width="19.140625" style="16" bestFit="1" customWidth="1"/>
    <col min="2" max="2" width="12.42578125" style="16" bestFit="1" customWidth="1"/>
    <col min="3" max="7" width="10.28515625" style="16" bestFit="1" customWidth="1"/>
    <col min="8" max="8" width="8.7109375" style="16" bestFit="1" customWidth="1"/>
    <col min="9" max="9" width="8" style="16" bestFit="1" customWidth="1"/>
    <col min="10" max="10" width="7.28515625" style="16" bestFit="1" customWidth="1"/>
    <col min="11" max="11" width="7.140625" style="16" bestFit="1" customWidth="1"/>
    <col min="12" max="12" width="9.5703125" style="16" bestFit="1" customWidth="1"/>
    <col min="13" max="13" width="9.7109375" style="16" bestFit="1" customWidth="1"/>
    <col min="14" max="14" width="10" style="16" bestFit="1" customWidth="1"/>
    <col min="15" max="15" width="7.42578125" style="16" bestFit="1" customWidth="1"/>
    <col min="16" max="16" width="9.7109375" style="16" bestFit="1" customWidth="1"/>
    <col min="17" max="17" width="11" style="16" bestFit="1" customWidth="1"/>
    <col min="18" max="18" width="7.7109375" style="16" bestFit="1" customWidth="1"/>
    <col min="19" max="19" width="7.140625" style="16" bestFit="1" customWidth="1"/>
    <col min="20" max="20" width="14.5703125" style="16" bestFit="1" customWidth="1"/>
    <col min="21" max="21" width="17.7109375" style="16" bestFit="1" customWidth="1"/>
    <col min="22" max="22" width="18.42578125" style="16" bestFit="1" customWidth="1"/>
    <col min="23" max="23" width="6" style="16" bestFit="1" customWidth="1"/>
    <col min="24" max="24" width="10" style="16" bestFit="1" customWidth="1"/>
    <col min="25" max="26" width="9.140625" style="16"/>
    <col min="27" max="27" width="3" style="16" bestFit="1" customWidth="1"/>
    <col min="28" max="28" width="21.5703125" style="16" bestFit="1" customWidth="1"/>
    <col min="29" max="29" width="13.5703125" style="16" bestFit="1" customWidth="1"/>
    <col min="30" max="30" width="25.140625" style="16" bestFit="1" customWidth="1"/>
    <col min="31" max="33" width="10.28515625" style="16" bestFit="1" customWidth="1"/>
    <col min="34" max="16384" width="9.140625" style="16"/>
  </cols>
  <sheetData>
    <row r="1" spans="1:33" x14ac:dyDescent="0.2">
      <c r="A1" s="16" t="s">
        <v>59</v>
      </c>
      <c r="B1" s="16" t="s">
        <v>60</v>
      </c>
      <c r="C1" s="16" t="s">
        <v>61</v>
      </c>
      <c r="D1" s="16" t="s">
        <v>62</v>
      </c>
      <c r="E1" s="16" t="s">
        <v>63</v>
      </c>
      <c r="F1" s="16" t="s">
        <v>15</v>
      </c>
      <c r="G1" s="16" t="s">
        <v>65</v>
      </c>
      <c r="I1" s="16" t="s">
        <v>1129</v>
      </c>
      <c r="AA1" s="16" t="s">
        <v>34</v>
      </c>
      <c r="AB1" s="16" t="s">
        <v>25</v>
      </c>
      <c r="AC1" s="16" t="s">
        <v>25</v>
      </c>
      <c r="AD1" s="16" t="s">
        <v>25</v>
      </c>
      <c r="AE1" s="16" t="s">
        <v>25</v>
      </c>
      <c r="AF1" s="16" t="s">
        <v>25</v>
      </c>
      <c r="AG1" s="16" t="s">
        <v>25</v>
      </c>
    </row>
    <row r="2" spans="1:33" x14ac:dyDescent="0.2">
      <c r="A2" s="16" t="s">
        <v>34</v>
      </c>
      <c r="B2" s="16" t="s">
        <v>25</v>
      </c>
      <c r="C2" s="16" t="s">
        <v>25</v>
      </c>
      <c r="D2" s="16" t="s">
        <v>25</v>
      </c>
      <c r="E2" s="16" t="s">
        <v>25</v>
      </c>
      <c r="F2" s="16" t="s">
        <v>25</v>
      </c>
      <c r="G2" s="16" t="s">
        <v>25</v>
      </c>
      <c r="I2" s="16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6" t="s">
        <v>80</v>
      </c>
      <c r="AB2" s="16" t="s">
        <v>74</v>
      </c>
      <c r="AC2" s="16" t="s">
        <v>24</v>
      </c>
      <c r="AD2" s="16" t="s">
        <v>24</v>
      </c>
      <c r="AE2" s="16" t="s">
        <v>78</v>
      </c>
      <c r="AG2" s="16" t="s">
        <v>76</v>
      </c>
    </row>
    <row r="3" spans="1:33" x14ac:dyDescent="0.2">
      <c r="AA3" s="16" t="s">
        <v>22</v>
      </c>
      <c r="AB3" s="16" t="s">
        <v>79</v>
      </c>
      <c r="AC3" s="16" t="s">
        <v>42</v>
      </c>
      <c r="AD3" s="16" t="s">
        <v>28</v>
      </c>
      <c r="AE3" s="16" t="s">
        <v>81</v>
      </c>
      <c r="AG3" s="16" t="s">
        <v>77</v>
      </c>
    </row>
    <row r="4" spans="1:33" x14ac:dyDescent="0.2">
      <c r="AA4" s="16" t="s">
        <v>41</v>
      </c>
      <c r="AB4" s="16" t="s">
        <v>35</v>
      </c>
      <c r="AC4" s="16" t="s">
        <v>45</v>
      </c>
      <c r="AD4" s="16" t="s">
        <v>29</v>
      </c>
      <c r="AE4" s="16" t="s">
        <v>82</v>
      </c>
      <c r="AG4" s="16" t="s">
        <v>73</v>
      </c>
    </row>
    <row r="5" spans="1:33" x14ac:dyDescent="0.2">
      <c r="A5" s="16" t="s">
        <v>1122</v>
      </c>
      <c r="B5" s="16" t="str">
        <f>TUSD!$AI$4</f>
        <v>CDE Covid TUSD</v>
      </c>
      <c r="C5" s="16" t="str">
        <f>TUSD!$AJ$4</f>
        <v>TFSEE</v>
      </c>
      <c r="D5" s="16" t="str">
        <f>TUSD!$AK$4</f>
        <v>P&amp;D</v>
      </c>
      <c r="E5" s="16" t="str">
        <f>TUSD!$AL$4</f>
        <v>ONS</v>
      </c>
      <c r="F5" s="16" t="str">
        <f>TUSD!$AM$4</f>
        <v>CCC</v>
      </c>
      <c r="G5" s="16" t="str">
        <f>TUSD!$AN$4</f>
        <v>CDE</v>
      </c>
      <c r="H5" s="16" t="str">
        <f>TUSD!$AO$4</f>
        <v>PROINFA</v>
      </c>
      <c r="I5" s="16" t="str">
        <f>TUSD!$AP$4</f>
        <v>LIMINAR 1</v>
      </c>
      <c r="J5" s="16" t="str">
        <f>TUSD!$AQ$4</f>
        <v>TUSD RB</v>
      </c>
      <c r="K5" s="16" t="str">
        <f>TUSD!$AR$4</f>
        <v>TUSD FR</v>
      </c>
      <c r="L5" s="16" t="str">
        <f>TUSD!$AS$4</f>
        <v>CONEXAO T</v>
      </c>
      <c r="M5" s="16" t="str">
        <f>TUSD!$AT$4</f>
        <v>CONEXAO D</v>
      </c>
      <c r="N5" s="16" t="str">
        <f>TUSD!$AU$4</f>
        <v>CUSD</v>
      </c>
      <c r="O5" s="16" t="str">
        <f>TUSD!$AV$4</f>
        <v>TUSDG-T</v>
      </c>
      <c r="P5" s="16" t="str">
        <f>TUSD!$AW$4</f>
        <v>TUSDG-ONS</v>
      </c>
      <c r="Q5" s="16" t="str">
        <f>TUSD!$AX$4</f>
        <v>DISTRIBUICAO</v>
      </c>
      <c r="R5" s="16" t="str">
        <f>TUSD!$AY$4</f>
        <v>SUBSIDIO</v>
      </c>
      <c r="S5" s="16" t="str">
        <f>TUSD!$AZ$4</f>
        <v>OUTROS</v>
      </c>
      <c r="T5" s="16" t="str">
        <f>TUSD!$BA$4</f>
        <v>PERDAS TECNICAS</v>
      </c>
      <c r="U5" s="16" t="str">
        <f>TUSD!$BB$4</f>
        <v>PERDAS RB/ PERDAS D</v>
      </c>
      <c r="V5" s="16" t="str">
        <f>TUSD!$BC$4</f>
        <v>PERDAS NAO TECNICAS</v>
      </c>
      <c r="W5" s="16" t="str">
        <f>TUSD!$BD$4</f>
        <v>RI</v>
      </c>
      <c r="X5" s="16" t="s">
        <v>545</v>
      </c>
      <c r="AA5" s="16" t="s">
        <v>32</v>
      </c>
      <c r="AB5" s="16" t="s">
        <v>39</v>
      </c>
      <c r="AD5" s="16" t="s">
        <v>30</v>
      </c>
      <c r="AG5" s="16" t="s">
        <v>9</v>
      </c>
    </row>
    <row r="6" spans="1:33" x14ac:dyDescent="0.2">
      <c r="A6" s="16" t="s">
        <v>1123</v>
      </c>
      <c r="B6" s="57">
        <f>SUM(TUSD!$AI$57:'TUSD'!$AI$103)</f>
        <v>0</v>
      </c>
      <c r="C6" s="57">
        <f>SUM(TUSD!$AJ$57:'TUSD'!$AJ$103)</f>
        <v>14555.476324121184</v>
      </c>
      <c r="D6" s="57">
        <f>SUM(TUSD!$AK$57:'TUSD'!$AK$103)</f>
        <v>0</v>
      </c>
      <c r="E6" s="57">
        <f>SUM(TUSD!$AL$57:'TUSD'!$AL$103)</f>
        <v>0</v>
      </c>
      <c r="F6" s="57">
        <f>SUM(TUSD!$AM$57:'TUSD'!$AM$103)</f>
        <v>0</v>
      </c>
      <c r="G6" s="57">
        <f>SUM(TUSD!$AN$57:'TUSD'!$AN$103)</f>
        <v>189823.75527714205</v>
      </c>
      <c r="H6" s="57">
        <f>SUM(TUSD!$AO$57:'TUSD'!$AO$103)</f>
        <v>78040.961325291952</v>
      </c>
      <c r="I6" s="57">
        <f>SUM(TUSD!$AP$57:'TUSD'!$AP$103)</f>
        <v>0</v>
      </c>
      <c r="J6" s="57">
        <f>SUM(TUSD!$AQ$57:'TUSD'!$AQ$103)</f>
        <v>0</v>
      </c>
      <c r="K6" s="57">
        <f>SUM(TUSD!$AR$57:'TUSD'!$AR$103)</f>
        <v>0</v>
      </c>
      <c r="L6" s="57">
        <f>SUM(TUSD!$AS$57:'TUSD'!$AS$103)</f>
        <v>0</v>
      </c>
      <c r="M6" s="57">
        <f>SUM(TUSD!$AT$57:'TUSD'!$AT$103)</f>
        <v>0</v>
      </c>
      <c r="N6" s="57">
        <f>SUM(TUSD!$AU$57:'TUSD'!$AU$103)</f>
        <v>1116611.0544641232</v>
      </c>
      <c r="O6" s="57">
        <f>SUM(TUSD!$AV$57:'TUSD'!$AV$103)</f>
        <v>0</v>
      </c>
      <c r="P6" s="57">
        <f>SUM(TUSD!$AW$57:'TUSD'!$AW$103)</f>
        <v>0</v>
      </c>
      <c r="Q6" s="57">
        <f>SUM(TUSD!$AX$57:'TUSD'!$AX$103)</f>
        <v>2837592.5050892737</v>
      </c>
      <c r="R6" s="57">
        <f>SUM(TUSD!$AY$57:'TUSD'!$AY$103)</f>
        <v>7540.037346598524</v>
      </c>
      <c r="S6" s="57">
        <f>SUM(TUSD!$AZ$57:'TUSD'!$AZ$103)</f>
        <v>0</v>
      </c>
      <c r="T6" s="57">
        <f>SUM(TUSD!$BA$57:'TUSD'!$BA$103)</f>
        <v>311677.17991209024</v>
      </c>
      <c r="U6" s="57">
        <f>SUM(TUSD!$BB$57:'TUSD'!$BB$103)</f>
        <v>0</v>
      </c>
      <c r="V6" s="57">
        <f>SUM(TUSD!$BC$57:'TUSD'!$BC$103)</f>
        <v>0</v>
      </c>
      <c r="W6" s="57">
        <f>SUM(TUSD!$BD$57:'TUSD'!$BD$103)</f>
        <v>0</v>
      </c>
      <c r="X6" s="57">
        <f t="shared" ref="X6:X11" si="0">SUM(B6:W6)</f>
        <v>4555840.9697386408</v>
      </c>
      <c r="AA6" s="16" t="s">
        <v>44</v>
      </c>
      <c r="AB6" s="16" t="s">
        <v>23</v>
      </c>
      <c r="AD6" s="16" t="s">
        <v>31</v>
      </c>
      <c r="AG6" s="16" t="s">
        <v>70</v>
      </c>
    </row>
    <row r="7" spans="1:33" x14ac:dyDescent="0.2">
      <c r="A7" s="16" t="s">
        <v>1124</v>
      </c>
      <c r="B7" s="57">
        <f>SUM(TUSD!$L$57:'TUSD'!$L$103)</f>
        <v>0</v>
      </c>
      <c r="C7" s="57">
        <f>SUM(TUSD!$M$57:'TUSD'!$M$103)</f>
        <v>18951.126801435872</v>
      </c>
      <c r="D7" s="57">
        <f ca="1">SUM(TUSD!$N$57:'TUSD'!$N$103)</f>
        <v>0</v>
      </c>
      <c r="E7" s="57">
        <f>SUM(TUSD!$O$57:'TUSD'!$O$103)</f>
        <v>0</v>
      </c>
      <c r="F7" s="57">
        <f>SUM(TUSD!$P$57:'TUSD'!$P$103)</f>
        <v>0</v>
      </c>
      <c r="G7" s="57">
        <f>SUM(TUSD!$Q$57:'TUSD'!$Q$103)</f>
        <v>317778.95372023951</v>
      </c>
      <c r="H7" s="57">
        <f>SUM(TUSD!$R$57:'TUSD'!$R$103)</f>
        <v>119648.70754439586</v>
      </c>
      <c r="I7" s="57">
        <f>SUM(TUSD!$S$57:'TUSD'!$S$103)</f>
        <v>0</v>
      </c>
      <c r="J7" s="57">
        <f>SUM(TUSD!$T$57:'TUSD'!$T$103)</f>
        <v>0</v>
      </c>
      <c r="K7" s="57">
        <f>SUM(TUSD!$U$57:'TUSD'!$U$103)</f>
        <v>0</v>
      </c>
      <c r="L7" s="57">
        <f>SUM(TUSD!$V$57:'TUSD'!$V$103)</f>
        <v>0</v>
      </c>
      <c r="M7" s="57">
        <f>SUM(TUSD!$W$57:'TUSD'!$W$103)</f>
        <v>0</v>
      </c>
      <c r="N7" s="57">
        <f>SUM(TUSD!$X$57:'TUSD'!$X$103)</f>
        <v>1331293.3276944642</v>
      </c>
      <c r="O7" s="57">
        <f>SUM(TUSD!$Y$57:'TUSD'!$Y$103)</f>
        <v>0</v>
      </c>
      <c r="P7" s="57">
        <f>SUM(TUSD!$Z$57:'TUSD'!$Z$103)</f>
        <v>0</v>
      </c>
      <c r="Q7" s="57">
        <f>SUM(TUSD!$AA$57:'TUSD'!$AA$103)</f>
        <v>3844344.6130918944</v>
      </c>
      <c r="R7" s="57">
        <f ca="1">SUM(TUSD!$AB$57:'TUSD'!$AB$103)</f>
        <v>-8228.0231661024864</v>
      </c>
      <c r="S7" s="57">
        <f ca="1">SUM(TUSD!$AC$57:'TUSD'!$AC$103)</f>
        <v>0</v>
      </c>
      <c r="T7" s="57">
        <f>SUM(TUSD!$AD$57:'TUSD'!$AD$103)</f>
        <v>343859.4139701458</v>
      </c>
      <c r="U7" s="57">
        <f>SUM(TUSD!$AE$57:'TUSD'!$AE$103)</f>
        <v>0</v>
      </c>
      <c r="V7" s="57">
        <f ca="1">SUM(TUSD!$AF$57:'TUSD'!$AF$103)</f>
        <v>0</v>
      </c>
      <c r="W7" s="57">
        <f ca="1">SUM(TUSD!$AG$57:'TUSD'!$AG$103)</f>
        <v>0</v>
      </c>
      <c r="X7" s="57">
        <f t="shared" ca="1" si="0"/>
        <v>5967648.1196564734</v>
      </c>
      <c r="AB7" s="16" t="s">
        <v>85</v>
      </c>
      <c r="AD7" s="16" t="s">
        <v>86</v>
      </c>
      <c r="AG7" s="16" t="s">
        <v>71</v>
      </c>
    </row>
    <row r="8" spans="1:33" x14ac:dyDescent="0.2">
      <c r="A8" s="16" t="s">
        <v>1127</v>
      </c>
      <c r="B8" s="57">
        <f>IF($G$2&lt;&gt;"Não se aplica",SUMIF(TUSD!$G$57:'TUSD'!$G$103,$I$2,TUSD!$AI$57:'TUSD'!$AI$103),IF($F$2&lt;&gt;"Não se aplica",SUMIF(TUSD!$F$57:'TUSD'!$F$103,$I$2,TUSD!$AI$57:'TUSD'!$AI$103),IF($E$2&lt;&gt;"Não se aplica",SUMIF(TUSD!$E$57:'TUSD'!$E$103,$I$2,TUSD!$AI$57:'TUSD'!$AI$103),IF($D$2&lt;&gt;"Não se aplica",SUMIF(TUSD!$D$57:'TUSD'!$D$103,$I$2,TUSD!$AI$57:'TUSD'!$AI$103),IF($C$2&lt;&gt;"Não se aplica",SUMIF(TUSD!$C$57:'TUSD'!$C$103,$I$2,TUSD!$AI$57:'TUSD'!$AI$103),IF($B$2&lt;&gt;"Não se aplica",SUMIF(TUSD!$B$57:'TUSD'!$B$103,$I$2,TUSD!$AI$57:'TUSD'!$AI$103),SUMIF(TUSD!$A$57:'TUSD'!$A$103,$I$2,TUSD!$AI$57:'TUSD'!$AI$103)))))))</f>
        <v>0</v>
      </c>
      <c r="C8" s="57">
        <f>IF($G$2&lt;&gt;"Não se aplica",SUMIF(TUSD!$G$57:'TUSD'!$G$103,$I$2,TUSD!$AJ$57:'TUSD'!$AJ$103),IF($F$2&lt;&gt;"Não se aplica",SUMIF(TUSD!$F$57:'TUSD'!$F$103,$I$2,TUSD!$AJ$57:'TUSD'!$AJ$103),IF($E$2&lt;&gt;"Não se aplica",SUMIF(TUSD!$E$57:'TUSD'!$E$103,$I$2,TUSD!$AJ$57:'TUSD'!$AJ$103),IF($D$2&lt;&gt;"Não se aplica",SUMIF(TUSD!$D$57:'TUSD'!$D$103,$I$2,TUSD!$AJ$57:'TUSD'!$AJ$103),IF($C$2&lt;&gt;"Não se aplica",SUMIF(TUSD!$C$57:'TUSD'!$C$103,$I$2,TUSD!$AJ$57:'TUSD'!$AJ$103),IF($B$2&lt;&gt;"Não se aplica",SUMIF(TUSD!$B$57:'TUSD'!$B$103,$I$2,TUSD!$AJ$57:'TUSD'!$AJ$103),SUMIF(TUSD!$A$57:'TUSD'!$A$103,$I$2,TUSD!$AJ$57:'TUSD'!$AJ$103)))))))</f>
        <v>204.21338862830476</v>
      </c>
      <c r="D8" s="57">
        <f>IF($G$2&lt;&gt;"Não se aplica",SUMIF(TUSD!$G$57:'TUSD'!$G$103,$I$2,TUSD!$AK$57:'TUSD'!$AK$103),IF($F$2&lt;&gt;"Não se aplica",SUMIF(TUSD!$F$57:'TUSD'!$F$103,$I$2,TUSD!$AK$57:'TUSD'!$AK$103),IF($E$2&lt;&gt;"Não se aplica",SUMIF(TUSD!$E$57:'TUSD'!$E$103,$I$2,TUSD!$AK$57:'TUSD'!$AK$103),IF($D$2&lt;&gt;"Não se aplica",SUMIF(TUSD!$D$57:'TUSD'!$D$103,$I$2,TUSD!$AK$57:'TUSD'!$AK$103),IF($C$2&lt;&gt;"Não se aplica",SUMIF(TUSD!$C$57:'TUSD'!$C$103,$I$2,TUSD!$AK$57:'TUSD'!$AK$103),IF($B$2&lt;&gt;"Não se aplica",SUMIF(TUSD!$B$57:'TUSD'!$B$103,$I$2,TUSD!$AK$57:'TUSD'!$AK$103),SUMIF(TUSD!$A$57:'TUSD'!$A$103,$I$2,TUSD!$AK$57:'TUSD'!$AK$103)))))))</f>
        <v>0</v>
      </c>
      <c r="E8" s="57">
        <f>IF($G$2&lt;&gt;"Não se aplica",SUMIF(TUSD!$G$57:'TUSD'!$G$103,$I$2,TUSD!$AL$57:'TUSD'!$AL$103),IF($F$2&lt;&gt;"Não se aplica",SUMIF(TUSD!$F$57:'TUSD'!$F$103,$I$2,TUSD!$AL$57:'TUSD'!$AL$103),IF($E$2&lt;&gt;"Não se aplica",SUMIF(TUSD!$E$57:'TUSD'!$E$103,$I$2,TUSD!$AL$57:'TUSD'!$AL$103),IF($D$2&lt;&gt;"Não se aplica",SUMIF(TUSD!$D$57:'TUSD'!$D$103,$I$2,TUSD!$AL$57:'TUSD'!$AL$103),IF($C$2&lt;&gt;"Não se aplica",SUMIF(TUSD!$C$57:'TUSD'!$C$103,$I$2,TUSD!$AL$57:'TUSD'!$AL$103),IF($B$2&lt;&gt;"Não se aplica",SUMIF(TUSD!$B$57:'TUSD'!$B$103,$I$2,TUSD!$AL$57:'TUSD'!$AL$103),SUMIF(TUSD!$A$57:'TUSD'!$A$103,$I$2,TUSD!$AL$57:'TUSD'!$AL$103)))))))</f>
        <v>0</v>
      </c>
      <c r="F8" s="57">
        <f>IF($G$2&lt;&gt;"Não se aplica",SUMIF(TUSD!$G$57:'TUSD'!$G$103,$I$2,TUSD!$AM$57:'TUSD'!$AM$103),IF($F$2&lt;&gt;"Não se aplica",SUMIF(TUSD!$F$57:'TUSD'!$F$103,$I$2,TUSD!$AM$57:'TUSD'!$AM$103),IF($E$2&lt;&gt;"Não se aplica",SUMIF(TUSD!$E$57:'TUSD'!$E$103,$I$2,TUSD!$AM$57:'TUSD'!$AM$103),IF($D$2&lt;&gt;"Não se aplica",SUMIF(TUSD!$D$57:'TUSD'!$D$103,$I$2,TUSD!$AM$57:'TUSD'!$AM$103),IF($C$2&lt;&gt;"Não se aplica",SUMIF(TUSD!$C$57:'TUSD'!$C$103,$I$2,TUSD!$AM$57:'TUSD'!$AM$103),IF($B$2&lt;&gt;"Não se aplica",SUMIF(TUSD!$B$57:'TUSD'!$B$103,$I$2,TUSD!$AM$57:'TUSD'!$AM$103),SUMIF(TUSD!$A$57:'TUSD'!$A$103,$I$2,TUSD!$AM$57:'TUSD'!$AM$103)))))))</f>
        <v>0</v>
      </c>
      <c r="G8" s="57">
        <f>IF($G$2&lt;&gt;"Não se aplica",SUMIF(TUSD!$G$57:'TUSD'!$G$103,$I$2,TUSD!$AN$57:'TUSD'!$AN$103),IF($F$2&lt;&gt;"Não se aplica",SUMIF(TUSD!$F$57:'TUSD'!$F$103,$I$2,TUSD!$AN$57:'TUSD'!$AN$103),IF($E$2&lt;&gt;"Não se aplica",SUMIF(TUSD!$E$57:'TUSD'!$E$103,$I$2,TUSD!$AN$57:'TUSD'!$AN$103),IF($D$2&lt;&gt;"Não se aplica",SUMIF(TUSD!$D$57:'TUSD'!$D$103,$I$2,TUSD!$AN$57:'TUSD'!$AN$103),IF($C$2&lt;&gt;"Não se aplica",SUMIF(TUSD!$C$57:'TUSD'!$C$103,$I$2,TUSD!$AN$57:'TUSD'!$AN$103),IF($B$2&lt;&gt;"Não se aplica",SUMIF(TUSD!$B$57:'TUSD'!$B$103,$I$2,TUSD!$AN$57:'TUSD'!$AN$103),SUMIF(TUSD!$A$57:'TUSD'!$A$103,$I$2,TUSD!$AN$57:'TUSD'!$AN$103)))))))</f>
        <v>6722.6917292438566</v>
      </c>
      <c r="H8" s="57">
        <f>IF($G$2&lt;&gt;"Não se aplica",SUMIF(TUSD!$G$57:'TUSD'!$G$103,$I$2,TUSD!$AO$57:'TUSD'!$AO$103),IF($F$2&lt;&gt;"Não se aplica",SUMIF(TUSD!$F$57:'TUSD'!$F$103,$I$2,TUSD!$AO$57:'TUSD'!$AO$103),IF($E$2&lt;&gt;"Não se aplica",SUMIF(TUSD!$E$57:'TUSD'!$E$103,$I$2,TUSD!$AO$57:'TUSD'!$AO$103),IF($D$2&lt;&gt;"Não se aplica",SUMIF(TUSD!$D$57:'TUSD'!$D$103,$I$2,TUSD!$AO$57:'TUSD'!$AO$103),IF($C$2&lt;&gt;"Não se aplica",SUMIF(TUSD!$C$57:'TUSD'!$C$103,$I$2,TUSD!$AO$57:'TUSD'!$AO$103),IF($B$2&lt;&gt;"Não se aplica",SUMIF(TUSD!$B$57:'TUSD'!$B$103,$I$2,TUSD!$AO$57:'TUSD'!$AO$103),SUMIF(TUSD!$A$57:'TUSD'!$A$103,$I$2,TUSD!$AO$57:'TUSD'!$AO$103)))))))</f>
        <v>3160.1215239037756</v>
      </c>
      <c r="I8" s="57">
        <f>IF($G$2&lt;&gt;"Não se aplica",SUMIF(TUSD!$G$57:'TUSD'!$G$103,$I$2,TUSD!$AP$57:'TUSD'!$AP$103),IF($F$2&lt;&gt;"Não se aplica",SUMIF(TUSD!$F$57:'TUSD'!$F$103,$I$2,TUSD!$AP$57:'TUSD'!$AP$103),IF($E$2&lt;&gt;"Não se aplica",SUMIF(TUSD!$E$57:'TUSD'!$E$103,$I$2,TUSD!$AP$57:'TUSD'!$AP$103),IF($D$2&lt;&gt;"Não se aplica",SUMIF(TUSD!$D$57:'TUSD'!$D$103,$I$2,TUSD!$AP$57:'TUSD'!$AP$103),IF($C$2&lt;&gt;"Não se aplica",SUMIF(TUSD!$C$57:'TUSD'!$C$103,$I$2,TUSD!$AP$57:'TUSD'!$AP$103),IF($B$2&lt;&gt;"Não se aplica",SUMIF(TUSD!$B$57:'TUSD'!$B$103,$I$2,TUSD!$AP$57:'TUSD'!$AP$103),SUMIF(TUSD!$A$57:'TUSD'!$A$103,$I$2,TUSD!$AP$57:'TUSD'!$AP$103)))))))</f>
        <v>0</v>
      </c>
      <c r="J8" s="57">
        <f>IF($G$2&lt;&gt;"Não se aplica",SUMIF(TUSD!$G$57:'TUSD'!$G$103,$I$2,TUSD!$AQ$57:'TUSD'!$AQ$103),IF($F$2&lt;&gt;"Não se aplica",SUMIF(TUSD!$F$57:'TUSD'!$F$103,$I$2,TUSD!$AQ$57:'TUSD'!$AQ$103),IF($E$2&lt;&gt;"Não se aplica",SUMIF(TUSD!$E$57:'TUSD'!$E$103,$I$2,TUSD!$AQ$57:'TUSD'!$AQ$103),IF($D$2&lt;&gt;"Não se aplica",SUMIF(TUSD!$D$57:'TUSD'!$D$103,$I$2,TUSD!$AQ$57:'TUSD'!$AQ$103),IF($C$2&lt;&gt;"Não se aplica",SUMIF(TUSD!$C$57:'TUSD'!$C$103,$I$2,TUSD!$AQ$57:'TUSD'!$AQ$103),IF($B$2&lt;&gt;"Não se aplica",SUMIF(TUSD!$B$57:'TUSD'!$B$103,$I$2,TUSD!$AQ$57:'TUSD'!$AQ$103),SUMIF(TUSD!$A$57:'TUSD'!$A$103,$I$2,TUSD!$AQ$57:'TUSD'!$AQ$103)))))))</f>
        <v>0</v>
      </c>
      <c r="K8" s="57">
        <f>IF($G$2&lt;&gt;"Não se aplica",SUMIF(TUSD!$G$57:'TUSD'!$G$103,$I$2,TUSD!$AR$57:'TUSD'!$AR$103),IF($F$2&lt;&gt;"Não se aplica",SUMIF(TUSD!$F$57:'TUSD'!$F$103,$I$2,TUSD!$AR$57:'TUSD'!$AR$103),IF($E$2&lt;&gt;"Não se aplica",SUMIF(TUSD!$E$57:'TUSD'!$E$103,$I$2,TUSD!$AR$57:'TUSD'!$AR$103),IF($D$2&lt;&gt;"Não se aplica",SUMIF(TUSD!$D$57:'TUSD'!$D$103,$I$2,TUSD!$AR$57:'TUSD'!$AR$103),IF($C$2&lt;&gt;"Não se aplica",SUMIF(TUSD!$C$57:'TUSD'!$C$103,$I$2,TUSD!$AR$57:'TUSD'!$AR$103),IF($B$2&lt;&gt;"Não se aplica",SUMIF(TUSD!$B$57:'TUSD'!$B$103,$I$2,TUSD!$AR$57:'TUSD'!$AR$103),SUMIF(TUSD!$A$57:'TUSD'!$A$103,$I$2,TUSD!$AR$57:'TUSD'!$AR$103)))))))</f>
        <v>0</v>
      </c>
      <c r="L8" s="57">
        <f>IF($G$2&lt;&gt;"Não se aplica",SUMIF(TUSD!$G$57:'TUSD'!$G$103,$I$2,TUSD!$AS$57:'TUSD'!$AS$103),IF($F$2&lt;&gt;"Não se aplica",SUMIF(TUSD!$F$57:'TUSD'!$F$103,$I$2,TUSD!$AS$57:'TUSD'!$AS$103),IF($E$2&lt;&gt;"Não se aplica",SUMIF(TUSD!$E$57:'TUSD'!$E$103,$I$2,TUSD!$AS$57:'TUSD'!$AS$103),IF($D$2&lt;&gt;"Não se aplica",SUMIF(TUSD!$D$57:'TUSD'!$D$103,$I$2,TUSD!$AS$57:'TUSD'!$AS$103),IF($C$2&lt;&gt;"Não se aplica",SUMIF(TUSD!$C$57:'TUSD'!$C$103,$I$2,TUSD!$AS$57:'TUSD'!$AS$103),IF($B$2&lt;&gt;"Não se aplica",SUMIF(TUSD!$B$57:'TUSD'!$B$103,$I$2,TUSD!$AS$57:'TUSD'!$AS$103),SUMIF(TUSD!$A$57:'TUSD'!$A$103,$I$2,TUSD!$AS$57:'TUSD'!$AS$103)))))))</f>
        <v>0</v>
      </c>
      <c r="M8" s="57">
        <f>IF($G$2&lt;&gt;"Não se aplica",SUMIF(TUSD!$G$57:'TUSD'!$G$103,$I$2,TUSD!$AT$57:'TUSD'!$AT$103),IF($F$2&lt;&gt;"Não se aplica",SUMIF(TUSD!$F$57:'TUSD'!$F$103,$I$2,TUSD!$AT$57:'TUSD'!$AT$103),IF($E$2&lt;&gt;"Não se aplica",SUMIF(TUSD!$E$57:'TUSD'!$E$103,$I$2,TUSD!$AT$57:'TUSD'!$AT$103),IF($D$2&lt;&gt;"Não se aplica",SUMIF(TUSD!$D$57:'TUSD'!$D$103,$I$2,TUSD!$AT$57:'TUSD'!$AT$103),IF($C$2&lt;&gt;"Não se aplica",SUMIF(TUSD!$C$57:'TUSD'!$C$103,$I$2,TUSD!$AT$57:'TUSD'!$AT$103),IF($B$2&lt;&gt;"Não se aplica",SUMIF(TUSD!$B$57:'TUSD'!$B$103,$I$2,TUSD!$AT$57:'TUSD'!$AT$103),SUMIF(TUSD!$A$57:'TUSD'!$A$103,$I$2,TUSD!$AT$57:'TUSD'!$AT$103)))))))</f>
        <v>0</v>
      </c>
      <c r="N8" s="57">
        <f>IF($G$2&lt;&gt;"Não se aplica",SUMIF(TUSD!$G$57:'TUSD'!$G$103,$I$2,TUSD!$AU$57:'TUSD'!$AU$103),IF($F$2&lt;&gt;"Não se aplica",SUMIF(TUSD!$F$57:'TUSD'!$F$103,$I$2,TUSD!$AU$57:'TUSD'!$AU$103),IF($E$2&lt;&gt;"Não se aplica",SUMIF(TUSD!$E$57:'TUSD'!$E$103,$I$2,TUSD!$AU$57:'TUSD'!$AU$103),IF($D$2&lt;&gt;"Não se aplica",SUMIF(TUSD!$D$57:'TUSD'!$D$103,$I$2,TUSD!$AU$57:'TUSD'!$AU$103),IF($C$2&lt;&gt;"Não se aplica",SUMIF(TUSD!$C$57:'TUSD'!$C$103,$I$2,TUSD!$AU$57:'TUSD'!$AU$103),IF($B$2&lt;&gt;"Não se aplica",SUMIF(TUSD!$B$57:'TUSD'!$B$103,$I$2,TUSD!$AU$57:'TUSD'!$AU$103),SUMIF(TUSD!$A$57:'TUSD'!$A$103,$I$2,TUSD!$AU$57:'TUSD'!$AU$103)))))))</f>
        <v>37633.422864724751</v>
      </c>
      <c r="O8" s="57">
        <f>IF($G$2&lt;&gt;"Não se aplica",SUMIF(TUSD!$G$57:'TUSD'!$G$103,$I$2,TUSD!$AV$57:'TUSD'!$AV$103),IF($F$2&lt;&gt;"Não se aplica",SUMIF(TUSD!$F$57:'TUSD'!$F$103,$I$2,TUSD!$AV$57:'TUSD'!$AV$103),IF($E$2&lt;&gt;"Não se aplica",SUMIF(TUSD!$E$57:'TUSD'!$E$103,$I$2,TUSD!$AV$57:'TUSD'!$AV$103),IF($D$2&lt;&gt;"Não se aplica",SUMIF(TUSD!$D$57:'TUSD'!$D$103,$I$2,TUSD!$AV$57:'TUSD'!$AV$103),IF($C$2&lt;&gt;"Não se aplica",SUMIF(TUSD!$C$57:'TUSD'!$C$103,$I$2,TUSD!$AV$57:'TUSD'!$AV$103),IF($B$2&lt;&gt;"Não se aplica",SUMIF(TUSD!$B$57:'TUSD'!$B$103,$I$2,TUSD!$AV$57:'TUSD'!$AV$103),SUMIF(TUSD!$A$57:'TUSD'!$A$103,$I$2,TUSD!$AV$57:'TUSD'!$AV$103)))))))</f>
        <v>0</v>
      </c>
      <c r="P8" s="57">
        <f>IF($G$2&lt;&gt;"Não se aplica",SUMIF(TUSD!$G$57:'TUSD'!$G$103,$I$2,TUSD!$AW$57:'TUSD'!$AW$103),IF($F$2&lt;&gt;"Não se aplica",SUMIF(TUSD!$F$57:'TUSD'!$F$103,$I$2,TUSD!$AW$57:'TUSD'!$AW$103),IF($E$2&lt;&gt;"Não se aplica",SUMIF(TUSD!$E$57:'TUSD'!$E$103,$I$2,TUSD!$AW$57:'TUSD'!$AW$103),IF($D$2&lt;&gt;"Não se aplica",SUMIF(TUSD!$D$57:'TUSD'!$D$103,$I$2,TUSD!$AW$57:'TUSD'!$AW$103),IF($C$2&lt;&gt;"Não se aplica",SUMIF(TUSD!$C$57:'TUSD'!$C$103,$I$2,TUSD!$AW$57:'TUSD'!$AW$103),IF($B$2&lt;&gt;"Não se aplica",SUMIF(TUSD!$B$57:'TUSD'!$B$103,$I$2,TUSD!$AW$57:'TUSD'!$AW$103),SUMIF(TUSD!$A$57:'TUSD'!$A$103,$I$2,TUSD!$AW$57:'TUSD'!$AW$103)))))))</f>
        <v>0</v>
      </c>
      <c r="Q8" s="57">
        <f>IF($G$2&lt;&gt;"Não se aplica",SUMIF(TUSD!$G$57:'TUSD'!$G$103,$I$2,TUSD!$AX$57:'TUSD'!$AX$103),IF($F$2&lt;&gt;"Não se aplica",SUMIF(TUSD!$F$57:'TUSD'!$F$103,$I$2,TUSD!$AX$57:'TUSD'!$AX$103),IF($E$2&lt;&gt;"Não se aplica",SUMIF(TUSD!$E$57:'TUSD'!$E$103,$I$2,TUSD!$AX$57:'TUSD'!$AX$103),IF($D$2&lt;&gt;"Não se aplica",SUMIF(TUSD!$D$57:'TUSD'!$D$103,$I$2,TUSD!$AX$57:'TUSD'!$AX$103),IF($C$2&lt;&gt;"Não se aplica",SUMIF(TUSD!$C$57:'TUSD'!$C$103,$I$2,TUSD!$AX$57:'TUSD'!$AX$103),IF($B$2&lt;&gt;"Não se aplica",SUMIF(TUSD!$B$57:'TUSD'!$B$103,$I$2,TUSD!$AX$57:'TUSD'!$AX$103),SUMIF(TUSD!$A$57:'TUSD'!$A$103,$I$2,TUSD!$AX$57:'TUSD'!$AX$103)))))))</f>
        <v>32841.733852646859</v>
      </c>
      <c r="R8" s="57">
        <f>IF($G$2&lt;&gt;"Não se aplica",SUMIF(TUSD!$G$57:'TUSD'!$G$103,$I$2,TUSD!$AY$57:'TUSD'!$AY$103),IF($F$2&lt;&gt;"Não se aplica",SUMIF(TUSD!$F$57:'TUSD'!$F$103,$I$2,TUSD!$AY$57:'TUSD'!$AY$103),IF($E$2&lt;&gt;"Não se aplica",SUMIF(TUSD!$E$57:'TUSD'!$E$103,$I$2,TUSD!$AY$57:'TUSD'!$AY$103),IF($D$2&lt;&gt;"Não se aplica",SUMIF(TUSD!$D$57:'TUSD'!$D$103,$I$2,TUSD!$AY$57:'TUSD'!$AY$103),IF($C$2&lt;&gt;"Não se aplica",SUMIF(TUSD!$C$57:'TUSD'!$C$103,$I$2,TUSD!$AY$57:'TUSD'!$AY$103),IF($B$2&lt;&gt;"Não se aplica",SUMIF(TUSD!$B$57:'TUSD'!$B$103,$I$2,TUSD!$AY$57:'TUSD'!$AY$103),SUMIF(TUSD!$A$57:'TUSD'!$A$103,$I$2,TUSD!$AY$57:'TUSD'!$AY$103)))))))</f>
        <v>132.40951521598063</v>
      </c>
      <c r="S8" s="57">
        <f>IF($G$2&lt;&gt;"Não se aplica",SUMIF(TUSD!$G$57:'TUSD'!$G$103,$I$2,TUSD!$AZ$57:'TUSD'!$AZ$103),IF($F$2&lt;&gt;"Não se aplica",SUMIF(TUSD!$F$57:'TUSD'!$F$103,$I$2,TUSD!$AZ$57:'TUSD'!$AZ$103),IF($E$2&lt;&gt;"Não se aplica",SUMIF(TUSD!$E$57:'TUSD'!$E$103,$I$2,TUSD!$AZ$57:'TUSD'!$AZ$103),IF($D$2&lt;&gt;"Não se aplica",SUMIF(TUSD!$D$57:'TUSD'!$D$103,$I$2,TUSD!$AZ$57:'TUSD'!$AZ$103),IF($C$2&lt;&gt;"Não se aplica",SUMIF(TUSD!$C$57:'TUSD'!$C$103,$I$2,TUSD!$AZ$57:'TUSD'!$AZ$103),IF($B$2&lt;&gt;"Não se aplica",SUMIF(TUSD!$B$57:'TUSD'!$B$103,$I$2,TUSD!$AZ$57:'TUSD'!$AZ$103),SUMIF(TUSD!$A$57:'TUSD'!$A$103,$I$2,TUSD!$AZ$57:'TUSD'!$AZ$103)))))))</f>
        <v>0</v>
      </c>
      <c r="T8" s="57">
        <f>IF($G$2&lt;&gt;"Não se aplica",SUMIF(TUSD!$G$57:'TUSD'!$G$103,$I$2,TUSD!$BA$57:'TUSD'!$BA$103),IF($F$2&lt;&gt;"Não se aplica",SUMIF(TUSD!$F$57:'TUSD'!$F$103,$I$2,TUSD!$BA$57:'TUSD'!$BA$103),IF($E$2&lt;&gt;"Não se aplica",SUMIF(TUSD!$E$57:'TUSD'!$E$103,$I$2,TUSD!$BA$57:'TUSD'!$BA$103),IF($D$2&lt;&gt;"Não se aplica",SUMIF(TUSD!$D$57:'TUSD'!$D$103,$I$2,TUSD!$BA$57:'TUSD'!$BA$103),IF($C$2&lt;&gt;"Não se aplica",SUMIF(TUSD!$C$57:'TUSD'!$C$103,$I$2,TUSD!$BA$57:'TUSD'!$BA$103),IF($B$2&lt;&gt;"Não se aplica",SUMIF(TUSD!$B$57:'TUSD'!$B$103,$I$2,TUSD!$BA$57:'TUSD'!$BA$103),SUMIF(TUSD!$A$57:'TUSD'!$A$103,$I$2,TUSD!$BA$57:'TUSD'!$BA$103)))))))</f>
        <v>4959.2811887246835</v>
      </c>
      <c r="U8" s="57">
        <f>IF($G$2&lt;&gt;"Não se aplica",SUMIF(TUSD!$G$57:'TUSD'!$G$103,$I$2,TUSD!$BB$57:'TUSD'!$BB$103),IF($F$2&lt;&gt;"Não se aplica",SUMIF(TUSD!$F$57:'TUSD'!$F$103,$I$2,TUSD!$BB$57:'TUSD'!$BB$103),IF($E$2&lt;&gt;"Não se aplica",SUMIF(TUSD!$E$57:'TUSD'!$E$103,$I$2,TUSD!$BB$57:'TUSD'!$BB$103),IF($D$2&lt;&gt;"Não se aplica",SUMIF(TUSD!$D$57:'TUSD'!$D$103,$I$2,TUSD!$BB$57:'TUSD'!$BB$103),IF($C$2&lt;&gt;"Não se aplica",SUMIF(TUSD!$C$57:'TUSD'!$C$103,$I$2,TUSD!$BB$57:'TUSD'!$BB$103),IF($B$2&lt;&gt;"Não se aplica",SUMIF(TUSD!$B$57:'TUSD'!$B$103,$I$2,TUSD!$BB$57:'TUSD'!$BB$103),SUMIF(TUSD!$A$57:'TUSD'!$A$103,$I$2,TUSD!$BB$57:'TUSD'!$BB$103)))))))</f>
        <v>0</v>
      </c>
      <c r="V8" s="57">
        <f>IF($G$2&lt;&gt;"Não se aplica",SUMIF(TUSD!$G$57:'TUSD'!$G$103,$I$2,TUSD!$BC$57:'TUSD'!$BC$103),IF($F$2&lt;&gt;"Não se aplica",SUMIF(TUSD!$F$57:'TUSD'!$F$103,$I$2,TUSD!$BC$57:'TUSD'!$BC$103),IF($E$2&lt;&gt;"Não se aplica",SUMIF(TUSD!$E$57:'TUSD'!$E$103,$I$2,TUSD!$BC$57:'TUSD'!$BC$103),IF($D$2&lt;&gt;"Não se aplica",SUMIF(TUSD!$D$57:'TUSD'!$D$103,$I$2,TUSD!$BC$57:'TUSD'!$BC$103),IF($C$2&lt;&gt;"Não se aplica",SUMIF(TUSD!$C$57:'TUSD'!$C$103,$I$2,TUSD!$BC$57:'TUSD'!$BC$103),IF($B$2&lt;&gt;"Não se aplica",SUMIF(TUSD!$B$57:'TUSD'!$B$103,$I$2,TUSD!$BC$57:'TUSD'!$BC$103),SUMIF(TUSD!$A$57:'TUSD'!$A$103,$I$2,TUSD!$BC$57:'TUSD'!$BC$103)))))))</f>
        <v>0</v>
      </c>
      <c r="W8" s="57">
        <f>IF($G$2&lt;&gt;"Não se aplica",SUMIF(TUSD!$G$57:'TUSD'!$G$103,$I$2,TUSD!$BD$57:'TUSD'!$BD$103),IF($F$2&lt;&gt;"Não se aplica",SUMIF(TUSD!$F$57:'TUSD'!$F$103,$I$2,TUSD!$BD$57:'TUSD'!$BD$103),IF($E$2&lt;&gt;"Não se aplica",SUMIF(TUSD!$E$57:'TUSD'!$E$103,$I$2,TUSD!$BD$57:'TUSD'!$BD$103),IF($D$2&lt;&gt;"Não se aplica",SUMIF(TUSD!$D$57:'TUSD'!$D$103,$I$2,TUSD!$BD$57:'TUSD'!$BD$103),IF($C$2&lt;&gt;"Não se aplica",SUMIF(TUSD!$C$57:'TUSD'!$C$103,$I$2,TUSD!$BD$57:'TUSD'!$BD$103),IF($B$2&lt;&gt;"Não se aplica",SUMIF(TUSD!$B$57:'TUSD'!$B$103,$I$2,TUSD!$BD$57:'TUSD'!$BD$103),SUMIF(TUSD!$A$57:'TUSD'!$A$103,$I$2,TUSD!$BD$57:'TUSD'!$BD$103)))))))</f>
        <v>0</v>
      </c>
      <c r="X8" s="57">
        <f t="shared" si="0"/>
        <v>85653.874063088209</v>
      </c>
      <c r="AD8" s="16" t="s">
        <v>87</v>
      </c>
      <c r="AG8" s="16" t="s">
        <v>83</v>
      </c>
    </row>
    <row r="9" spans="1:33" x14ac:dyDescent="0.2">
      <c r="A9" s="16" t="s">
        <v>1128</v>
      </c>
      <c r="B9" s="57">
        <f>IF($G$2&lt;&gt;"Não se aplica",SUMIF(TUSD!$G$57:'TUSD'!$G$103,$I$2,TUSD!$L$57:'TUSD'!$L$103),IF($F$2&lt;&gt;"Não se aplica",SUMIF(TUSD!$F$57:'TUSD'!$F$103,$I$2,TUSD!$L$57:'TUSD'!$L$103),IF($E$2&lt;&gt;"Não se aplica",SUMIF(TUSD!$E$57:'TUSD'!$E$103,$I$2,TUSD!$L$57:'TUSD'!$L$103),IF($D$2&lt;&gt;"Não se aplica",SUMIF(TUSD!$D$57:'TUSD'!$D$103,$I$2,TUSD!$L$57:'TUSD'!$L$103),IF($C$2&lt;&gt;"Não se aplica",SUMIF(TUSD!$C$57:'TUSD'!$C$103,$I$2,TUSD!$L$57:'TUSD'!$L$103),IF($B$2&lt;&gt;"Não se aplica",SUMIF(TUSD!$B$57:'TUSD'!$B$103,$I$2,TUSD!$L$57:'TUSD'!$L$103),SUMIF(TUSD!$A$57:'TUSD'!$A$103,$I$2,TUSD!$L$57:'TUSD'!$L$103)))))))</f>
        <v>0</v>
      </c>
      <c r="C9" s="57">
        <f>IF($G$2&lt;&gt;"Não se aplica",SUMIF(TUSD!$G$57:'TUSD'!$G$103,$I$2,TUSD!$M$57:'TUSD'!$M$103),IF($F$2&lt;&gt;"Não se aplica",SUMIF(TUSD!$F$57:'TUSD'!$F$103,$I$2,TUSD!$M$57:'TUSD'!$M$103),IF($E$2&lt;&gt;"Não se aplica",SUMIF(TUSD!$E$57:'TUSD'!$E$103,$I$2,TUSD!$M$57:'TUSD'!$M$103),IF($D$2&lt;&gt;"Não se aplica",SUMIF(TUSD!$D$57:'TUSD'!$D$103,$I$2,TUSD!$M$57:'TUSD'!$M$103),IF($C$2&lt;&gt;"Não se aplica",SUMIF(TUSD!$C$57:'TUSD'!$C$103,$I$2,TUSD!$M$57:'TUSD'!$M$103),IF($B$2&lt;&gt;"Não se aplica",SUMIF(TUSD!$B$57:'TUSD'!$B$103,$I$2,TUSD!$M$57:'TUSD'!$M$103),SUMIF(TUSD!$A$57:'TUSD'!$A$103,$I$2,TUSD!$M$57:'TUSD'!$M$103)))))))</f>
        <v>215.62204750878115</v>
      </c>
      <c r="D9" s="57">
        <f ca="1">IF($G$2&lt;&gt;"Não se aplica",SUMIF(TUSD!$G$57:'TUSD'!$G$103,$I$2,TUSD!$N$57:'TUSD'!$N$103),IF($F$2&lt;&gt;"Não se aplica",SUMIF(TUSD!$F$57:'TUSD'!$F$103,$I$2,TUSD!$N$57:'TUSD'!$N$103),IF($E$2&lt;&gt;"Não se aplica",SUMIF(TUSD!$E$57:'TUSD'!$E$103,$I$2,TUSD!$N$57:'TUSD'!$N$103),IF($D$2&lt;&gt;"Não se aplica",SUMIF(TUSD!$D$57:'TUSD'!$D$103,$I$2,TUSD!$N$57:'TUSD'!$N$103),IF($C$2&lt;&gt;"Não se aplica",SUMIF(TUSD!$C$57:'TUSD'!$C$103,$I$2,TUSD!$N$57:'TUSD'!$N$103),IF($B$2&lt;&gt;"Não se aplica",SUMIF(TUSD!$B$57:'TUSD'!$B$103,$I$2,TUSD!$N$57:'TUSD'!$N$103),SUMIF(TUSD!$A$57:'TUSD'!$A$103,$I$2,TUSD!$N$57:'TUSD'!$N$103)))))))</f>
        <v>0</v>
      </c>
      <c r="E9" s="57">
        <f>IF($G$2&lt;&gt;"Não se aplica",SUMIF(TUSD!$G$57:'TUSD'!$G$103,$I$2,TUSD!$O$57:'TUSD'!$O$103),IF($F$2&lt;&gt;"Não se aplica",SUMIF(TUSD!$F$57:'TUSD'!$F$103,$I$2,TUSD!$O$57:'TUSD'!$O$103),IF($E$2&lt;&gt;"Não se aplica",SUMIF(TUSD!$E$57:'TUSD'!$E$103,$I$2,TUSD!$O$57:'TUSD'!$O$103),IF($D$2&lt;&gt;"Não se aplica",SUMIF(TUSD!$D$57:'TUSD'!$D$103,$I$2,TUSD!$O$57:'TUSD'!$O$103),IF($C$2&lt;&gt;"Não se aplica",SUMIF(TUSD!$C$57:'TUSD'!$C$103,$I$2,TUSD!$O$57:'TUSD'!$O$103),IF($B$2&lt;&gt;"Não se aplica",SUMIF(TUSD!$B$57:'TUSD'!$B$103,$I$2,TUSD!$O$57:'TUSD'!$O$103),SUMIF(TUSD!$A$57:'TUSD'!$A$103,$I$2,TUSD!$O$57:'TUSD'!$O$103)))))))</f>
        <v>0</v>
      </c>
      <c r="F9" s="57">
        <f>IF($G$2&lt;&gt;"Não se aplica",SUMIF(TUSD!$G$57:'TUSD'!$G$103,$I$2,TUSD!$P$57:'TUSD'!$P$103),IF($F$2&lt;&gt;"Não se aplica",SUMIF(TUSD!$F$57:'TUSD'!$F$103,$I$2,TUSD!$P$57:'TUSD'!$P$103),IF($E$2&lt;&gt;"Não se aplica",SUMIF(TUSD!$E$57:'TUSD'!$E$103,$I$2,TUSD!$P$57:'TUSD'!$P$103),IF($D$2&lt;&gt;"Não se aplica",SUMIF(TUSD!$D$57:'TUSD'!$D$103,$I$2,TUSD!$P$57:'TUSD'!$P$103),IF($C$2&lt;&gt;"Não se aplica",SUMIF(TUSD!$C$57:'TUSD'!$C$103,$I$2,TUSD!$P$57:'TUSD'!$P$103),IF($B$2&lt;&gt;"Não se aplica",SUMIF(TUSD!$B$57:'TUSD'!$B$103,$I$2,TUSD!$P$57:'TUSD'!$P$103),SUMIF(TUSD!$A$57:'TUSD'!$A$103,$I$2,TUSD!$P$57:'TUSD'!$P$103)))))))</f>
        <v>0</v>
      </c>
      <c r="G9" s="57">
        <f>IF($G$2&lt;&gt;"Não se aplica",SUMIF(TUSD!$G$57:'TUSD'!$G$103,$I$2,TUSD!$Q$57:'TUSD'!$Q$103),IF($F$2&lt;&gt;"Não se aplica",SUMIF(TUSD!$F$57:'TUSD'!$F$103,$I$2,TUSD!$Q$57:'TUSD'!$Q$103),IF($E$2&lt;&gt;"Não se aplica",SUMIF(TUSD!$E$57:'TUSD'!$E$103,$I$2,TUSD!$Q$57:'TUSD'!$Q$103),IF($D$2&lt;&gt;"Não se aplica",SUMIF(TUSD!$D$57:'TUSD'!$D$103,$I$2,TUSD!$Q$57:'TUSD'!$Q$103),IF($C$2&lt;&gt;"Não se aplica",SUMIF(TUSD!$C$57:'TUSD'!$C$103,$I$2,TUSD!$Q$57:'TUSD'!$Q$103),IF($B$2&lt;&gt;"Não se aplica",SUMIF(TUSD!$B$57:'TUSD'!$B$103,$I$2,TUSD!$Q$57:'TUSD'!$Q$103),SUMIF(TUSD!$A$57:'TUSD'!$A$103,$I$2,TUSD!$Q$57:'TUSD'!$Q$103)))))))</f>
        <v>10665.455770456587</v>
      </c>
      <c r="H9" s="57">
        <f>IF($G$2&lt;&gt;"Não se aplica",SUMIF(TUSD!$G$57:'TUSD'!$G$103,$I$2,TUSD!$R$57:'TUSD'!$R$103),IF($F$2&lt;&gt;"Não se aplica",SUMIF(TUSD!$F$57:'TUSD'!$F$103,$I$2,TUSD!$R$57:'TUSD'!$R$103),IF($E$2&lt;&gt;"Não se aplica",SUMIF(TUSD!$E$57:'TUSD'!$E$103,$I$2,TUSD!$R$57:'TUSD'!$R$103),IF($D$2&lt;&gt;"Não se aplica",SUMIF(TUSD!$D$57:'TUSD'!$D$103,$I$2,TUSD!$R$57:'TUSD'!$R$103),IF($C$2&lt;&gt;"Não se aplica",SUMIF(TUSD!$C$57:'TUSD'!$C$103,$I$2,TUSD!$R$57:'TUSD'!$R$103),IF($B$2&lt;&gt;"Não se aplica",SUMIF(TUSD!$B$57:'TUSD'!$B$103,$I$2,TUSD!$R$57:'TUSD'!$R$103),SUMIF(TUSD!$A$57:'TUSD'!$A$103,$I$2,TUSD!$R$57:'TUSD'!$R$103)))))))</f>
        <v>4750.2390797643902</v>
      </c>
      <c r="I9" s="57">
        <f>IF($G$2&lt;&gt;"Não se aplica",SUMIF(TUSD!$G$57:'TUSD'!$G$103,$I$2,TUSD!$S$57:'TUSD'!$S$103),IF($F$2&lt;&gt;"Não se aplica",SUMIF(TUSD!$F$57:'TUSD'!$F$103,$I$2,TUSD!$S$57:'TUSD'!$S$103),IF($E$2&lt;&gt;"Não se aplica",SUMIF(TUSD!$E$57:'TUSD'!$E$103,$I$2,TUSD!$S$57:'TUSD'!$S$103),IF($D$2&lt;&gt;"Não se aplica",SUMIF(TUSD!$D$57:'TUSD'!$D$103,$I$2,TUSD!$S$57:'TUSD'!$S$103),IF($C$2&lt;&gt;"Não se aplica",SUMIF(TUSD!$C$57:'TUSD'!$C$103,$I$2,TUSD!$S$57:'TUSD'!$S$103),IF($B$2&lt;&gt;"Não se aplica",SUMIF(TUSD!$B$57:'TUSD'!$B$103,$I$2,TUSD!$S$57:'TUSD'!$S$103),SUMIF(TUSD!$A$57:'TUSD'!$A$103,$I$2,TUSD!$S$57:'TUSD'!$S$103)))))))</f>
        <v>0</v>
      </c>
      <c r="J9" s="57">
        <f>IF($G$2&lt;&gt;"Não se aplica",SUMIF(TUSD!$G$57:'TUSD'!$G$103,$I$2,TUSD!$T$57:'TUSD'!$T$103),IF($F$2&lt;&gt;"Não se aplica",SUMIF(TUSD!$F$57:'TUSD'!$F$103,$I$2,TUSD!$T$57:'TUSD'!$T$103),IF($E$2&lt;&gt;"Não se aplica",SUMIF(TUSD!$E$57:'TUSD'!$E$103,$I$2,TUSD!$T$57:'TUSD'!$T$103),IF($D$2&lt;&gt;"Não se aplica",SUMIF(TUSD!$D$57:'TUSD'!$D$103,$I$2,TUSD!$T$57:'TUSD'!$T$103),IF($C$2&lt;&gt;"Não se aplica",SUMIF(TUSD!$C$57:'TUSD'!$C$103,$I$2,TUSD!$T$57:'TUSD'!$T$103),IF($B$2&lt;&gt;"Não se aplica",SUMIF(TUSD!$B$57:'TUSD'!$B$103,$I$2,TUSD!$T$57:'TUSD'!$T$103),SUMIF(TUSD!$A$57:'TUSD'!$A$103,$I$2,TUSD!$T$57:'TUSD'!$T$103)))))))</f>
        <v>0</v>
      </c>
      <c r="K9" s="57">
        <f>IF($G$2&lt;&gt;"Não se aplica",SUMIF(TUSD!$G$57:'TUSD'!$G$103,$I$2,TUSD!$U$57:'TUSD'!$U$103),IF($F$2&lt;&gt;"Não se aplica",SUMIF(TUSD!$F$57:'TUSD'!$F$103,$I$2,TUSD!$U$57:'TUSD'!$U$103),IF($E$2&lt;&gt;"Não se aplica",SUMIF(TUSD!$E$57:'TUSD'!$E$103,$I$2,TUSD!$U$57:'TUSD'!$U$103),IF($D$2&lt;&gt;"Não se aplica",SUMIF(TUSD!$D$57:'TUSD'!$D$103,$I$2,TUSD!$U$57:'TUSD'!$U$103),IF($C$2&lt;&gt;"Não se aplica",SUMIF(TUSD!$C$57:'TUSD'!$C$103,$I$2,TUSD!$U$57:'TUSD'!$U$103),IF($B$2&lt;&gt;"Não se aplica",SUMIF(TUSD!$B$57:'TUSD'!$B$103,$I$2,TUSD!$U$57:'TUSD'!$U$103),SUMIF(TUSD!$A$57:'TUSD'!$A$103,$I$2,TUSD!$U$57:'TUSD'!$U$103)))))))</f>
        <v>0</v>
      </c>
      <c r="L9" s="57">
        <f>IF($G$2&lt;&gt;"Não se aplica",SUMIF(TUSD!$G$57:'TUSD'!$G$103,$I$2,TUSD!$V$57:'TUSD'!$V$103),IF($F$2&lt;&gt;"Não se aplica",SUMIF(TUSD!$F$57:'TUSD'!$F$103,$I$2,TUSD!$V$57:'TUSD'!$V$103),IF($E$2&lt;&gt;"Não se aplica",SUMIF(TUSD!$E$57:'TUSD'!$E$103,$I$2,TUSD!$V$57:'TUSD'!$V$103),IF($D$2&lt;&gt;"Não se aplica",SUMIF(TUSD!$D$57:'TUSD'!$D$103,$I$2,TUSD!$V$57:'TUSD'!$V$103),IF($C$2&lt;&gt;"Não se aplica",SUMIF(TUSD!$C$57:'TUSD'!$C$103,$I$2,TUSD!$V$57:'TUSD'!$V$103),IF($B$2&lt;&gt;"Não se aplica",SUMIF(TUSD!$B$57:'TUSD'!$B$103,$I$2,TUSD!$V$57:'TUSD'!$V$103),SUMIF(TUSD!$A$57:'TUSD'!$A$103,$I$2,TUSD!$V$57:'TUSD'!$V$103)))))))</f>
        <v>0</v>
      </c>
      <c r="M9" s="57">
        <f>IF($G$2&lt;&gt;"Não se aplica",SUMIF(TUSD!$G$57:'TUSD'!$G$103,$I$2,TUSD!$W$57:'TUSD'!$W$103),IF($F$2&lt;&gt;"Não se aplica",SUMIF(TUSD!$F$57:'TUSD'!$F$103,$I$2,TUSD!$W$57:'TUSD'!$W$103),IF($E$2&lt;&gt;"Não se aplica",SUMIF(TUSD!$E$57:'TUSD'!$E$103,$I$2,TUSD!$W$57:'TUSD'!$W$103),IF($D$2&lt;&gt;"Não se aplica",SUMIF(TUSD!$D$57:'TUSD'!$D$103,$I$2,TUSD!$W$57:'TUSD'!$W$103),IF($C$2&lt;&gt;"Não se aplica",SUMIF(TUSD!$C$57:'TUSD'!$C$103,$I$2,TUSD!$W$57:'TUSD'!$W$103),IF($B$2&lt;&gt;"Não se aplica",SUMIF(TUSD!$B$57:'TUSD'!$B$103,$I$2,TUSD!$W$57:'TUSD'!$W$103),SUMIF(TUSD!$A$57:'TUSD'!$A$103,$I$2,TUSD!$W$57:'TUSD'!$W$103)))))))</f>
        <v>0</v>
      </c>
      <c r="N9" s="57">
        <f>IF($G$2&lt;&gt;"Não se aplica",SUMIF(TUSD!$G$57:'TUSD'!$G$103,$I$2,TUSD!$X$57:'TUSD'!$X$103),IF($F$2&lt;&gt;"Não se aplica",SUMIF(TUSD!$F$57:'TUSD'!$F$103,$I$2,TUSD!$X$57:'TUSD'!$X$103),IF($E$2&lt;&gt;"Não se aplica",SUMIF(TUSD!$E$57:'TUSD'!$E$103,$I$2,TUSD!$X$57:'TUSD'!$X$103),IF($D$2&lt;&gt;"Não se aplica",SUMIF(TUSD!$D$57:'TUSD'!$D$103,$I$2,TUSD!$X$57:'TUSD'!$X$103),IF($C$2&lt;&gt;"Não se aplica",SUMIF(TUSD!$C$57:'TUSD'!$C$103,$I$2,TUSD!$X$57:'TUSD'!$X$103),IF($B$2&lt;&gt;"Não se aplica",SUMIF(TUSD!$B$57:'TUSD'!$B$103,$I$2,TUSD!$X$57:'TUSD'!$X$103),SUMIF(TUSD!$A$57:'TUSD'!$A$103,$I$2,TUSD!$X$57:'TUSD'!$X$103)))))))</f>
        <v>44130.697080289203</v>
      </c>
      <c r="O9" s="57">
        <f>IF($G$2&lt;&gt;"Não se aplica",SUMIF(TUSD!$G$57:'TUSD'!$G$103,$I$2,TUSD!$Y$57:'TUSD'!$Y$103),IF($F$2&lt;&gt;"Não se aplica",SUMIF(TUSD!$F$57:'TUSD'!$F$103,$I$2,TUSD!$Y$57:'TUSD'!$Y$103),IF($E$2&lt;&gt;"Não se aplica",SUMIF(TUSD!$E$57:'TUSD'!$E$103,$I$2,TUSD!$Y$57:'TUSD'!$Y$103),IF($D$2&lt;&gt;"Não se aplica",SUMIF(TUSD!$D$57:'TUSD'!$D$103,$I$2,TUSD!$Y$57:'TUSD'!$Y$103),IF($C$2&lt;&gt;"Não se aplica",SUMIF(TUSD!$C$57:'TUSD'!$C$103,$I$2,TUSD!$Y$57:'TUSD'!$Y$103),IF($B$2&lt;&gt;"Não se aplica",SUMIF(TUSD!$B$57:'TUSD'!$B$103,$I$2,TUSD!$Y$57:'TUSD'!$Y$103),SUMIF(TUSD!$A$57:'TUSD'!$A$103,$I$2,TUSD!$Y$57:'TUSD'!$Y$103)))))))</f>
        <v>0</v>
      </c>
      <c r="P9" s="57">
        <f>IF($G$2&lt;&gt;"Não se aplica",SUMIF(TUSD!$G$57:'TUSD'!$G$103,$I$2,TUSD!$Z$57:'TUSD'!$Z$103),IF($F$2&lt;&gt;"Não se aplica",SUMIF(TUSD!$F$57:'TUSD'!$F$103,$I$2,TUSD!$Z$57:'TUSD'!$Z$103),IF($E$2&lt;&gt;"Não se aplica",SUMIF(TUSD!$E$57:'TUSD'!$E$103,$I$2,TUSD!$Z$57:'TUSD'!$Z$103),IF($D$2&lt;&gt;"Não se aplica",SUMIF(TUSD!$D$57:'TUSD'!$D$103,$I$2,TUSD!$Z$57:'TUSD'!$Z$103),IF($C$2&lt;&gt;"Não se aplica",SUMIF(TUSD!$C$57:'TUSD'!$C$103,$I$2,TUSD!$Z$57:'TUSD'!$Z$103),IF($B$2&lt;&gt;"Não se aplica",SUMIF(TUSD!$B$57:'TUSD'!$B$103,$I$2,TUSD!$Z$57:'TUSD'!$Z$103),SUMIF(TUSD!$A$57:'TUSD'!$A$103,$I$2,TUSD!$Z$57:'TUSD'!$Z$103)))))))</f>
        <v>0</v>
      </c>
      <c r="Q9" s="57">
        <f>IF($G$2&lt;&gt;"Não se aplica",SUMIF(TUSD!$G$57:'TUSD'!$G$103,$I$2,TUSD!$AA$57:'TUSD'!$AA$103),IF($F$2&lt;&gt;"Não se aplica",SUMIF(TUSD!$F$57:'TUSD'!$F$103,$I$2,TUSD!$AA$57:'TUSD'!$AA$103),IF($E$2&lt;&gt;"Não se aplica",SUMIF(TUSD!$E$57:'TUSD'!$E$103,$I$2,TUSD!$AA$57:'TUSD'!$AA$103),IF($D$2&lt;&gt;"Não se aplica",SUMIF(TUSD!$D$57:'TUSD'!$D$103,$I$2,TUSD!$AA$57:'TUSD'!$AA$103),IF($C$2&lt;&gt;"Não se aplica",SUMIF(TUSD!$C$57:'TUSD'!$C$103,$I$2,TUSD!$AA$57:'TUSD'!$AA$103),IF($B$2&lt;&gt;"Não se aplica",SUMIF(TUSD!$B$57:'TUSD'!$B$103,$I$2,TUSD!$AA$57:'TUSD'!$AA$103),SUMIF(TUSD!$A$57:'TUSD'!$A$103,$I$2,TUSD!$AA$57:'TUSD'!$AA$103)))))))</f>
        <v>43745.211708168492</v>
      </c>
      <c r="R9" s="57">
        <f ca="1">IF($G$2&lt;&gt;"Não se aplica",SUMIF(TUSD!$G$57:'TUSD'!$G$103,$I$2,TUSD!$AB$57:'TUSD'!$AB$103),IF($F$2&lt;&gt;"Não se aplica",SUMIF(TUSD!$F$57:'TUSD'!$F$103,$I$2,TUSD!$AB$57:'TUSD'!$AB$103),IF($E$2&lt;&gt;"Não se aplica",SUMIF(TUSD!$E$57:'TUSD'!$E$103,$I$2,TUSD!$AB$57:'TUSD'!$AB$103),IF($D$2&lt;&gt;"Não se aplica",SUMIF(TUSD!$D$57:'TUSD'!$D$103,$I$2,TUSD!$AB$57:'TUSD'!$AB$103),IF($C$2&lt;&gt;"Não se aplica",SUMIF(TUSD!$C$57:'TUSD'!$C$103,$I$2,TUSD!$AB$57:'TUSD'!$AB$103),IF($B$2&lt;&gt;"Não se aplica",SUMIF(TUSD!$B$57:'TUSD'!$B$103,$I$2,TUSD!$AB$57:'TUSD'!$AB$103),SUMIF(TUSD!$A$57:'TUSD'!$A$103,$I$2,TUSD!$AB$57:'TUSD'!$AB$103)))))))</f>
        <v>-141.62230501905105</v>
      </c>
      <c r="S9" s="57">
        <f ca="1">IF($G$2&lt;&gt;"Não se aplica",SUMIF(TUSD!$G$57:'TUSD'!$G$103,$I$2,TUSD!$AC$57:'TUSD'!$AC$103),IF($F$2&lt;&gt;"Não se aplica",SUMIF(TUSD!$F$57:'TUSD'!$F$103,$I$2,TUSD!$AC$57:'TUSD'!$AC$103),IF($E$2&lt;&gt;"Não se aplica",SUMIF(TUSD!$E$57:'TUSD'!$E$103,$I$2,TUSD!$AC$57:'TUSD'!$AC$103),IF($D$2&lt;&gt;"Não se aplica",SUMIF(TUSD!$D$57:'TUSD'!$D$103,$I$2,TUSD!$AC$57:'TUSD'!$AC$103),IF($C$2&lt;&gt;"Não se aplica",SUMIF(TUSD!$C$57:'TUSD'!$C$103,$I$2,TUSD!$AC$57:'TUSD'!$AC$103),IF($B$2&lt;&gt;"Não se aplica",SUMIF(TUSD!$B$57:'TUSD'!$B$103,$I$2,TUSD!$AC$57:'TUSD'!$AC$103),SUMIF(TUSD!$A$57:'TUSD'!$A$103,$I$2,TUSD!$AC$57:'TUSD'!$AC$103)))))))</f>
        <v>0</v>
      </c>
      <c r="T9" s="57">
        <f>IF($G$2&lt;&gt;"Não se aplica",SUMIF(TUSD!$G$57:'TUSD'!$G$103,$I$2,TUSD!$AD$57:'TUSD'!$AD$103),IF($F$2&lt;&gt;"Não se aplica",SUMIF(TUSD!$F$57:'TUSD'!$F$103,$I$2,TUSD!$AD$57:'TUSD'!$AD$103),IF($E$2&lt;&gt;"Não se aplica",SUMIF(TUSD!$E$57:'TUSD'!$E$103,$I$2,TUSD!$AD$57:'TUSD'!$AD$103),IF($D$2&lt;&gt;"Não se aplica",SUMIF(TUSD!$D$57:'TUSD'!$D$103,$I$2,TUSD!$AD$57:'TUSD'!$AD$103),IF($C$2&lt;&gt;"Não se aplica",SUMIF(TUSD!$C$57:'TUSD'!$C$103,$I$2,TUSD!$AD$57:'TUSD'!$AD$103),IF($B$2&lt;&gt;"Não se aplica",SUMIF(TUSD!$B$57:'TUSD'!$B$103,$I$2,TUSD!$AD$57:'TUSD'!$AD$103),SUMIF(TUSD!$A$57:'TUSD'!$A$103,$I$2,TUSD!$AD$57:'TUSD'!$AD$103)))))))</f>
        <v>5379.5446648274001</v>
      </c>
      <c r="U9" s="57">
        <f>IF($G$2&lt;&gt;"Não se aplica",SUMIF(TUSD!$G$57:'TUSD'!$G$103,$I$2,TUSD!$AE$57:'TUSD'!$AE$103),IF($F$2&lt;&gt;"Não se aplica",SUMIF(TUSD!$F$57:'TUSD'!$F$103,$I$2,TUSD!$AE$57:'TUSD'!$AE$103),IF($E$2&lt;&gt;"Não se aplica",SUMIF(TUSD!$E$57:'TUSD'!$E$103,$I$2,TUSD!$AE$57:'TUSD'!$AE$103),IF($D$2&lt;&gt;"Não se aplica",SUMIF(TUSD!$D$57:'TUSD'!$D$103,$I$2,TUSD!$AE$57:'TUSD'!$AE$103),IF($C$2&lt;&gt;"Não se aplica",SUMIF(TUSD!$C$57:'TUSD'!$C$103,$I$2,TUSD!$AE$57:'TUSD'!$AE$103),IF($B$2&lt;&gt;"Não se aplica",SUMIF(TUSD!$B$57:'TUSD'!$B$103,$I$2,TUSD!$AE$57:'TUSD'!$AE$103),SUMIF(TUSD!$A$57:'TUSD'!$A$103,$I$2,TUSD!$AE$57:'TUSD'!$AE$103)))))))</f>
        <v>0</v>
      </c>
      <c r="V9" s="57">
        <f ca="1">IF($G$2&lt;&gt;"Não se aplica",SUMIF(TUSD!$G$57:'TUSD'!$G$103,$I$2,TUSD!$AF$57:'TUSD'!$AF$103),IF($F$2&lt;&gt;"Não se aplica",SUMIF(TUSD!$F$57:'TUSD'!$F$103,$I$2,TUSD!$AF$57:'TUSD'!$AF$103),IF($E$2&lt;&gt;"Não se aplica",SUMIF(TUSD!$E$57:'TUSD'!$E$103,$I$2,TUSD!$AF$57:'TUSD'!$AF$103),IF($D$2&lt;&gt;"Não se aplica",SUMIF(TUSD!$D$57:'TUSD'!$D$103,$I$2,TUSD!$AF$57:'TUSD'!$AF$103),IF($C$2&lt;&gt;"Não se aplica",SUMIF(TUSD!$C$57:'TUSD'!$C$103,$I$2,TUSD!$AF$57:'TUSD'!$AF$103),IF($B$2&lt;&gt;"Não se aplica",SUMIF(TUSD!$B$57:'TUSD'!$B$103,$I$2,TUSD!$AF$57:'TUSD'!$AF$103),SUMIF(TUSD!$A$57:'TUSD'!$A$103,$I$2,TUSD!$AF$57:'TUSD'!$AF$103)))))))</f>
        <v>0</v>
      </c>
      <c r="W9" s="57">
        <f ca="1">IF($G$2&lt;&gt;"Não se aplica",SUMIF(TUSD!$G$57:'TUSD'!$G$103,$I$2,TUSD!$AG$57:'TUSD'!$AG$103),IF($F$2&lt;&gt;"Não se aplica",SUMIF(TUSD!$F$57:'TUSD'!$F$103,$I$2,TUSD!$AG$57:'TUSD'!$AG$103),IF($E$2&lt;&gt;"Não se aplica",SUMIF(TUSD!$E$57:'TUSD'!$E$103,$I$2,TUSD!$AG$57:'TUSD'!$AG$103),IF($D$2&lt;&gt;"Não se aplica",SUMIF(TUSD!$D$57:'TUSD'!$D$103,$I$2,TUSD!$AG$57:'TUSD'!$AG$103),IF($C$2&lt;&gt;"Não se aplica",SUMIF(TUSD!$C$57:'TUSD'!$C$103,$I$2,TUSD!$AG$57:'TUSD'!$AG$103),IF($B$2&lt;&gt;"Não se aplica",SUMIF(TUSD!$B$57:'TUSD'!$B$103,$I$2,TUSD!$AG$57:'TUSD'!$AG$103),SUMIF(TUSD!$A$57:'TUSD'!$A$103,$I$2,TUSD!$AG$57:'TUSD'!$AG$103)))))))</f>
        <v>0</v>
      </c>
      <c r="X9" s="57">
        <f t="shared" ca="1" si="0"/>
        <v>108745.1480459958</v>
      </c>
      <c r="AD9" s="16" t="s">
        <v>46</v>
      </c>
    </row>
    <row r="10" spans="1:33" x14ac:dyDescent="0.2">
      <c r="A10" s="16" t="s">
        <v>1125</v>
      </c>
      <c r="B10" s="57">
        <f>SUMIF(TUSD!$A$57:'TUSD'!$A$103,$A$2,TUSD!$AI$57:'TUSD'!$AI$103)</f>
        <v>0</v>
      </c>
      <c r="C10" s="57">
        <f>SUMIF(TUSD!$A$57:'TUSD'!$A$103,$A$2,TUSD!$AJ$57:'TUSD'!$AJ$103)</f>
        <v>204.21338862830476</v>
      </c>
      <c r="D10" s="57">
        <f>SUMIF(TUSD!$A$57:'TUSD'!$A$103,$A$2,TUSD!$AK$57:'TUSD'!$AK$103)</f>
        <v>0</v>
      </c>
      <c r="E10" s="57">
        <f>SUMIF(TUSD!$A$57:'TUSD'!$A$103,$A$2,TUSD!$AL$57:'TUSD'!$AL$103)</f>
        <v>0</v>
      </c>
      <c r="F10" s="57">
        <f>SUMIF(TUSD!$A$57:'TUSD'!$A$103,$A$2,TUSD!$AM$57:'TUSD'!$AM$103)</f>
        <v>0</v>
      </c>
      <c r="G10" s="57">
        <f>SUMIF(TUSD!$A$57:'TUSD'!$A$103,$A$2,TUSD!$AN$57:'TUSD'!$AN$103)</f>
        <v>6722.6917292438566</v>
      </c>
      <c r="H10" s="57">
        <f>SUMIF(TUSD!$A$57:'TUSD'!$A$103,$A$2,TUSD!$AO$57:'TUSD'!$AO$103)</f>
        <v>3160.1215239037756</v>
      </c>
      <c r="I10" s="57">
        <f>SUMIF(TUSD!$A$57:'TUSD'!$A$103,$A$2,TUSD!$AP$57:'TUSD'!$AP$103)</f>
        <v>0</v>
      </c>
      <c r="J10" s="57">
        <f>SUMIF(TUSD!$A$57:'TUSD'!$A$103,$A$2,TUSD!$AQ$57:'TUSD'!$AQ$103)</f>
        <v>0</v>
      </c>
      <c r="K10" s="57">
        <f>SUMIF(TUSD!$A$57:'TUSD'!$A$103,$A$2,TUSD!$AR$57:'TUSD'!$AR$103)</f>
        <v>0</v>
      </c>
      <c r="L10" s="57">
        <f>SUMIF(TUSD!$A$57:'TUSD'!$A$103,$A$2,TUSD!$AS$57:'TUSD'!$AS$103)</f>
        <v>0</v>
      </c>
      <c r="M10" s="57">
        <f>SUMIF(TUSD!$A$57:'TUSD'!$A$103,$A$2,TUSD!$AT$57:'TUSD'!$AT$103)</f>
        <v>0</v>
      </c>
      <c r="N10" s="57">
        <f>SUMIF(TUSD!$A$57:'TUSD'!$A$103,$A$2,TUSD!$AU$57:'TUSD'!$AU$103)</f>
        <v>37633.422864724751</v>
      </c>
      <c r="O10" s="57">
        <f>SUMIF(TUSD!$A$57:'TUSD'!$A$103,$A$2,TUSD!$AV$57:'TUSD'!$AV$103)</f>
        <v>0</v>
      </c>
      <c r="P10" s="57">
        <f>SUMIF(TUSD!$A$57:'TUSD'!$A$103,$A$2,TUSD!$AW$57:'TUSD'!$AW$103)</f>
        <v>0</v>
      </c>
      <c r="Q10" s="57">
        <f>SUMIF(TUSD!$A$57:'TUSD'!$A$103,$A$2,TUSD!$AX$57:'TUSD'!$AX$103)</f>
        <v>32841.733852646859</v>
      </c>
      <c r="R10" s="57">
        <f>SUMIF(TUSD!$A$57:'TUSD'!$A$103,$A$2,TUSD!$AY$57:'TUSD'!$AY$103)</f>
        <v>132.40951521598063</v>
      </c>
      <c r="S10" s="57">
        <f>SUMIF(TUSD!$A$57:'TUSD'!$A$103,$A$2,TUSD!$AZ$57:'TUSD'!$AZ$103)</f>
        <v>0</v>
      </c>
      <c r="T10" s="57">
        <f>SUMIF(TUSD!$A$57:'TUSD'!$A$103,$A$2,TUSD!$BA$57:'TUSD'!$BA$103)</f>
        <v>4959.2811887246835</v>
      </c>
      <c r="U10" s="57">
        <f>SUMIF(TUSD!$A$57:'TUSD'!$A$103,$A$2,TUSD!$BB$57:'TUSD'!$BB$103)</f>
        <v>0</v>
      </c>
      <c r="V10" s="57">
        <f>SUMIF(TUSD!$A$57:'TUSD'!$A$103,$A$2,TUSD!$BC$57:'TUSD'!$BC$103)</f>
        <v>0</v>
      </c>
      <c r="W10" s="57">
        <f>SUMIF(TUSD!$A$57:'TUSD'!$A$103,$A$2,TUSD!$BD$57:'TUSD'!$BD$103)</f>
        <v>0</v>
      </c>
      <c r="X10" s="57">
        <f t="shared" si="0"/>
        <v>85653.874063088209</v>
      </c>
      <c r="AD10" s="16" t="s">
        <v>88</v>
      </c>
    </row>
    <row r="11" spans="1:33" x14ac:dyDescent="0.2">
      <c r="A11" s="16" t="s">
        <v>1126</v>
      </c>
      <c r="B11" s="57">
        <f>SUMIF(TUSD!$A$57:'TUSD'!$A$103,$A$2,TUSD!$L$57:'TUSD'!$L$103)</f>
        <v>0</v>
      </c>
      <c r="C11" s="57">
        <f>SUMIF(TUSD!$A$57:'TUSD'!$A$103,$A$2,TUSD!$M$57:'TUSD'!$M$103)</f>
        <v>215.62204750878115</v>
      </c>
      <c r="D11" s="57">
        <f ca="1">SUMIF(TUSD!$A$57:'TUSD'!$A$103,$A$2,TUSD!$N$57:'TUSD'!$N$103)</f>
        <v>0</v>
      </c>
      <c r="E11" s="57">
        <f>SUMIF(TUSD!$A$57:'TUSD'!$A$103,$A$2,TUSD!$O$57:'TUSD'!$O$103)</f>
        <v>0</v>
      </c>
      <c r="F11" s="57">
        <f>SUMIF(TUSD!$A$57:'TUSD'!$A$103,$A$2,TUSD!$P$57:'TUSD'!$P$103)</f>
        <v>0</v>
      </c>
      <c r="G11" s="57">
        <f>SUMIF(TUSD!$A$57:'TUSD'!$A$103,$A$2,TUSD!$Q$57:'TUSD'!$Q$103)</f>
        <v>10665.455770456587</v>
      </c>
      <c r="H11" s="57">
        <f>SUMIF(TUSD!$A$57:'TUSD'!$A$103,$A$2,TUSD!$R$57:'TUSD'!$R$103)</f>
        <v>4750.2390797643902</v>
      </c>
      <c r="I11" s="57">
        <f>SUMIF(TUSD!$A$57:'TUSD'!$A$103,$A$2,TUSD!$S$57:'TUSD'!$S$103)</f>
        <v>0</v>
      </c>
      <c r="J11" s="57">
        <f>SUMIF(TUSD!$A$57:'TUSD'!$A$103,$A$2,TUSD!$T$57:'TUSD'!$T$103)</f>
        <v>0</v>
      </c>
      <c r="K11" s="57">
        <f>SUMIF(TUSD!$A$57:'TUSD'!$A$103,$A$2,TUSD!$U$57:'TUSD'!$U$103)</f>
        <v>0</v>
      </c>
      <c r="L11" s="57">
        <f>SUMIF(TUSD!$A$57:'TUSD'!$A$103,$A$2,TUSD!$V$57:'TUSD'!$V$103)</f>
        <v>0</v>
      </c>
      <c r="M11" s="57">
        <f>SUMIF(TUSD!$A$57:'TUSD'!$A$103,$A$2,TUSD!$W$57:'TUSD'!$W$103)</f>
        <v>0</v>
      </c>
      <c r="N11" s="57">
        <f>SUMIF(TUSD!$A$57:'TUSD'!$A$103,$A$2,TUSD!$X$57:'TUSD'!$X$103)</f>
        <v>44130.697080289203</v>
      </c>
      <c r="O11" s="57">
        <f>SUMIF(TUSD!$A$57:'TUSD'!$A$103,$A$2,TUSD!$Y$57:'TUSD'!$Y$103)</f>
        <v>0</v>
      </c>
      <c r="P11" s="57">
        <f>SUMIF(TUSD!$A$57:'TUSD'!$A$103,$A$2,TUSD!$Z$57:'TUSD'!$Z$103)</f>
        <v>0</v>
      </c>
      <c r="Q11" s="57">
        <f>SUMIF(TUSD!$A$57:'TUSD'!$A$103,$A$2,TUSD!$AA$57:'TUSD'!$AA$103)</f>
        <v>43745.211708168492</v>
      </c>
      <c r="R11" s="57">
        <f ca="1">SUMIF(TUSD!$A$57:'TUSD'!$A$103,$A$2,TUSD!$AB$57:'TUSD'!$AB$103)</f>
        <v>-141.62230501905105</v>
      </c>
      <c r="S11" s="57">
        <f ca="1">SUMIF(TUSD!$A$57:'TUSD'!$A$103,$A$2,TUSD!$AC$57:'TUSD'!$AC$103)</f>
        <v>0</v>
      </c>
      <c r="T11" s="57">
        <f>SUMIF(TUSD!$A$57:'TUSD'!$A$103,$A$2,TUSD!$AD$57:'TUSD'!$AD$103)</f>
        <v>5379.5446648274001</v>
      </c>
      <c r="U11" s="57">
        <f>SUMIF(TUSD!$A$57:'TUSD'!$A$103,$A$2,TUSD!$AE$57:'TUSD'!$AE$103)</f>
        <v>0</v>
      </c>
      <c r="V11" s="57">
        <f ca="1">SUMIF(TUSD!$A$57:'TUSD'!$A$103,$A$2,TUSD!$AF$57:'TUSD'!$AF$103)</f>
        <v>0</v>
      </c>
      <c r="W11" s="57">
        <f ca="1">SUMIF(TUSD!$A$57:'TUSD'!$A$103,$A$2,TUSD!$AG$57:'TUSD'!$AG$103)</f>
        <v>0</v>
      </c>
      <c r="X11" s="57">
        <f t="shared" ca="1" si="0"/>
        <v>108745.1480459958</v>
      </c>
    </row>
    <row r="13" spans="1:33" x14ac:dyDescent="0.2">
      <c r="A13" s="16" t="s">
        <v>1130</v>
      </c>
      <c r="B13" s="76">
        <f t="shared" ref="B13:X13" si="1">IF($X$6&lt;&gt;0,(B$7-B$6)/$X$6,0)</f>
        <v>0</v>
      </c>
      <c r="C13" s="76">
        <f t="shared" si="1"/>
        <v>9.6483843630890771E-4</v>
      </c>
      <c r="D13" s="76">
        <f t="shared" ca="1" si="1"/>
        <v>0</v>
      </c>
      <c r="E13" s="76">
        <f t="shared" si="1"/>
        <v>0</v>
      </c>
      <c r="F13" s="76">
        <f t="shared" si="1"/>
        <v>0</v>
      </c>
      <c r="G13" s="76">
        <f t="shared" si="1"/>
        <v>2.808596684849559E-2</v>
      </c>
      <c r="H13" s="76">
        <f t="shared" si="1"/>
        <v>9.1328355171912106E-3</v>
      </c>
      <c r="I13" s="76">
        <f t="shared" si="1"/>
        <v>0</v>
      </c>
      <c r="J13" s="76">
        <f t="shared" si="1"/>
        <v>0</v>
      </c>
      <c r="K13" s="76">
        <f t="shared" si="1"/>
        <v>0</v>
      </c>
      <c r="L13" s="76">
        <f t="shared" si="1"/>
        <v>0</v>
      </c>
      <c r="M13" s="76">
        <f t="shared" si="1"/>
        <v>0</v>
      </c>
      <c r="N13" s="76">
        <f t="shared" si="1"/>
        <v>4.7122424741409909E-2</v>
      </c>
      <c r="O13" s="76">
        <f t="shared" si="1"/>
        <v>0</v>
      </c>
      <c r="P13" s="76">
        <f t="shared" si="1"/>
        <v>0</v>
      </c>
      <c r="Q13" s="76">
        <f t="shared" si="1"/>
        <v>0.22098052032320523</v>
      </c>
      <c r="R13" s="76">
        <f t="shared" ca="1" si="1"/>
        <v>-3.4610647336984616E-3</v>
      </c>
      <c r="S13" s="76">
        <f t="shared" ca="1" si="1"/>
        <v>0</v>
      </c>
      <c r="T13" s="76">
        <f t="shared" si="1"/>
        <v>7.0639502721495983E-3</v>
      </c>
      <c r="U13" s="76">
        <f t="shared" si="1"/>
        <v>0</v>
      </c>
      <c r="V13" s="76">
        <f t="shared" ca="1" si="1"/>
        <v>0</v>
      </c>
      <c r="W13" s="76">
        <f t="shared" ca="1" si="1"/>
        <v>0</v>
      </c>
      <c r="X13" s="76">
        <f t="shared" ca="1" si="1"/>
        <v>0.30988947140506201</v>
      </c>
    </row>
    <row r="14" spans="1:33" x14ac:dyDescent="0.2">
      <c r="A14" s="16" t="s">
        <v>1131</v>
      </c>
      <c r="B14" s="76">
        <f t="shared" ref="B14:X14" si="2">IF($X$10&lt;&gt;0,(B$9-B$8)/$X$10,0)</f>
        <v>0</v>
      </c>
      <c r="C14" s="76">
        <f t="shared" si="2"/>
        <v>1.331948963811417E-4</v>
      </c>
      <c r="D14" s="76">
        <f t="shared" ca="1" si="2"/>
        <v>0</v>
      </c>
      <c r="E14" s="76">
        <f t="shared" si="2"/>
        <v>0</v>
      </c>
      <c r="F14" s="76">
        <f t="shared" si="2"/>
        <v>0</v>
      </c>
      <c r="G14" s="76">
        <f t="shared" si="2"/>
        <v>4.6031356834002564E-2</v>
      </c>
      <c r="H14" s="76">
        <f t="shared" si="2"/>
        <v>1.8564455761678873E-2</v>
      </c>
      <c r="I14" s="76">
        <f t="shared" si="2"/>
        <v>0</v>
      </c>
      <c r="J14" s="76">
        <f t="shared" si="2"/>
        <v>0</v>
      </c>
      <c r="K14" s="76">
        <f t="shared" si="2"/>
        <v>0</v>
      </c>
      <c r="L14" s="76">
        <f t="shared" si="2"/>
        <v>0</v>
      </c>
      <c r="M14" s="76">
        <f t="shared" si="2"/>
        <v>0</v>
      </c>
      <c r="N14" s="76">
        <f t="shared" si="2"/>
        <v>7.5854995312633455E-2</v>
      </c>
      <c r="O14" s="76">
        <f t="shared" si="2"/>
        <v>0</v>
      </c>
      <c r="P14" s="76">
        <f t="shared" si="2"/>
        <v>0</v>
      </c>
      <c r="Q14" s="76">
        <f t="shared" si="2"/>
        <v>0.12729696087640702</v>
      </c>
      <c r="R14" s="76">
        <f t="shared" ca="1" si="2"/>
        <v>-3.1992927725976996E-3</v>
      </c>
      <c r="S14" s="76">
        <f t="shared" ca="1" si="2"/>
        <v>0</v>
      </c>
      <c r="T14" s="76">
        <f t="shared" si="2"/>
        <v>4.906532024379566E-3</v>
      </c>
      <c r="U14" s="76">
        <f t="shared" si="2"/>
        <v>0</v>
      </c>
      <c r="V14" s="76">
        <f t="shared" ca="1" si="2"/>
        <v>0</v>
      </c>
      <c r="W14" s="76">
        <f t="shared" ca="1" si="2"/>
        <v>0</v>
      </c>
      <c r="X14" s="76">
        <f t="shared" ca="1" si="2"/>
        <v>0.26958820293288488</v>
      </c>
    </row>
    <row r="15" spans="1:33" x14ac:dyDescent="0.2">
      <c r="A15" s="16" t="s">
        <v>1132</v>
      </c>
      <c r="B15" s="76">
        <f t="shared" ref="B15:X15" si="3">IF($X$8&lt;&gt;0,(B$9-B$8)/$X$8,0)</f>
        <v>0</v>
      </c>
      <c r="C15" s="76">
        <f t="shared" si="3"/>
        <v>1.331948963811417E-4</v>
      </c>
      <c r="D15" s="76">
        <f t="shared" ca="1" si="3"/>
        <v>0</v>
      </c>
      <c r="E15" s="76">
        <f t="shared" si="3"/>
        <v>0</v>
      </c>
      <c r="F15" s="76">
        <f t="shared" si="3"/>
        <v>0</v>
      </c>
      <c r="G15" s="76">
        <f t="shared" si="3"/>
        <v>4.6031356834002564E-2</v>
      </c>
      <c r="H15" s="76">
        <f t="shared" si="3"/>
        <v>1.8564455761678873E-2</v>
      </c>
      <c r="I15" s="76">
        <f t="shared" si="3"/>
        <v>0</v>
      </c>
      <c r="J15" s="76">
        <f t="shared" si="3"/>
        <v>0</v>
      </c>
      <c r="K15" s="76">
        <f t="shared" si="3"/>
        <v>0</v>
      </c>
      <c r="L15" s="76">
        <f t="shared" si="3"/>
        <v>0</v>
      </c>
      <c r="M15" s="76">
        <f t="shared" si="3"/>
        <v>0</v>
      </c>
      <c r="N15" s="76">
        <f t="shared" si="3"/>
        <v>7.5854995312633455E-2</v>
      </c>
      <c r="O15" s="76">
        <f t="shared" si="3"/>
        <v>0</v>
      </c>
      <c r="P15" s="76">
        <f t="shared" si="3"/>
        <v>0</v>
      </c>
      <c r="Q15" s="76">
        <f t="shared" si="3"/>
        <v>0.12729696087640702</v>
      </c>
      <c r="R15" s="76">
        <f t="shared" ca="1" si="3"/>
        <v>-3.1992927725976996E-3</v>
      </c>
      <c r="S15" s="76">
        <f t="shared" ca="1" si="3"/>
        <v>0</v>
      </c>
      <c r="T15" s="76">
        <f t="shared" si="3"/>
        <v>4.906532024379566E-3</v>
      </c>
      <c r="U15" s="76">
        <f t="shared" si="3"/>
        <v>0</v>
      </c>
      <c r="V15" s="76">
        <f t="shared" ca="1" si="3"/>
        <v>0</v>
      </c>
      <c r="W15" s="76">
        <f t="shared" ca="1" si="3"/>
        <v>0</v>
      </c>
      <c r="X15" s="76">
        <f t="shared" ca="1" si="3"/>
        <v>0.26958820293288488</v>
      </c>
    </row>
  </sheetData>
  <dataValidations count="6">
    <dataValidation type="list" allowBlank="1" showInputMessage="1" showErrorMessage="1" error="Deve-se selecionar grupo válido" sqref="A2" xr:uid="{496014E6-47D9-485B-9CBB-E91D50CAD77F}">
      <formula1>AA1:AA6</formula1>
    </dataValidation>
    <dataValidation type="list" allowBlank="1" showInputMessage="1" showErrorMessage="1" error="Deve-se selecionar grupo válido" sqref="B2" xr:uid="{7E5C60A5-4268-4398-93B0-AE65AE110F38}">
      <formula1>AB1:AB7</formula1>
    </dataValidation>
    <dataValidation type="list" allowBlank="1" showInputMessage="1" showErrorMessage="1" error="Deve-se selecionar grupo válido" sqref="C2 E2" xr:uid="{06C2E434-AC30-4D03-911E-5EE756A4C550}">
      <formula1>AC1:AC4</formula1>
    </dataValidation>
    <dataValidation type="list" allowBlank="1" showInputMessage="1" showErrorMessage="1" error="Deve-se selecionar grupo válido" sqref="D2" xr:uid="{65683583-5A77-48D3-9D24-3408588FC52D}">
      <formula1>AD1:AD10</formula1>
    </dataValidation>
    <dataValidation type="list" allowBlank="1" showInputMessage="1" showErrorMessage="1" error="Deve-se selecionar grupo válido" sqref="F2" xr:uid="{FD9B584D-0833-406E-B4D6-1FA15F702342}">
      <formula1>AF1:AF1</formula1>
    </dataValidation>
    <dataValidation type="list" allowBlank="1" showInputMessage="1" showErrorMessage="1" error="Deve-se selecionar grupo válido" sqref="G2" xr:uid="{320039A5-8AB3-4585-BA91-23967C43F833}">
      <formula1>AG1:AG8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2EC73-97B1-48DC-AE97-3AE40614D722}">
  <dimension ref="A1:AG15"/>
  <sheetViews>
    <sheetView showGridLines="0" workbookViewId="0">
      <selection activeCell="J15" sqref="J15"/>
    </sheetView>
  </sheetViews>
  <sheetFormatPr defaultRowHeight="11.25" x14ac:dyDescent="0.2"/>
  <cols>
    <col min="1" max="1" width="19.140625" style="16" bestFit="1" customWidth="1"/>
    <col min="2" max="2" width="10.5703125" style="16" bestFit="1" customWidth="1"/>
    <col min="3" max="5" width="10.28515625" style="16" bestFit="1" customWidth="1"/>
    <col min="6" max="6" width="14.85546875" style="16" bestFit="1" customWidth="1"/>
    <col min="7" max="7" width="10.28515625" style="16" bestFit="1" customWidth="1"/>
    <col min="8" max="8" width="9.5703125" style="16" bestFit="1" customWidth="1"/>
    <col min="9" max="9" width="6.42578125" style="16" bestFit="1" customWidth="1"/>
    <col min="10" max="10" width="7.85546875" style="16" bestFit="1" customWidth="1"/>
    <col min="11" max="11" width="10.7109375" style="16" bestFit="1" customWidth="1"/>
    <col min="12" max="12" width="10" style="16" bestFit="1" customWidth="1"/>
    <col min="13" max="26" width="9.140625" style="16"/>
    <col min="27" max="27" width="3" style="16" bestFit="1" customWidth="1"/>
    <col min="28" max="28" width="27.140625" style="16" bestFit="1" customWidth="1"/>
    <col min="29" max="29" width="13.5703125" style="16" bestFit="1" customWidth="1"/>
    <col min="30" max="30" width="25.140625" style="16" bestFit="1" customWidth="1"/>
    <col min="31" max="33" width="10.28515625" style="16" bestFit="1" customWidth="1"/>
    <col min="34" max="16384" width="9.140625" style="16"/>
  </cols>
  <sheetData>
    <row r="1" spans="1:33" x14ac:dyDescent="0.2">
      <c r="A1" s="16" t="s">
        <v>59</v>
      </c>
      <c r="B1" s="16" t="s">
        <v>60</v>
      </c>
      <c r="C1" s="16" t="s">
        <v>61</v>
      </c>
      <c r="D1" s="16" t="s">
        <v>62</v>
      </c>
      <c r="E1" s="16" t="s">
        <v>63</v>
      </c>
      <c r="F1" s="16" t="s">
        <v>15</v>
      </c>
      <c r="G1" s="16" t="s">
        <v>65</v>
      </c>
      <c r="I1" s="16" t="s">
        <v>1129</v>
      </c>
      <c r="AA1" s="16" t="s">
        <v>34</v>
      </c>
      <c r="AB1" s="16" t="s">
        <v>25</v>
      </c>
      <c r="AC1" s="16" t="s">
        <v>25</v>
      </c>
      <c r="AD1" s="16" t="s">
        <v>25</v>
      </c>
      <c r="AE1" s="16" t="s">
        <v>25</v>
      </c>
      <c r="AF1" s="16" t="s">
        <v>25</v>
      </c>
      <c r="AG1" s="16" t="s">
        <v>25</v>
      </c>
    </row>
    <row r="2" spans="1:33" x14ac:dyDescent="0.2">
      <c r="A2" s="16" t="s">
        <v>34</v>
      </c>
      <c r="B2" s="16" t="s">
        <v>25</v>
      </c>
      <c r="C2" s="16" t="s">
        <v>25</v>
      </c>
      <c r="D2" s="16" t="s">
        <v>25</v>
      </c>
      <c r="E2" s="16" t="s">
        <v>25</v>
      </c>
      <c r="F2" s="16" t="s">
        <v>25</v>
      </c>
      <c r="G2" s="16" t="s">
        <v>25</v>
      </c>
      <c r="I2" s="16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6" t="s">
        <v>22</v>
      </c>
      <c r="AB2" s="16" t="s">
        <v>68</v>
      </c>
      <c r="AC2" s="16" t="s">
        <v>24</v>
      </c>
      <c r="AD2" s="16" t="s">
        <v>24</v>
      </c>
      <c r="AG2" s="16" t="s">
        <v>70</v>
      </c>
    </row>
    <row r="3" spans="1:33" x14ac:dyDescent="0.2">
      <c r="AA3" s="16" t="s">
        <v>41</v>
      </c>
      <c r="AB3" s="16" t="s">
        <v>72</v>
      </c>
      <c r="AC3" s="16" t="s">
        <v>42</v>
      </c>
      <c r="AD3" s="16" t="s">
        <v>28</v>
      </c>
      <c r="AG3" s="16" t="s">
        <v>71</v>
      </c>
    </row>
    <row r="4" spans="1:33" x14ac:dyDescent="0.2">
      <c r="AA4" s="16" t="s">
        <v>32</v>
      </c>
      <c r="AB4" s="16" t="s">
        <v>84</v>
      </c>
      <c r="AC4" s="16" t="s">
        <v>45</v>
      </c>
      <c r="AD4" s="16" t="s">
        <v>29</v>
      </c>
      <c r="AG4" s="16" t="s">
        <v>73</v>
      </c>
    </row>
    <row r="5" spans="1:33" x14ac:dyDescent="0.2">
      <c r="A5" s="16" t="s">
        <v>1122</v>
      </c>
      <c r="B5" s="16" t="str">
        <f>TE!$W$4</f>
        <v>P&amp;D</v>
      </c>
      <c r="C5" s="16" t="str">
        <f>TE!$X$4</f>
        <v>ESS/ERR</v>
      </c>
      <c r="D5" s="16" t="str">
        <f>TE!$Y$4</f>
        <v>CFURH</v>
      </c>
      <c r="E5" s="16" t="str">
        <f>TE!$Z$4</f>
        <v>CDE Covid TE</v>
      </c>
      <c r="F5" s="16" t="str">
        <f>TE!$AA$4</f>
        <v>ENERGIA REVENDA</v>
      </c>
      <c r="G5" s="16" t="str">
        <f>TE!$AB$4</f>
        <v>ITAIPU</v>
      </c>
      <c r="H5" s="16" t="str">
        <f>TE!$AC$4</f>
        <v>TUST ITAIPU</v>
      </c>
      <c r="I5" s="16" t="str">
        <f>TE!$AD$4</f>
        <v>TUST CI</v>
      </c>
      <c r="J5" s="16" t="str">
        <f>TE!$AE$4</f>
        <v>SUBSIDIO</v>
      </c>
      <c r="K5" s="16" t="str">
        <f>TE!$AF$4</f>
        <v>PERDAS RB/C</v>
      </c>
      <c r="L5" s="16" t="s">
        <v>545</v>
      </c>
      <c r="AA5" s="16" t="s">
        <v>44</v>
      </c>
      <c r="AD5" s="16" t="s">
        <v>30</v>
      </c>
      <c r="AG5" s="16" t="s">
        <v>83</v>
      </c>
    </row>
    <row r="6" spans="1:33" x14ac:dyDescent="0.2">
      <c r="A6" s="16" t="s">
        <v>1123</v>
      </c>
      <c r="B6" s="57">
        <f>SUM(TE!$W$48:'TE'!$W$85)</f>
        <v>0</v>
      </c>
      <c r="C6" s="57">
        <f>SUM(TE!$X$48:'TE'!$X$85)</f>
        <v>0</v>
      </c>
      <c r="D6" s="57">
        <f>SUM(TE!$Y$48:'TE'!$Y$85)</f>
        <v>0</v>
      </c>
      <c r="E6" s="57">
        <f>SUM(TE!$Z$48:'TE'!$Z$85)</f>
        <v>0</v>
      </c>
      <c r="F6" s="57">
        <f>SUM(TE!$AA$48:'TE'!$AA$85)</f>
        <v>2340457.746968451</v>
      </c>
      <c r="G6" s="57">
        <f>SUM(TE!$AB$48:'TE'!$AB$85)</f>
        <v>0</v>
      </c>
      <c r="H6" s="57">
        <f>SUM(TE!$AC$48:'TE'!$AC$85)</f>
        <v>0</v>
      </c>
      <c r="I6" s="57">
        <f>SUM(TE!$AD$48:'TE'!$AD$85)</f>
        <v>0</v>
      </c>
      <c r="J6" s="57">
        <f>SUM(TE!$AE$48:'TE'!$AE$85)</f>
        <v>-24689.093410439815</v>
      </c>
      <c r="K6" s="57">
        <f>SUM(TE!$AF$48:'TE'!$AF$85)</f>
        <v>0</v>
      </c>
      <c r="L6" s="57">
        <f t="shared" ref="L6:L11" si="0">SUM(B6:K6)</f>
        <v>2315768.6535580112</v>
      </c>
      <c r="AD6" s="16" t="s">
        <v>31</v>
      </c>
    </row>
    <row r="7" spans="1:33" x14ac:dyDescent="0.2">
      <c r="A7" s="16" t="s">
        <v>1124</v>
      </c>
      <c r="B7" s="57">
        <f>SUM(TE!$L$48:'TE'!$L$85)</f>
        <v>0</v>
      </c>
      <c r="C7" s="57">
        <f>SUM(TE!$M$48:'TE'!$M$85)</f>
        <v>0</v>
      </c>
      <c r="D7" s="57">
        <f>SUM(TE!$N$48:'TE'!$N$85)</f>
        <v>0</v>
      </c>
      <c r="E7" s="57">
        <f>SUM(TE!$O$48:'TE'!$O$85)</f>
        <v>0</v>
      </c>
      <c r="F7" s="57">
        <f>SUM(TE!$P$48:'TE'!$P$85)</f>
        <v>2373085.4126108512</v>
      </c>
      <c r="G7" s="57">
        <f>SUM(TE!$Q$48:'TE'!$Q$85)</f>
        <v>0</v>
      </c>
      <c r="H7" s="57">
        <f>SUM(TE!$R$48:'TE'!$R$85)</f>
        <v>0</v>
      </c>
      <c r="I7" s="57">
        <f>SUM(TE!$S$48:'TE'!$S$85)</f>
        <v>0</v>
      </c>
      <c r="J7" s="57">
        <f>SUM(TE!$T$48:'TE'!$T$85)</f>
        <v>26727.757569786641</v>
      </c>
      <c r="K7" s="57">
        <f>SUM(TE!$U$48:'TE'!$U$85)</f>
        <v>0</v>
      </c>
      <c r="L7" s="57">
        <f t="shared" si="0"/>
        <v>2399813.1701806379</v>
      </c>
      <c r="AD7" s="16" t="s">
        <v>86</v>
      </c>
    </row>
    <row r="8" spans="1:33" x14ac:dyDescent="0.2">
      <c r="A8" s="16" t="s">
        <v>1127</v>
      </c>
      <c r="B8" s="57">
        <f>IF($G$2&lt;&gt;"Não se aplica",SUMIF(TE!$G$48:'TE'!$G$85,$I$2,TE!$W$48:'TE'!$W$85),IF($F$2&lt;&gt;"Não se aplica",SUMIF(TE!$F$48:'TE'!$F$85,$I$2,TE!$W$48:'TE'!$W$85),IF($E$2&lt;&gt;"Não se aplica",SUMIF(TE!$E$48:'TE'!$E$85,$I$2,TE!$W$48:'TE'!$W$85),IF($D$2&lt;&gt;"Não se aplica",SUMIF(TE!$D$48:'TE'!$D$85,$I$2,TE!$W$48:'TE'!$W$85),IF($C$2&lt;&gt;"Não se aplica",SUMIF(TE!$C$48:'TE'!$C$85,$I$2,TE!$W$48:'TE'!$W$85),IF($B$2&lt;&gt;"Não se aplica",SUMIF(TE!$B$48:'TE'!$B$85,$I$2,TE!$W$48:'TE'!$W$85),SUMIF(TE!$A$48:'TE'!$A$85,$I$2,TE!$W$48:'TE'!$W$85)))))))</f>
        <v>0</v>
      </c>
      <c r="C8" s="57">
        <f>IF($G$2&lt;&gt;"Não se aplica",SUMIF(TE!$G$48:'TE'!$G$85,$I$2,TE!$X$48:'TE'!$X$85),IF($F$2&lt;&gt;"Não se aplica",SUMIF(TE!$F$48:'TE'!$F$85,$I$2,TE!$X$48:'TE'!$X$85),IF($E$2&lt;&gt;"Não se aplica",SUMIF(TE!$E$48:'TE'!$E$85,$I$2,TE!$X$48:'TE'!$X$85),IF($D$2&lt;&gt;"Não se aplica",SUMIF(TE!$D$48:'TE'!$D$85,$I$2,TE!$X$48:'TE'!$X$85),IF($C$2&lt;&gt;"Não se aplica",SUMIF(TE!$C$48:'TE'!$C$85,$I$2,TE!$X$48:'TE'!$X$85),IF($B$2&lt;&gt;"Não se aplica",SUMIF(TE!$B$48:'TE'!$B$85,$I$2,TE!$X$48:'TE'!$X$85),SUMIF(TE!$A$48:'TE'!$A$85,$I$2,TE!$X$48:'TE'!$X$85)))))))</f>
        <v>0</v>
      </c>
      <c r="D8" s="57">
        <f>IF($G$2&lt;&gt;"Não se aplica",SUMIF(TE!$G$48:'TE'!$G$85,$I$2,TE!$Y$48:'TE'!$Y$85),IF($F$2&lt;&gt;"Não se aplica",SUMIF(TE!$F$48:'TE'!$F$85,$I$2,TE!$Y$48:'TE'!$Y$85),IF($E$2&lt;&gt;"Não se aplica",SUMIF(TE!$E$48:'TE'!$E$85,$I$2,TE!$Y$48:'TE'!$Y$85),IF($D$2&lt;&gt;"Não se aplica",SUMIF(TE!$D$48:'TE'!$D$85,$I$2,TE!$Y$48:'TE'!$Y$85),IF($C$2&lt;&gt;"Não se aplica",SUMIF(TE!$C$48:'TE'!$C$85,$I$2,TE!$Y$48:'TE'!$Y$85),IF($B$2&lt;&gt;"Não se aplica",SUMIF(TE!$B$48:'TE'!$B$85,$I$2,TE!$Y$48:'TE'!$Y$85),SUMIF(TE!$A$48:'TE'!$A$85,$I$2,TE!$Y$48:'TE'!$Y$85)))))))</f>
        <v>0</v>
      </c>
      <c r="E8" s="57">
        <f>IF($G$2&lt;&gt;"Não se aplica",SUMIF(TE!$G$48:'TE'!$G$85,$I$2,TE!$Z$48:'TE'!$Z$85),IF($F$2&lt;&gt;"Não se aplica",SUMIF(TE!$F$48:'TE'!$F$85,$I$2,TE!$Z$48:'TE'!$Z$85),IF($E$2&lt;&gt;"Não se aplica",SUMIF(TE!$E$48:'TE'!$E$85,$I$2,TE!$Z$48:'TE'!$Z$85),IF($D$2&lt;&gt;"Não se aplica",SUMIF(TE!$D$48:'TE'!$D$85,$I$2,TE!$Z$48:'TE'!$Z$85),IF($C$2&lt;&gt;"Não se aplica",SUMIF(TE!$C$48:'TE'!$C$85,$I$2,TE!$Z$48:'TE'!$Z$85),IF($B$2&lt;&gt;"Não se aplica",SUMIF(TE!$B$48:'TE'!$B$85,$I$2,TE!$Z$48:'TE'!$Z$85),SUMIF(TE!$A$48:'TE'!$A$85,$I$2,TE!$Z$48:'TE'!$Z$85)))))))</f>
        <v>0</v>
      </c>
      <c r="F8" s="57">
        <f>IF($G$2&lt;&gt;"Não se aplica",SUMIF(TE!$G$48:'TE'!$G$85,$I$2,TE!$AA$48:'TE'!$AA$85),IF($F$2&lt;&gt;"Não se aplica",SUMIF(TE!$F$48:'TE'!$F$85,$I$2,TE!$AA$48:'TE'!$AA$85),IF($E$2&lt;&gt;"Não se aplica",SUMIF(TE!$E$48:'TE'!$E$85,$I$2,TE!$AA$48:'TE'!$AA$85),IF($D$2&lt;&gt;"Não se aplica",SUMIF(TE!$D$48:'TE'!$D$85,$I$2,TE!$AA$48:'TE'!$AA$85),IF($C$2&lt;&gt;"Não se aplica",SUMIF(TE!$C$48:'TE'!$C$85,$I$2,TE!$AA$48:'TE'!$AA$85),IF($B$2&lt;&gt;"Não se aplica",SUMIF(TE!$B$48:'TE'!$B$85,$I$2,TE!$AA$48:'TE'!$AA$85),SUMIF(TE!$A$48:'TE'!$A$85,$I$2,TE!$AA$48:'TE'!$AA$85)))))))</f>
        <v>79623.690134283097</v>
      </c>
      <c r="G8" s="57">
        <f>IF($G$2&lt;&gt;"Não se aplica",SUMIF(TE!$G$48:'TE'!$G$85,$I$2,TE!$AB$48:'TE'!$AB$85),IF($F$2&lt;&gt;"Não se aplica",SUMIF(TE!$F$48:'TE'!$F$85,$I$2,TE!$AB$48:'TE'!$AB$85),IF($E$2&lt;&gt;"Não se aplica",SUMIF(TE!$E$48:'TE'!$E$85,$I$2,TE!$AB$48:'TE'!$AB$85),IF($D$2&lt;&gt;"Não se aplica",SUMIF(TE!$D$48:'TE'!$D$85,$I$2,TE!$AB$48:'TE'!$AB$85),IF($C$2&lt;&gt;"Não se aplica",SUMIF(TE!$C$48:'TE'!$C$85,$I$2,TE!$AB$48:'TE'!$AB$85),IF($B$2&lt;&gt;"Não se aplica",SUMIF(TE!$B$48:'TE'!$B$85,$I$2,TE!$AB$48:'TE'!$AB$85),SUMIF(TE!$A$48:'TE'!$A$85,$I$2,TE!$AB$48:'TE'!$AB$85)))))))</f>
        <v>0</v>
      </c>
      <c r="H8" s="57">
        <f>IF($G$2&lt;&gt;"Não se aplica",SUMIF(TE!$G$48:'TE'!$G$85,$I$2,TE!$AC$48:'TE'!$AC$85),IF($F$2&lt;&gt;"Não se aplica",SUMIF(TE!$F$48:'TE'!$F$85,$I$2,TE!$AC$48:'TE'!$AC$85),IF($E$2&lt;&gt;"Não se aplica",SUMIF(TE!$E$48:'TE'!$E$85,$I$2,TE!$AC$48:'TE'!$AC$85),IF($D$2&lt;&gt;"Não se aplica",SUMIF(TE!$D$48:'TE'!$D$85,$I$2,TE!$AC$48:'TE'!$AC$85),IF($C$2&lt;&gt;"Não se aplica",SUMIF(TE!$C$48:'TE'!$C$85,$I$2,TE!$AC$48:'TE'!$AC$85),IF($B$2&lt;&gt;"Não se aplica",SUMIF(TE!$B$48:'TE'!$B$85,$I$2,TE!$AC$48:'TE'!$AC$85),SUMIF(TE!$A$48:'TE'!$A$85,$I$2,TE!$AC$48:'TE'!$AC$85)))))))</f>
        <v>0</v>
      </c>
      <c r="I8" s="57">
        <f>IF($G$2&lt;&gt;"Não se aplica",SUMIF(TE!$G$48:'TE'!$G$85,$I$2,TE!$AD$48:'TE'!$AD$85),IF($F$2&lt;&gt;"Não se aplica",SUMIF(TE!$F$48:'TE'!$F$85,$I$2,TE!$AD$48:'TE'!$AD$85),IF($E$2&lt;&gt;"Não se aplica",SUMIF(TE!$E$48:'TE'!$E$85,$I$2,TE!$AD$48:'TE'!$AD$85),IF($D$2&lt;&gt;"Não se aplica",SUMIF(TE!$D$48:'TE'!$D$85,$I$2,TE!$AD$48:'TE'!$AD$85),IF($C$2&lt;&gt;"Não se aplica",SUMIF(TE!$C$48:'TE'!$C$85,$I$2,TE!$AD$48:'TE'!$AD$85),IF($B$2&lt;&gt;"Não se aplica",SUMIF(TE!$B$48:'TE'!$B$85,$I$2,TE!$AD$48:'TE'!$AD$85),SUMIF(TE!$A$48:'TE'!$A$85,$I$2,TE!$AD$48:'TE'!$AD$85)))))))</f>
        <v>0</v>
      </c>
      <c r="J8" s="57">
        <f>IF($G$2&lt;&gt;"Não se aplica",SUMIF(TE!$G$48:'TE'!$G$85,$I$2,TE!$AE$48:'TE'!$AE$85),IF($F$2&lt;&gt;"Não se aplica",SUMIF(TE!$F$48:'TE'!$F$85,$I$2,TE!$AE$48:'TE'!$AE$85),IF($E$2&lt;&gt;"Não se aplica",SUMIF(TE!$E$48:'TE'!$E$85,$I$2,TE!$AE$48:'TE'!$AE$85),IF($D$2&lt;&gt;"Não se aplica",SUMIF(TE!$D$48:'TE'!$D$85,$I$2,TE!$AE$48:'TE'!$AE$85),IF($C$2&lt;&gt;"Não se aplica",SUMIF(TE!$C$48:'TE'!$C$85,$I$2,TE!$AE$48:'TE'!$AE$85),IF($B$2&lt;&gt;"Não se aplica",SUMIF(TE!$B$48:'TE'!$B$85,$I$2,TE!$AE$48:'TE'!$AE$85),SUMIF(TE!$A$48:'TE'!$A$85,$I$2,TE!$AE$48:'TE'!$AE$85)))))))</f>
        <v>-839.93685677749909</v>
      </c>
      <c r="K8" s="57">
        <f>IF($G$2&lt;&gt;"Não se aplica",SUMIF(TE!$G$48:'TE'!$G$85,$I$2,TE!$AF$48:'TE'!$AF$85),IF($F$2&lt;&gt;"Não se aplica",SUMIF(TE!$F$48:'TE'!$F$85,$I$2,TE!$AF$48:'TE'!$AF$85),IF($E$2&lt;&gt;"Não se aplica",SUMIF(TE!$E$48:'TE'!$E$85,$I$2,TE!$AF$48:'TE'!$AF$85),IF($D$2&lt;&gt;"Não se aplica",SUMIF(TE!$D$48:'TE'!$D$85,$I$2,TE!$AF$48:'TE'!$AF$85),IF($C$2&lt;&gt;"Não se aplica",SUMIF(TE!$C$48:'TE'!$C$85,$I$2,TE!$AF$48:'TE'!$AF$85),IF($B$2&lt;&gt;"Não se aplica",SUMIF(TE!$B$48:'TE'!$B$85,$I$2,TE!$AF$48:'TE'!$AF$85),SUMIF(TE!$A$48:'TE'!$A$85,$I$2,TE!$AF$48:'TE'!$AF$85)))))))</f>
        <v>0</v>
      </c>
      <c r="L8" s="57">
        <f t="shared" si="0"/>
        <v>78783.753277505602</v>
      </c>
      <c r="AD8" s="16" t="s">
        <v>87</v>
      </c>
    </row>
    <row r="9" spans="1:33" x14ac:dyDescent="0.2">
      <c r="A9" s="16" t="s">
        <v>1128</v>
      </c>
      <c r="B9" s="57">
        <f>IF($G$2&lt;&gt;"Não se aplica",SUMIF(TE!$G$48:'TE'!$G$85,$I$2,TE!$L$48:'TE'!$L$85),IF($F$2&lt;&gt;"Não se aplica",SUMIF(TE!$F$48:'TE'!$F$85,$I$2,TE!$L$48:'TE'!$L$85),IF($E$2&lt;&gt;"Não se aplica",SUMIF(TE!$E$48:'TE'!$E$85,$I$2,TE!$L$48:'TE'!$L$85),IF($D$2&lt;&gt;"Não se aplica",SUMIF(TE!$D$48:'TE'!$D$85,$I$2,TE!$L$48:'TE'!$L$85),IF($C$2&lt;&gt;"Não se aplica",SUMIF(TE!$C$48:'TE'!$C$85,$I$2,TE!$L$48:'TE'!$L$85),IF($B$2&lt;&gt;"Não se aplica",SUMIF(TE!$B$48:'TE'!$B$85,$I$2,TE!$L$48:'TE'!$L$85),SUMIF(TE!$A$48:'TE'!$A$85,$I$2,TE!$L$48:'TE'!$L$85)))))))</f>
        <v>0</v>
      </c>
      <c r="C9" s="57">
        <f>IF($G$2&lt;&gt;"Não se aplica",SUMIF(TE!$G$48:'TE'!$G$85,$I$2,TE!$M$48:'TE'!$M$85),IF($F$2&lt;&gt;"Não se aplica",SUMIF(TE!$F$48:'TE'!$F$85,$I$2,TE!$M$48:'TE'!$M$85),IF($E$2&lt;&gt;"Não se aplica",SUMIF(TE!$E$48:'TE'!$E$85,$I$2,TE!$M$48:'TE'!$M$85),IF($D$2&lt;&gt;"Não se aplica",SUMIF(TE!$D$48:'TE'!$D$85,$I$2,TE!$M$48:'TE'!$M$85),IF($C$2&lt;&gt;"Não se aplica",SUMIF(TE!$C$48:'TE'!$C$85,$I$2,TE!$M$48:'TE'!$M$85),IF($B$2&lt;&gt;"Não se aplica",SUMIF(TE!$B$48:'TE'!$B$85,$I$2,TE!$M$48:'TE'!$M$85),SUMIF(TE!$A$48:'TE'!$A$85,$I$2,TE!$M$48:'TE'!$M$85)))))))</f>
        <v>0</v>
      </c>
      <c r="D9" s="57">
        <f>IF($G$2&lt;&gt;"Não se aplica",SUMIF(TE!$G$48:'TE'!$G$85,$I$2,TE!$N$48:'TE'!$N$85),IF($F$2&lt;&gt;"Não se aplica",SUMIF(TE!$F$48:'TE'!$F$85,$I$2,TE!$N$48:'TE'!$N$85),IF($E$2&lt;&gt;"Não se aplica",SUMIF(TE!$E$48:'TE'!$E$85,$I$2,TE!$N$48:'TE'!$N$85),IF($D$2&lt;&gt;"Não se aplica",SUMIF(TE!$D$48:'TE'!$D$85,$I$2,TE!$N$48:'TE'!$N$85),IF($C$2&lt;&gt;"Não se aplica",SUMIF(TE!$C$48:'TE'!$C$85,$I$2,TE!$N$48:'TE'!$N$85),IF($B$2&lt;&gt;"Não se aplica",SUMIF(TE!$B$48:'TE'!$B$85,$I$2,TE!$N$48:'TE'!$N$85),SUMIF(TE!$A$48:'TE'!$A$85,$I$2,TE!$N$48:'TE'!$N$85)))))))</f>
        <v>0</v>
      </c>
      <c r="E9" s="57">
        <f>IF($G$2&lt;&gt;"Não se aplica",SUMIF(TE!$G$48:'TE'!$G$85,$I$2,TE!$O$48:'TE'!$O$85),IF($F$2&lt;&gt;"Não se aplica",SUMIF(TE!$F$48:'TE'!$F$85,$I$2,TE!$O$48:'TE'!$O$85),IF($E$2&lt;&gt;"Não se aplica",SUMIF(TE!$E$48:'TE'!$E$85,$I$2,TE!$O$48:'TE'!$O$85),IF($D$2&lt;&gt;"Não se aplica",SUMIF(TE!$D$48:'TE'!$D$85,$I$2,TE!$O$48:'TE'!$O$85),IF($C$2&lt;&gt;"Não se aplica",SUMIF(TE!$C$48:'TE'!$C$85,$I$2,TE!$O$48:'TE'!$O$85),IF($B$2&lt;&gt;"Não se aplica",SUMIF(TE!$B$48:'TE'!$B$85,$I$2,TE!$O$48:'TE'!$O$85),SUMIF(TE!$A$48:'TE'!$A$85,$I$2,TE!$O$48:'TE'!$O$85)))))))</f>
        <v>0</v>
      </c>
      <c r="F9" s="57">
        <f>IF($G$2&lt;&gt;"Não se aplica",SUMIF(TE!$G$48:'TE'!$G$85,$I$2,TE!$P$48:'TE'!$P$85),IF($F$2&lt;&gt;"Não se aplica",SUMIF(TE!$F$48:'TE'!$F$85,$I$2,TE!$P$48:'TE'!$P$85),IF($E$2&lt;&gt;"Não se aplica",SUMIF(TE!$E$48:'TE'!$E$85,$I$2,TE!$P$48:'TE'!$P$85),IF($D$2&lt;&gt;"Não se aplica",SUMIF(TE!$D$48:'TE'!$D$85,$I$2,TE!$P$48:'TE'!$P$85),IF($C$2&lt;&gt;"Não se aplica",SUMIF(TE!$C$48:'TE'!$C$85,$I$2,TE!$P$48:'TE'!$P$85),IF($B$2&lt;&gt;"Não se aplica",SUMIF(TE!$B$48:'TE'!$B$85,$I$2,TE!$P$48:'TE'!$P$85),SUMIF(TE!$A$48:'TE'!$A$85,$I$2,TE!$P$48:'TE'!$P$85)))))))</f>
        <v>79403.616839937618</v>
      </c>
      <c r="G9" s="57">
        <f>IF($G$2&lt;&gt;"Não se aplica",SUMIF(TE!$G$48:'TE'!$G$85,$I$2,TE!$Q$48:'TE'!$Q$85),IF($F$2&lt;&gt;"Não se aplica",SUMIF(TE!$F$48:'TE'!$F$85,$I$2,TE!$Q$48:'TE'!$Q$85),IF($E$2&lt;&gt;"Não se aplica",SUMIF(TE!$E$48:'TE'!$E$85,$I$2,TE!$Q$48:'TE'!$Q$85),IF($D$2&lt;&gt;"Não se aplica",SUMIF(TE!$D$48:'TE'!$D$85,$I$2,TE!$Q$48:'TE'!$Q$85),IF($C$2&lt;&gt;"Não se aplica",SUMIF(TE!$C$48:'TE'!$C$85,$I$2,TE!$Q$48:'TE'!$Q$85),IF($B$2&lt;&gt;"Não se aplica",SUMIF(TE!$B$48:'TE'!$B$85,$I$2,TE!$Q$48:'TE'!$Q$85),SUMIF(TE!$A$48:'TE'!$A$85,$I$2,TE!$Q$48:'TE'!$Q$85)))))))</f>
        <v>0</v>
      </c>
      <c r="H9" s="57">
        <f>IF($G$2&lt;&gt;"Não se aplica",SUMIF(TE!$G$48:'TE'!$G$85,$I$2,TE!$R$48:'TE'!$R$85),IF($F$2&lt;&gt;"Não se aplica",SUMIF(TE!$F$48:'TE'!$F$85,$I$2,TE!$R$48:'TE'!$R$85),IF($E$2&lt;&gt;"Não se aplica",SUMIF(TE!$E$48:'TE'!$E$85,$I$2,TE!$R$48:'TE'!$R$85),IF($D$2&lt;&gt;"Não se aplica",SUMIF(TE!$D$48:'TE'!$D$85,$I$2,TE!$R$48:'TE'!$R$85),IF($C$2&lt;&gt;"Não se aplica",SUMIF(TE!$C$48:'TE'!$C$85,$I$2,TE!$R$48:'TE'!$R$85),IF($B$2&lt;&gt;"Não se aplica",SUMIF(TE!$B$48:'TE'!$B$85,$I$2,TE!$R$48:'TE'!$R$85),SUMIF(TE!$A$48:'TE'!$A$85,$I$2,TE!$R$48:'TE'!$R$85)))))))</f>
        <v>0</v>
      </c>
      <c r="I9" s="57">
        <f>IF($G$2&lt;&gt;"Não se aplica",SUMIF(TE!$G$48:'TE'!$G$85,$I$2,TE!$S$48:'TE'!$S$85),IF($F$2&lt;&gt;"Não se aplica",SUMIF(TE!$F$48:'TE'!$F$85,$I$2,TE!$S$48:'TE'!$S$85),IF($E$2&lt;&gt;"Não se aplica",SUMIF(TE!$E$48:'TE'!$E$85,$I$2,TE!$S$48:'TE'!$S$85),IF($D$2&lt;&gt;"Não se aplica",SUMIF(TE!$D$48:'TE'!$D$85,$I$2,TE!$S$48:'TE'!$S$85),IF($C$2&lt;&gt;"Não se aplica",SUMIF(TE!$C$48:'TE'!$C$85,$I$2,TE!$S$48:'TE'!$S$85),IF($B$2&lt;&gt;"Não se aplica",SUMIF(TE!$B$48:'TE'!$B$85,$I$2,TE!$S$48:'TE'!$S$85),SUMIF(TE!$A$48:'TE'!$A$85,$I$2,TE!$S$48:'TE'!$S$85)))))))</f>
        <v>0</v>
      </c>
      <c r="J9" s="57">
        <f>IF($G$2&lt;&gt;"Não se aplica",SUMIF(TE!$G$48:'TE'!$G$85,$I$2,TE!$T$48:'TE'!$T$85),IF($F$2&lt;&gt;"Não se aplica",SUMIF(TE!$F$48:'TE'!$F$85,$I$2,TE!$T$48:'TE'!$T$85),IF($E$2&lt;&gt;"Não se aplica",SUMIF(TE!$E$48:'TE'!$E$85,$I$2,TE!$T$48:'TE'!$T$85),IF($D$2&lt;&gt;"Não se aplica",SUMIF(TE!$D$48:'TE'!$D$85,$I$2,TE!$T$48:'TE'!$T$85),IF($C$2&lt;&gt;"Não se aplica",SUMIF(TE!$C$48:'TE'!$C$85,$I$2,TE!$T$48:'TE'!$T$85),IF($B$2&lt;&gt;"Não se aplica",SUMIF(TE!$B$48:'TE'!$B$85,$I$2,TE!$T$48:'TE'!$T$85),SUMIF(TE!$A$48:'TE'!$A$85,$I$2,TE!$T$48:'TE'!$T$85)))))))</f>
        <v>894.31278359558178</v>
      </c>
      <c r="K9" s="57">
        <f>IF($G$2&lt;&gt;"Não se aplica",SUMIF(TE!$G$48:'TE'!$G$85,$I$2,TE!$U$48:'TE'!$U$85),IF($F$2&lt;&gt;"Não se aplica",SUMIF(TE!$F$48:'TE'!$F$85,$I$2,TE!$U$48:'TE'!$U$85),IF($E$2&lt;&gt;"Não se aplica",SUMIF(TE!$E$48:'TE'!$E$85,$I$2,TE!$U$48:'TE'!$U$85),IF($D$2&lt;&gt;"Não se aplica",SUMIF(TE!$D$48:'TE'!$D$85,$I$2,TE!$U$48:'TE'!$U$85),IF($C$2&lt;&gt;"Não se aplica",SUMIF(TE!$C$48:'TE'!$C$85,$I$2,TE!$U$48:'TE'!$U$85),IF($B$2&lt;&gt;"Não se aplica",SUMIF(TE!$B$48:'TE'!$B$85,$I$2,TE!$U$48:'TE'!$U$85),SUMIF(TE!$A$48:'TE'!$A$85,$I$2,TE!$U$48:'TE'!$U$85)))))))</f>
        <v>0</v>
      </c>
      <c r="L9" s="57">
        <f t="shared" si="0"/>
        <v>80297.9296235332</v>
      </c>
      <c r="AD9" s="16" t="s">
        <v>46</v>
      </c>
    </row>
    <row r="10" spans="1:33" x14ac:dyDescent="0.2">
      <c r="A10" s="16" t="s">
        <v>1125</v>
      </c>
      <c r="B10" s="57">
        <f>SUMIF(TE!$A$48:'TE'!$A$85,$A$2,TE!$W$48:'TE'!$W$85)</f>
        <v>0</v>
      </c>
      <c r="C10" s="57">
        <f>SUMIF(TE!$A$48:'TE'!$A$85,$A$2,TE!$X$48:'TE'!$X$85)</f>
        <v>0</v>
      </c>
      <c r="D10" s="57">
        <f>SUMIF(TE!$A$48:'TE'!$A$85,$A$2,TE!$Y$48:'TE'!$Y$85)</f>
        <v>0</v>
      </c>
      <c r="E10" s="57">
        <f>SUMIF(TE!$A$48:'TE'!$A$85,$A$2,TE!$Z$48:'TE'!$Z$85)</f>
        <v>0</v>
      </c>
      <c r="F10" s="57">
        <f>SUMIF(TE!$A$48:'TE'!$A$85,$A$2,TE!$AA$48:'TE'!$AA$85)</f>
        <v>79623.690134283097</v>
      </c>
      <c r="G10" s="57">
        <f>SUMIF(TE!$A$48:'TE'!$A$85,$A$2,TE!$AB$48:'TE'!$AB$85)</f>
        <v>0</v>
      </c>
      <c r="H10" s="57">
        <f>SUMIF(TE!$A$48:'TE'!$A$85,$A$2,TE!$AC$48:'TE'!$AC$85)</f>
        <v>0</v>
      </c>
      <c r="I10" s="57">
        <f>SUMIF(TE!$A$48:'TE'!$A$85,$A$2,TE!$AD$48:'TE'!$AD$85)</f>
        <v>0</v>
      </c>
      <c r="J10" s="57">
        <f>SUMIF(TE!$A$48:'TE'!$A$85,$A$2,TE!$AE$48:'TE'!$AE$85)</f>
        <v>-839.93685677749909</v>
      </c>
      <c r="K10" s="57">
        <f>SUMIF(TE!$A$48:'TE'!$A$85,$A$2,TE!$AF$48:'TE'!$AF$85)</f>
        <v>0</v>
      </c>
      <c r="L10" s="57">
        <f t="shared" si="0"/>
        <v>78783.753277505602</v>
      </c>
      <c r="AD10" s="16" t="s">
        <v>88</v>
      </c>
    </row>
    <row r="11" spans="1:33" x14ac:dyDescent="0.2">
      <c r="A11" s="16" t="s">
        <v>1126</v>
      </c>
      <c r="B11" s="57">
        <f>SUMIF(TE!$A$48:'TE'!$A$85,$A$2,TE!$L$48:'TE'!$L$85)</f>
        <v>0</v>
      </c>
      <c r="C11" s="57">
        <f>SUMIF(TE!$A$48:'TE'!$A$85,$A$2,TE!$M$48:'TE'!$M$85)</f>
        <v>0</v>
      </c>
      <c r="D11" s="57">
        <f>SUMIF(TE!$A$48:'TE'!$A$85,$A$2,TE!$N$48:'TE'!$N$85)</f>
        <v>0</v>
      </c>
      <c r="E11" s="57">
        <f>SUMIF(TE!$A$48:'TE'!$A$85,$A$2,TE!$O$48:'TE'!$O$85)</f>
        <v>0</v>
      </c>
      <c r="F11" s="57">
        <f>SUMIF(TE!$A$48:'TE'!$A$85,$A$2,TE!$P$48:'TE'!$P$85)</f>
        <v>79403.616839937618</v>
      </c>
      <c r="G11" s="57">
        <f>SUMIF(TE!$A$48:'TE'!$A$85,$A$2,TE!$Q$48:'TE'!$Q$85)</f>
        <v>0</v>
      </c>
      <c r="H11" s="57">
        <f>SUMIF(TE!$A$48:'TE'!$A$85,$A$2,TE!$R$48:'TE'!$R$85)</f>
        <v>0</v>
      </c>
      <c r="I11" s="57">
        <f>SUMIF(TE!$A$48:'TE'!$A$85,$A$2,TE!$S$48:'TE'!$S$85)</f>
        <v>0</v>
      </c>
      <c r="J11" s="57">
        <f>SUMIF(TE!$A$48:'TE'!$A$85,$A$2,TE!$T$48:'TE'!$T$85)</f>
        <v>894.31278359558178</v>
      </c>
      <c r="K11" s="57">
        <f>SUMIF(TE!$A$48:'TE'!$A$85,$A$2,TE!$U$48:'TE'!$U$85)</f>
        <v>0</v>
      </c>
      <c r="L11" s="57">
        <f t="shared" si="0"/>
        <v>80297.9296235332</v>
      </c>
    </row>
    <row r="13" spans="1:33" x14ac:dyDescent="0.2">
      <c r="A13" s="16" t="s">
        <v>1130</v>
      </c>
      <c r="B13" s="76">
        <f t="shared" ref="B13:L13" si="1">IF($L$6&lt;&gt;0,(B$7-B$6)/$L$6,0)</f>
        <v>0</v>
      </c>
      <c r="C13" s="76">
        <f t="shared" si="1"/>
        <v>0</v>
      </c>
      <c r="D13" s="76">
        <f t="shared" si="1"/>
        <v>0</v>
      </c>
      <c r="E13" s="76">
        <f t="shared" si="1"/>
        <v>0</v>
      </c>
      <c r="F13" s="76">
        <f t="shared" si="1"/>
        <v>1.4089345925064761E-2</v>
      </c>
      <c r="G13" s="76">
        <f t="shared" si="1"/>
        <v>0</v>
      </c>
      <c r="H13" s="76">
        <f t="shared" si="1"/>
        <v>0</v>
      </c>
      <c r="I13" s="76">
        <f t="shared" si="1"/>
        <v>0</v>
      </c>
      <c r="J13" s="76">
        <f t="shared" si="1"/>
        <v>2.2202930720747163E-2</v>
      </c>
      <c r="K13" s="76">
        <f t="shared" si="1"/>
        <v>0</v>
      </c>
      <c r="L13" s="76">
        <f t="shared" si="1"/>
        <v>3.6292276645811902E-2</v>
      </c>
    </row>
    <row r="14" spans="1:33" x14ac:dyDescent="0.2">
      <c r="A14" s="16" t="s">
        <v>1131</v>
      </c>
      <c r="B14" s="76">
        <f t="shared" ref="B14:L14" si="2">IF($L$10&lt;&gt;0,(B$9-B$8)/$L$10,0)</f>
        <v>0</v>
      </c>
      <c r="C14" s="76">
        <f t="shared" si="2"/>
        <v>0</v>
      </c>
      <c r="D14" s="76">
        <f t="shared" si="2"/>
        <v>0</v>
      </c>
      <c r="E14" s="76">
        <f t="shared" si="2"/>
        <v>0</v>
      </c>
      <c r="F14" s="76">
        <f t="shared" si="2"/>
        <v>-2.7933842345679934E-3</v>
      </c>
      <c r="G14" s="76">
        <f t="shared" si="2"/>
        <v>0</v>
      </c>
      <c r="H14" s="76">
        <f t="shared" si="2"/>
        <v>0</v>
      </c>
      <c r="I14" s="76">
        <f t="shared" si="2"/>
        <v>0</v>
      </c>
      <c r="J14" s="76">
        <f t="shared" si="2"/>
        <v>2.2012782689654432E-2</v>
      </c>
      <c r="K14" s="76">
        <f t="shared" si="2"/>
        <v>0</v>
      </c>
      <c r="L14" s="76">
        <f t="shared" si="2"/>
        <v>1.9219398455086384E-2</v>
      </c>
    </row>
    <row r="15" spans="1:33" x14ac:dyDescent="0.2">
      <c r="A15" s="16" t="s">
        <v>1132</v>
      </c>
      <c r="B15" s="76">
        <f t="shared" ref="B15:L15" si="3">IF($L$8&lt;&gt;0,(B$9-B$8)/$L$8,0)</f>
        <v>0</v>
      </c>
      <c r="C15" s="76">
        <f t="shared" si="3"/>
        <v>0</v>
      </c>
      <c r="D15" s="76">
        <f t="shared" si="3"/>
        <v>0</v>
      </c>
      <c r="E15" s="76">
        <f t="shared" si="3"/>
        <v>0</v>
      </c>
      <c r="F15" s="76">
        <f t="shared" si="3"/>
        <v>-2.7933842345679934E-3</v>
      </c>
      <c r="G15" s="76">
        <f t="shared" si="3"/>
        <v>0</v>
      </c>
      <c r="H15" s="76">
        <f t="shared" si="3"/>
        <v>0</v>
      </c>
      <c r="I15" s="76">
        <f t="shared" si="3"/>
        <v>0</v>
      </c>
      <c r="J15" s="76">
        <f t="shared" si="3"/>
        <v>2.2012782689654432E-2</v>
      </c>
      <c r="K15" s="76">
        <f t="shared" si="3"/>
        <v>0</v>
      </c>
      <c r="L15" s="76">
        <f t="shared" si="3"/>
        <v>1.9219398455086384E-2</v>
      </c>
    </row>
  </sheetData>
  <dataValidations count="4">
    <dataValidation type="list" allowBlank="1" showInputMessage="1" showErrorMessage="1" sqref="A2 G2" xr:uid="{77103503-C350-4A1F-A7C2-34ACFA412C61}">
      <formula1>AA1:AA5</formula1>
    </dataValidation>
    <dataValidation type="list" allowBlank="1" showInputMessage="1" showErrorMessage="1" sqref="B2 C2" xr:uid="{B44479B1-D1E3-4886-B4D9-DA1D569ED342}">
      <formula1>AB1:AB4</formula1>
    </dataValidation>
    <dataValidation type="list" allowBlank="1" showInputMessage="1" showErrorMessage="1" sqref="D2" xr:uid="{40001A76-820D-4922-8823-F2A1AF3F804A}">
      <formula1>AD1:AD10</formula1>
    </dataValidation>
    <dataValidation type="list" allowBlank="1" showInputMessage="1" showErrorMessage="1" sqref="E2 F2" xr:uid="{61CBC53C-12A3-48D6-93FF-F39163B15633}">
      <formula1>AE1:AE1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52B9-E056-4FA5-866D-B7F29C670327}">
  <dimension ref="B1:U16"/>
  <sheetViews>
    <sheetView showGridLines="0" workbookViewId="0">
      <selection activeCell="U1" sqref="U1"/>
    </sheetView>
  </sheetViews>
  <sheetFormatPr defaultRowHeight="15" x14ac:dyDescent="0.25"/>
  <sheetData>
    <row r="1" spans="2:21" x14ac:dyDescent="0.25">
      <c r="B1" s="69" t="s">
        <v>738</v>
      </c>
      <c r="C1" s="69" t="s">
        <v>739</v>
      </c>
      <c r="D1" s="69" t="s">
        <v>740</v>
      </c>
      <c r="E1" s="69" t="s">
        <v>2</v>
      </c>
      <c r="F1" s="69" t="s">
        <v>741</v>
      </c>
      <c r="G1" s="69" t="s">
        <v>650</v>
      </c>
      <c r="H1" s="69" t="s">
        <v>3</v>
      </c>
      <c r="I1" s="69" t="s">
        <v>742</v>
      </c>
      <c r="J1" s="69" t="s">
        <v>5</v>
      </c>
      <c r="K1" s="69" t="s">
        <v>1</v>
      </c>
      <c r="L1" s="69" t="s">
        <v>743</v>
      </c>
      <c r="M1" s="69" t="s">
        <v>744</v>
      </c>
      <c r="N1" s="69" t="s">
        <v>745</v>
      </c>
      <c r="O1" s="69" t="s">
        <v>746</v>
      </c>
      <c r="P1" s="69" t="s">
        <v>747</v>
      </c>
      <c r="Q1" s="69" t="s">
        <v>748</v>
      </c>
      <c r="R1" s="69" t="s">
        <v>749</v>
      </c>
      <c r="S1" s="69" t="s">
        <v>750</v>
      </c>
      <c r="T1" s="69" t="s">
        <v>751</v>
      </c>
      <c r="U1" s="69" t="s">
        <v>752</v>
      </c>
    </row>
    <row r="2" spans="2:21" x14ac:dyDescent="0.25">
      <c r="B2" s="68" t="s">
        <v>721</v>
      </c>
      <c r="C2" s="68">
        <v>5007</v>
      </c>
      <c r="D2" s="68">
        <v>5377</v>
      </c>
      <c r="E2" s="68" t="s">
        <v>23</v>
      </c>
      <c r="F2" s="68">
        <v>1</v>
      </c>
      <c r="G2" s="68" t="s">
        <v>722</v>
      </c>
      <c r="H2" s="68" t="s">
        <v>42</v>
      </c>
      <c r="I2" s="68" t="s">
        <v>25</v>
      </c>
      <c r="J2" s="68" t="s">
        <v>42</v>
      </c>
      <c r="K2" s="68" t="s">
        <v>41</v>
      </c>
      <c r="L2" s="68">
        <v>0.3</v>
      </c>
      <c r="M2" s="68">
        <v>0.24</v>
      </c>
      <c r="N2" s="68">
        <v>0.18</v>
      </c>
      <c r="O2" s="68">
        <v>0.12</v>
      </c>
      <c r="P2" s="68">
        <v>0.06</v>
      </c>
      <c r="Q2" s="68">
        <v>0</v>
      </c>
      <c r="R2" s="68"/>
      <c r="S2" s="68"/>
      <c r="T2" s="68"/>
      <c r="U2" s="68">
        <v>3</v>
      </c>
    </row>
    <row r="3" spans="2:21" x14ac:dyDescent="0.25">
      <c r="B3" s="68" t="s">
        <v>723</v>
      </c>
      <c r="C3" s="68">
        <v>6994</v>
      </c>
      <c r="D3" s="68">
        <v>5377</v>
      </c>
      <c r="E3" s="68" t="s">
        <v>74</v>
      </c>
      <c r="F3" s="68">
        <v>1</v>
      </c>
      <c r="G3" s="68" t="s">
        <v>722</v>
      </c>
      <c r="H3" s="68" t="s">
        <v>47</v>
      </c>
      <c r="I3" s="68" t="s">
        <v>48</v>
      </c>
      <c r="J3" s="68" t="s">
        <v>724</v>
      </c>
      <c r="K3" s="68" t="s">
        <v>34</v>
      </c>
      <c r="L3" s="68">
        <v>0.15</v>
      </c>
      <c r="M3" s="68">
        <v>0.12</v>
      </c>
      <c r="N3" s="68">
        <v>0.09</v>
      </c>
      <c r="O3" s="68">
        <v>0.06</v>
      </c>
      <c r="P3" s="68">
        <v>0.03</v>
      </c>
      <c r="Q3" s="68">
        <v>0</v>
      </c>
      <c r="R3" s="68"/>
      <c r="S3" s="68"/>
      <c r="T3" s="68"/>
      <c r="U3" s="68">
        <v>3</v>
      </c>
    </row>
    <row r="4" spans="2:21" x14ac:dyDescent="0.25">
      <c r="B4" s="68" t="s">
        <v>725</v>
      </c>
      <c r="C4" s="68">
        <v>6995</v>
      </c>
      <c r="D4" s="68">
        <v>5377</v>
      </c>
      <c r="E4" s="68" t="s">
        <v>35</v>
      </c>
      <c r="F4" s="68">
        <v>1</v>
      </c>
      <c r="G4" s="68" t="s">
        <v>722</v>
      </c>
      <c r="H4" s="68" t="s">
        <v>47</v>
      </c>
      <c r="I4" s="68" t="s">
        <v>48</v>
      </c>
      <c r="J4" s="68" t="s">
        <v>724</v>
      </c>
      <c r="K4" s="68" t="s">
        <v>34</v>
      </c>
      <c r="L4" s="68">
        <v>0.15</v>
      </c>
      <c r="M4" s="68">
        <v>0.12</v>
      </c>
      <c r="N4" s="68">
        <v>0.09</v>
      </c>
      <c r="O4" s="68">
        <v>0.06</v>
      </c>
      <c r="P4" s="68">
        <v>0.03</v>
      </c>
      <c r="Q4" s="68">
        <v>0</v>
      </c>
      <c r="R4" s="68"/>
      <c r="S4" s="68"/>
      <c r="T4" s="68"/>
      <c r="U4" s="68">
        <v>3</v>
      </c>
    </row>
    <row r="5" spans="2:21" x14ac:dyDescent="0.25">
      <c r="B5" s="68" t="s">
        <v>726</v>
      </c>
      <c r="C5" s="68">
        <v>6996</v>
      </c>
      <c r="D5" s="68">
        <v>5377</v>
      </c>
      <c r="E5" s="68" t="s">
        <v>23</v>
      </c>
      <c r="F5" s="68">
        <v>1</v>
      </c>
      <c r="G5" s="68" t="s">
        <v>722</v>
      </c>
      <c r="H5" s="68" t="s">
        <v>47</v>
      </c>
      <c r="I5" s="68" t="s">
        <v>48</v>
      </c>
      <c r="J5" s="68" t="s">
        <v>724</v>
      </c>
      <c r="K5" s="68" t="s">
        <v>34</v>
      </c>
      <c r="L5" s="68">
        <v>0.15</v>
      </c>
      <c r="M5" s="68">
        <v>0.12</v>
      </c>
      <c r="N5" s="68">
        <v>0.09</v>
      </c>
      <c r="O5" s="68">
        <v>0.06</v>
      </c>
      <c r="P5" s="68">
        <v>0.03</v>
      </c>
      <c r="Q5" s="68">
        <v>0</v>
      </c>
      <c r="R5" s="68"/>
      <c r="S5" s="68"/>
      <c r="T5" s="68"/>
      <c r="U5" s="68">
        <v>3</v>
      </c>
    </row>
    <row r="6" spans="2:21" x14ac:dyDescent="0.25">
      <c r="B6" s="68" t="s">
        <v>727</v>
      </c>
      <c r="C6" s="68">
        <v>6997</v>
      </c>
      <c r="D6" s="68">
        <v>5377</v>
      </c>
      <c r="E6" s="68" t="s">
        <v>23</v>
      </c>
      <c r="F6" s="68">
        <v>1</v>
      </c>
      <c r="G6" s="68" t="s">
        <v>722</v>
      </c>
      <c r="H6" s="68" t="s">
        <v>47</v>
      </c>
      <c r="I6" s="68" t="s">
        <v>48</v>
      </c>
      <c r="J6" s="68" t="s">
        <v>724</v>
      </c>
      <c r="K6" s="68" t="s">
        <v>32</v>
      </c>
      <c r="L6" s="68">
        <v>0.15</v>
      </c>
      <c r="M6" s="68">
        <v>0.12</v>
      </c>
      <c r="N6" s="68">
        <v>0.09</v>
      </c>
      <c r="O6" s="68">
        <v>0.06</v>
      </c>
      <c r="P6" s="68">
        <v>0.03</v>
      </c>
      <c r="Q6" s="68">
        <v>0</v>
      </c>
      <c r="R6" s="68"/>
      <c r="S6" s="68"/>
      <c r="T6" s="68"/>
      <c r="U6" s="68">
        <v>3</v>
      </c>
    </row>
    <row r="7" spans="2:21" x14ac:dyDescent="0.25">
      <c r="B7" s="68" t="s">
        <v>728</v>
      </c>
      <c r="C7" s="68">
        <v>6998</v>
      </c>
      <c r="D7" s="68">
        <v>5377</v>
      </c>
      <c r="E7" s="68" t="s">
        <v>39</v>
      </c>
      <c r="F7" s="68">
        <v>1</v>
      </c>
      <c r="G7" s="68" t="s">
        <v>722</v>
      </c>
      <c r="H7" s="68" t="s">
        <v>47</v>
      </c>
      <c r="I7" s="68" t="s">
        <v>48</v>
      </c>
      <c r="J7" s="68" t="s">
        <v>724</v>
      </c>
      <c r="K7" s="68" t="s">
        <v>32</v>
      </c>
      <c r="L7" s="68">
        <v>0.15</v>
      </c>
      <c r="M7" s="68">
        <v>0.12</v>
      </c>
      <c r="N7" s="68">
        <v>0.09</v>
      </c>
      <c r="O7" s="68">
        <v>0.06</v>
      </c>
      <c r="P7" s="68">
        <v>0.03</v>
      </c>
      <c r="Q7" s="68">
        <v>0</v>
      </c>
      <c r="R7" s="68"/>
      <c r="S7" s="68"/>
      <c r="T7" s="68"/>
      <c r="U7" s="68">
        <v>3</v>
      </c>
    </row>
    <row r="8" spans="2:21" x14ac:dyDescent="0.25">
      <c r="B8" s="68" t="s">
        <v>729</v>
      </c>
      <c r="C8" s="68">
        <v>6999</v>
      </c>
      <c r="D8" s="68">
        <v>5377</v>
      </c>
      <c r="E8" s="68" t="s">
        <v>23</v>
      </c>
      <c r="F8" s="68">
        <v>1</v>
      </c>
      <c r="G8" s="68" t="s">
        <v>722</v>
      </c>
      <c r="H8" s="68" t="s">
        <v>42</v>
      </c>
      <c r="I8" s="68" t="s">
        <v>86</v>
      </c>
      <c r="J8" s="68" t="s">
        <v>724</v>
      </c>
      <c r="K8" s="68" t="s">
        <v>41</v>
      </c>
      <c r="L8" s="68">
        <v>0.3</v>
      </c>
      <c r="M8" s="68">
        <v>0.24</v>
      </c>
      <c r="N8" s="68">
        <v>0.18</v>
      </c>
      <c r="O8" s="68">
        <v>0.12</v>
      </c>
      <c r="P8" s="68">
        <v>0.06</v>
      </c>
      <c r="Q8" s="68">
        <v>0</v>
      </c>
      <c r="R8" s="68"/>
      <c r="S8" s="68"/>
      <c r="T8" s="68"/>
      <c r="U8" s="68">
        <v>3</v>
      </c>
    </row>
    <row r="9" spans="2:21" x14ac:dyDescent="0.25">
      <c r="B9" s="68" t="s">
        <v>730</v>
      </c>
      <c r="C9" s="68">
        <v>7000</v>
      </c>
      <c r="D9" s="68">
        <v>5377</v>
      </c>
      <c r="E9" s="68" t="s">
        <v>39</v>
      </c>
      <c r="F9" s="68">
        <v>1</v>
      </c>
      <c r="G9" s="68" t="s">
        <v>722</v>
      </c>
      <c r="H9" s="68" t="s">
        <v>42</v>
      </c>
      <c r="I9" s="68" t="s">
        <v>86</v>
      </c>
      <c r="J9" s="68" t="s">
        <v>724</v>
      </c>
      <c r="K9" s="68" t="s">
        <v>41</v>
      </c>
      <c r="L9" s="68">
        <v>0.3</v>
      </c>
      <c r="M9" s="68">
        <v>0.24</v>
      </c>
      <c r="N9" s="68">
        <v>0.18</v>
      </c>
      <c r="O9" s="68">
        <v>0.12</v>
      </c>
      <c r="P9" s="68">
        <v>0.06</v>
      </c>
      <c r="Q9" s="68">
        <v>0</v>
      </c>
      <c r="R9" s="68"/>
      <c r="S9" s="68"/>
      <c r="T9" s="68"/>
      <c r="U9" s="68">
        <v>3</v>
      </c>
    </row>
    <row r="10" spans="2:21" x14ac:dyDescent="0.25">
      <c r="B10" s="68" t="s">
        <v>731</v>
      </c>
      <c r="C10" s="68">
        <v>7001</v>
      </c>
      <c r="D10" s="68">
        <v>5377</v>
      </c>
      <c r="E10" s="68" t="s">
        <v>74</v>
      </c>
      <c r="F10" s="68">
        <v>1</v>
      </c>
      <c r="G10" s="68" t="s">
        <v>722</v>
      </c>
      <c r="H10" s="68" t="s">
        <v>42</v>
      </c>
      <c r="I10" s="68" t="s">
        <v>25</v>
      </c>
      <c r="J10" s="68" t="s">
        <v>732</v>
      </c>
      <c r="K10" s="68" t="s">
        <v>34</v>
      </c>
      <c r="L10" s="68">
        <v>0.1</v>
      </c>
      <c r="M10" s="68">
        <v>0.08</v>
      </c>
      <c r="N10" s="68">
        <v>0.06</v>
      </c>
      <c r="O10" s="68">
        <v>0.04</v>
      </c>
      <c r="P10" s="68">
        <v>0.02</v>
      </c>
      <c r="Q10" s="68">
        <v>0</v>
      </c>
      <c r="R10" s="68"/>
      <c r="S10" s="68"/>
      <c r="T10" s="68"/>
      <c r="U10" s="68">
        <v>3</v>
      </c>
    </row>
    <row r="11" spans="2:21" x14ac:dyDescent="0.25">
      <c r="B11" s="68" t="s">
        <v>733</v>
      </c>
      <c r="C11" s="68">
        <v>7002</v>
      </c>
      <c r="D11" s="68">
        <v>5377</v>
      </c>
      <c r="E11" s="68" t="s">
        <v>35</v>
      </c>
      <c r="F11" s="68">
        <v>1</v>
      </c>
      <c r="G11" s="68" t="s">
        <v>722</v>
      </c>
      <c r="H11" s="68" t="s">
        <v>42</v>
      </c>
      <c r="I11" s="68" t="s">
        <v>25</v>
      </c>
      <c r="J11" s="68" t="s">
        <v>732</v>
      </c>
      <c r="K11" s="68" t="s">
        <v>34</v>
      </c>
      <c r="L11" s="68">
        <v>0.1</v>
      </c>
      <c r="M11" s="68">
        <v>0.08</v>
      </c>
      <c r="N11" s="68">
        <v>0.06</v>
      </c>
      <c r="O11" s="68">
        <v>0.04</v>
      </c>
      <c r="P11" s="68">
        <v>0.02</v>
      </c>
      <c r="Q11" s="68">
        <v>0</v>
      </c>
      <c r="R11" s="68"/>
      <c r="S11" s="68"/>
      <c r="T11" s="68"/>
      <c r="U11" s="68">
        <v>3</v>
      </c>
    </row>
    <row r="12" spans="2:21" x14ac:dyDescent="0.25">
      <c r="B12" s="68" t="s">
        <v>734</v>
      </c>
      <c r="C12" s="68">
        <v>7003</v>
      </c>
      <c r="D12" s="68">
        <v>5377</v>
      </c>
      <c r="E12" s="68" t="s">
        <v>23</v>
      </c>
      <c r="F12" s="68">
        <v>1</v>
      </c>
      <c r="G12" s="68" t="s">
        <v>722</v>
      </c>
      <c r="H12" s="68" t="s">
        <v>42</v>
      </c>
      <c r="I12" s="68" t="s">
        <v>25</v>
      </c>
      <c r="J12" s="68" t="s">
        <v>732</v>
      </c>
      <c r="K12" s="68" t="s">
        <v>34</v>
      </c>
      <c r="L12" s="68">
        <v>0.1</v>
      </c>
      <c r="M12" s="68">
        <v>0.08</v>
      </c>
      <c r="N12" s="68">
        <v>0.06</v>
      </c>
      <c r="O12" s="68">
        <v>0.04</v>
      </c>
      <c r="P12" s="68">
        <v>0.02</v>
      </c>
      <c r="Q12" s="68">
        <v>0</v>
      </c>
      <c r="R12" s="68"/>
      <c r="S12" s="68"/>
      <c r="T12" s="68"/>
      <c r="U12" s="68">
        <v>3</v>
      </c>
    </row>
    <row r="13" spans="2:21" x14ac:dyDescent="0.25">
      <c r="B13" s="68" t="s">
        <v>721</v>
      </c>
      <c r="C13" s="68">
        <v>7004</v>
      </c>
      <c r="D13" s="68">
        <v>5377</v>
      </c>
      <c r="E13" s="68" t="s">
        <v>23</v>
      </c>
      <c r="F13" s="68">
        <v>1</v>
      </c>
      <c r="G13" s="68" t="s">
        <v>722</v>
      </c>
      <c r="H13" s="68" t="s">
        <v>42</v>
      </c>
      <c r="I13" s="68" t="s">
        <v>25</v>
      </c>
      <c r="J13" s="68" t="s">
        <v>42</v>
      </c>
      <c r="K13" s="68" t="s">
        <v>41</v>
      </c>
      <c r="L13" s="68">
        <v>0.3</v>
      </c>
      <c r="M13" s="68">
        <v>0.24</v>
      </c>
      <c r="N13" s="68">
        <v>0.18</v>
      </c>
      <c r="O13" s="68">
        <v>0.12</v>
      </c>
      <c r="P13" s="68">
        <v>0.06</v>
      </c>
      <c r="Q13" s="68">
        <v>0</v>
      </c>
      <c r="R13" s="68"/>
      <c r="S13" s="68"/>
      <c r="T13" s="68"/>
      <c r="U13" s="68">
        <v>3</v>
      </c>
    </row>
    <row r="14" spans="2:21" x14ac:dyDescent="0.25">
      <c r="B14" s="68" t="s">
        <v>735</v>
      </c>
      <c r="C14" s="68">
        <v>7005</v>
      </c>
      <c r="D14" s="68">
        <v>5377</v>
      </c>
      <c r="E14" s="68" t="s">
        <v>39</v>
      </c>
      <c r="F14" s="68">
        <v>1</v>
      </c>
      <c r="G14" s="68" t="s">
        <v>722</v>
      </c>
      <c r="H14" s="68" t="s">
        <v>42</v>
      </c>
      <c r="I14" s="68" t="s">
        <v>25</v>
      </c>
      <c r="J14" s="68" t="s">
        <v>42</v>
      </c>
      <c r="K14" s="68" t="s">
        <v>41</v>
      </c>
      <c r="L14" s="68">
        <v>0.3</v>
      </c>
      <c r="M14" s="68">
        <v>0.24</v>
      </c>
      <c r="N14" s="68">
        <v>0.18</v>
      </c>
      <c r="O14" s="68">
        <v>0.12</v>
      </c>
      <c r="P14" s="68">
        <v>0.06</v>
      </c>
      <c r="Q14" s="68">
        <v>0</v>
      </c>
      <c r="R14" s="68"/>
      <c r="S14" s="68"/>
      <c r="T14" s="68"/>
      <c r="U14" s="68">
        <v>3</v>
      </c>
    </row>
    <row r="15" spans="2:21" x14ac:dyDescent="0.25">
      <c r="B15" s="68" t="s">
        <v>736</v>
      </c>
      <c r="C15" s="68">
        <v>7006</v>
      </c>
      <c r="D15" s="68">
        <v>5377</v>
      </c>
      <c r="E15" s="68" t="s">
        <v>23</v>
      </c>
      <c r="F15" s="68">
        <v>1</v>
      </c>
      <c r="G15" s="68" t="s">
        <v>722</v>
      </c>
      <c r="H15" s="68" t="s">
        <v>42</v>
      </c>
      <c r="I15" s="68" t="s">
        <v>87</v>
      </c>
      <c r="J15" s="68" t="s">
        <v>724</v>
      </c>
      <c r="K15" s="68" t="s">
        <v>41</v>
      </c>
      <c r="L15" s="68">
        <v>0.4</v>
      </c>
      <c r="M15" s="68">
        <v>0.32</v>
      </c>
      <c r="N15" s="68">
        <v>0.24</v>
      </c>
      <c r="O15" s="68">
        <v>0.16</v>
      </c>
      <c r="P15" s="68">
        <v>0.08</v>
      </c>
      <c r="Q15" s="68">
        <v>0</v>
      </c>
      <c r="R15" s="68"/>
      <c r="S15" s="68"/>
      <c r="T15" s="68"/>
      <c r="U15" s="68">
        <v>3</v>
      </c>
    </row>
    <row r="16" spans="2:21" x14ac:dyDescent="0.25">
      <c r="B16" s="68" t="s">
        <v>737</v>
      </c>
      <c r="C16" s="68">
        <v>7007</v>
      </c>
      <c r="D16" s="68">
        <v>5377</v>
      </c>
      <c r="E16" s="68" t="s">
        <v>39</v>
      </c>
      <c r="F16" s="68">
        <v>1</v>
      </c>
      <c r="G16" s="68" t="s">
        <v>722</v>
      </c>
      <c r="H16" s="68" t="s">
        <v>42</v>
      </c>
      <c r="I16" s="68" t="s">
        <v>87</v>
      </c>
      <c r="J16" s="68" t="s">
        <v>724</v>
      </c>
      <c r="K16" s="68" t="s">
        <v>41</v>
      </c>
      <c r="L16" s="68">
        <v>0.4</v>
      </c>
      <c r="M16" s="68">
        <v>0.32</v>
      </c>
      <c r="N16" s="68">
        <v>0.24</v>
      </c>
      <c r="O16" s="68">
        <v>0.16</v>
      </c>
      <c r="P16" s="68">
        <v>0.08</v>
      </c>
      <c r="Q16" s="68">
        <v>0</v>
      </c>
      <c r="R16" s="68"/>
      <c r="S16" s="68"/>
      <c r="T16" s="68"/>
      <c r="U16" s="68">
        <v>3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F4943-B2AC-4D7D-8FD7-ED0952046476}">
  <dimension ref="A1:L18"/>
  <sheetViews>
    <sheetView showGridLines="0" workbookViewId="0">
      <selection activeCell="F8" sqref="F8"/>
    </sheetView>
  </sheetViews>
  <sheetFormatPr defaultRowHeight="11.25" x14ac:dyDescent="0.2"/>
  <cols>
    <col min="1" max="1" width="31.42578125" style="16" bestFit="1" customWidth="1"/>
    <col min="2" max="2" width="18.42578125" style="16" customWidth="1"/>
    <col min="3" max="12" width="11" style="16" customWidth="1"/>
    <col min="13" max="16384" width="9.140625" style="16"/>
  </cols>
  <sheetData>
    <row r="1" spans="1:12" ht="12" thickBot="1" x14ac:dyDescent="0.25">
      <c r="A1" s="97" t="s">
        <v>1147</v>
      </c>
      <c r="B1" s="97" t="s">
        <v>22</v>
      </c>
      <c r="C1" s="97" t="s">
        <v>1146</v>
      </c>
      <c r="D1" s="97" t="s">
        <v>1145</v>
      </c>
      <c r="E1" s="97" t="s">
        <v>32</v>
      </c>
      <c r="F1" s="97" t="s">
        <v>1144</v>
      </c>
      <c r="G1" s="97" t="s">
        <v>1143</v>
      </c>
      <c r="H1" s="97" t="s">
        <v>643</v>
      </c>
      <c r="I1" s="97" t="s">
        <v>34</v>
      </c>
      <c r="J1" s="97" t="s">
        <v>642</v>
      </c>
      <c r="K1" s="97" t="s">
        <v>641</v>
      </c>
      <c r="L1" s="97" t="s">
        <v>640</v>
      </c>
    </row>
    <row r="2" spans="1:12" x14ac:dyDescent="0.2">
      <c r="A2" s="93" t="s">
        <v>1142</v>
      </c>
      <c r="B2" s="99">
        <f t="shared" ref="B2:L2" si="0">12*B3*(1-$B$10/IF($B$8&lt;&gt;0,$B$8,1))/IF(((((1+$B$6)^(1/IF($B$9&lt;&gt;0,$B$9,1))*$B$6)/(IF((1+$B$6)^(1/IF($B$9&lt;&gt;0,$B$9,1))-1&lt;&gt;0,(1+$B$6)^(1/IF($B$9&lt;&gt;0,$B$9,1))-1,1))))&lt;&gt;0,(((1+$B$6)^(1/IF($B$9&lt;&gt;0,$B$9,1))*$B$6)/(IF((1+$B$6)^(1/IF($B$9&lt;&gt;0,$B$9,1))-1&lt;&gt;0,(1+$B$6)^(1/IF($B$9&lt;&gt;0,$B$9,1))-1,1))),1)</f>
        <v>2286.4201194673542</v>
      </c>
      <c r="C2" s="99">
        <f t="shared" si="0"/>
        <v>2149.4670361693097</v>
      </c>
      <c r="D2" s="99">
        <f t="shared" si="0"/>
        <v>2103.8160084032947</v>
      </c>
      <c r="E2" s="99">
        <f t="shared" si="0"/>
        <v>2286.4201194673542</v>
      </c>
      <c r="F2" s="99">
        <f t="shared" si="0"/>
        <v>1257.3376291487141</v>
      </c>
      <c r="G2" s="99">
        <f t="shared" si="0"/>
        <v>1371.8520716804126</v>
      </c>
      <c r="H2" s="99">
        <f t="shared" si="0"/>
        <v>0</v>
      </c>
      <c r="I2" s="99">
        <f t="shared" si="0"/>
        <v>2585.0507857855087</v>
      </c>
      <c r="J2" s="99">
        <f t="shared" si="0"/>
        <v>0</v>
      </c>
      <c r="K2" s="99">
        <f t="shared" si="0"/>
        <v>0</v>
      </c>
      <c r="L2" s="99">
        <f t="shared" si="0"/>
        <v>0</v>
      </c>
    </row>
    <row r="3" spans="1:12" ht="12" thickBot="1" x14ac:dyDescent="0.25">
      <c r="A3" s="91" t="s">
        <v>1141</v>
      </c>
      <c r="B3" s="98">
        <v>29.55</v>
      </c>
      <c r="C3" s="98">
        <v>27.78</v>
      </c>
      <c r="D3" s="98">
        <v>27.19</v>
      </c>
      <c r="E3" s="98">
        <v>29.55</v>
      </c>
      <c r="F3" s="98">
        <v>16.25</v>
      </c>
      <c r="G3" s="98">
        <v>17.73</v>
      </c>
      <c r="H3" s="98">
        <v>0</v>
      </c>
      <c r="I3" s="98">
        <f>'TUSD BE'!$AC$6</f>
        <v>33.409542747444526</v>
      </c>
      <c r="J3" s="98">
        <v>0</v>
      </c>
      <c r="K3" s="98">
        <v>0</v>
      </c>
      <c r="L3" s="98">
        <v>0</v>
      </c>
    </row>
    <row r="5" spans="1:12" ht="12" thickBot="1" x14ac:dyDescent="0.25">
      <c r="A5" s="97" t="s">
        <v>1140</v>
      </c>
      <c r="B5" s="97" t="s">
        <v>1139</v>
      </c>
    </row>
    <row r="6" spans="1:12" x14ac:dyDescent="0.2">
      <c r="A6" s="93" t="s">
        <v>1138</v>
      </c>
      <c r="B6" s="96">
        <v>3.7699999999999997E-2</v>
      </c>
    </row>
    <row r="7" spans="1:12" x14ac:dyDescent="0.2">
      <c r="A7" s="95" t="s">
        <v>1137</v>
      </c>
      <c r="B7" s="94">
        <v>0</v>
      </c>
    </row>
    <row r="8" spans="1:12" x14ac:dyDescent="0.2">
      <c r="A8" s="93" t="s">
        <v>1136</v>
      </c>
      <c r="B8" s="92">
        <v>5374442.8200000003</v>
      </c>
    </row>
    <row r="9" spans="1:12" x14ac:dyDescent="0.2">
      <c r="A9" s="95" t="s">
        <v>1135</v>
      </c>
      <c r="B9" s="94">
        <v>0.04</v>
      </c>
    </row>
    <row r="10" spans="1:12" x14ac:dyDescent="0.2">
      <c r="A10" s="93" t="s">
        <v>1134</v>
      </c>
      <c r="B10" s="92">
        <v>3209783.98</v>
      </c>
    </row>
    <row r="11" spans="1:12" ht="12" thickBot="1" x14ac:dyDescent="0.25">
      <c r="A11" s="91" t="s">
        <v>1133</v>
      </c>
      <c r="B11" s="90">
        <f>(1+$B$6)^(1/IF($B$9&lt;&gt;0,$B$9,1))*$B$6/IF((1+$B$6)^(1/IF($B$9&lt;&gt;0,$B$9,1))-1&lt;&gt;0,(1+$B$6)^(1/IF($B$9&lt;&gt;0,$B$9,1))-1,1)</f>
        <v>6.2465282847789703E-2</v>
      </c>
    </row>
    <row r="18" spans="2:2" x14ac:dyDescent="0.2">
      <c r="B18" s="8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11AD-1A7F-48B7-BE4A-E817413ED888}">
  <dimension ref="B1:AQ50"/>
  <sheetViews>
    <sheetView showGridLines="0" tabSelected="1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14.42578125" bestFit="1" customWidth="1"/>
    <col min="30" max="30" width="12" bestFit="1" customWidth="1"/>
    <col min="31" max="31" width="17.7109375" bestFit="1" customWidth="1"/>
    <col min="32" max="32" width="12.5703125" bestFit="1" customWidth="1"/>
    <col min="33" max="33" width="10.7109375" bestFit="1" customWidth="1"/>
    <col min="34" max="34" width="16.5703125" bestFit="1" customWidth="1"/>
    <col min="35" max="35" width="9.85546875" bestFit="1" customWidth="1"/>
    <col min="36" max="36" width="12.5703125" bestFit="1" customWidth="1"/>
    <col min="37" max="37" width="12.28515625" bestFit="1" customWidth="1"/>
    <col min="38" max="38" width="14.140625" bestFit="1" customWidth="1"/>
    <col min="39" max="39" width="25.28515625" bestFit="1" customWidth="1"/>
    <col min="40" max="40" width="17.85546875" bestFit="1" customWidth="1"/>
    <col min="41" max="41" width="13.42578125" bestFit="1" customWidth="1"/>
    <col min="42" max="42" width="13.28515625" bestFit="1" customWidth="1"/>
    <col min="43" max="43" width="12.5703125" bestFit="1" customWidth="1"/>
  </cols>
  <sheetData>
    <row r="1" spans="2:43" ht="12" customHeight="1" x14ac:dyDescent="0.25">
      <c r="L1" s="147" t="s">
        <v>1184</v>
      </c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8"/>
      <c r="AH1" s="147" t="s">
        <v>1185</v>
      </c>
      <c r="AI1" s="147"/>
      <c r="AJ1" s="147"/>
      <c r="AK1" s="147"/>
      <c r="AL1" s="147"/>
      <c r="AM1" s="147"/>
      <c r="AN1" s="147"/>
      <c r="AO1" s="147"/>
      <c r="AP1" s="147"/>
      <c r="AQ1" s="147"/>
    </row>
    <row r="2" spans="2:43" ht="12" customHeight="1" x14ac:dyDescent="0.25">
      <c r="L2" s="149" t="s">
        <v>509</v>
      </c>
      <c r="M2" s="149"/>
      <c r="N2" s="149"/>
      <c r="O2" s="149"/>
      <c r="P2" s="149"/>
      <c r="Q2" s="149"/>
      <c r="R2" s="149"/>
      <c r="S2" s="150"/>
      <c r="T2" s="149" t="s">
        <v>518</v>
      </c>
      <c r="U2" s="149"/>
      <c r="V2" s="149"/>
      <c r="W2" s="149"/>
      <c r="X2" s="149"/>
      <c r="Y2" s="149"/>
      <c r="Z2" s="150"/>
      <c r="AA2" s="111" t="s">
        <v>526</v>
      </c>
      <c r="AB2" s="149" t="s">
        <v>25</v>
      </c>
      <c r="AC2" s="150"/>
      <c r="AD2" s="149" t="s">
        <v>1183</v>
      </c>
      <c r="AE2" s="149"/>
      <c r="AF2" s="149"/>
      <c r="AG2" s="150"/>
      <c r="AH2" s="149" t="s">
        <v>509</v>
      </c>
      <c r="AI2" s="149"/>
      <c r="AJ2" s="149"/>
      <c r="AK2" s="150"/>
      <c r="AL2" s="111" t="s">
        <v>539</v>
      </c>
      <c r="AM2" s="149" t="s">
        <v>518</v>
      </c>
      <c r="AN2" s="149"/>
      <c r="AO2" s="149"/>
      <c r="AP2" s="150"/>
      <c r="AQ2" s="112" t="s">
        <v>1183</v>
      </c>
    </row>
    <row r="3" spans="2:43" ht="12" customHeight="1" x14ac:dyDescent="0.25">
      <c r="B3" s="102" t="s">
        <v>59</v>
      </c>
      <c r="C3" s="103" t="s">
        <v>60</v>
      </c>
      <c r="D3" s="103" t="s">
        <v>61</v>
      </c>
      <c r="E3" s="103" t="s">
        <v>62</v>
      </c>
      <c r="F3" s="103" t="s">
        <v>63</v>
      </c>
      <c r="G3" s="103" t="s">
        <v>65</v>
      </c>
      <c r="H3" s="103" t="s">
        <v>66</v>
      </c>
      <c r="I3" s="103" t="s">
        <v>783</v>
      </c>
      <c r="J3" s="103" t="s">
        <v>1148</v>
      </c>
      <c r="K3" s="103" t="s">
        <v>1149</v>
      </c>
      <c r="L3" s="103" t="s">
        <v>1150</v>
      </c>
      <c r="M3" s="103" t="s">
        <v>1151</v>
      </c>
      <c r="N3" s="103" t="s">
        <v>1152</v>
      </c>
      <c r="O3" s="103" t="s">
        <v>1153</v>
      </c>
      <c r="P3" s="103" t="s">
        <v>1154</v>
      </c>
      <c r="Q3" s="103" t="s">
        <v>1155</v>
      </c>
      <c r="R3" s="103" t="s">
        <v>1156</v>
      </c>
      <c r="S3" s="103" t="s">
        <v>1157</v>
      </c>
      <c r="T3" s="103" t="s">
        <v>1158</v>
      </c>
      <c r="U3" s="103" t="s">
        <v>1159</v>
      </c>
      <c r="V3" s="103" t="s">
        <v>1160</v>
      </c>
      <c r="W3" s="103" t="s">
        <v>1161</v>
      </c>
      <c r="X3" s="103" t="s">
        <v>1162</v>
      </c>
      <c r="Y3" s="103" t="s">
        <v>1163</v>
      </c>
      <c r="Z3" s="103" t="s">
        <v>1164</v>
      </c>
      <c r="AA3" s="103" t="s">
        <v>1165</v>
      </c>
      <c r="AB3" s="103" t="s">
        <v>1166</v>
      </c>
      <c r="AC3" s="103" t="s">
        <v>1167</v>
      </c>
      <c r="AD3" s="103" t="s">
        <v>1168</v>
      </c>
      <c r="AE3" s="103" t="s">
        <v>1169</v>
      </c>
      <c r="AF3" s="103" t="s">
        <v>1170</v>
      </c>
      <c r="AG3" s="103" t="s">
        <v>1171</v>
      </c>
      <c r="AH3" s="103" t="s">
        <v>1172</v>
      </c>
      <c r="AI3" s="103" t="s">
        <v>1173</v>
      </c>
      <c r="AJ3" s="103" t="s">
        <v>1174</v>
      </c>
      <c r="AK3" s="103" t="s">
        <v>1175</v>
      </c>
      <c r="AL3" s="103" t="s">
        <v>1176</v>
      </c>
      <c r="AM3" s="103" t="s">
        <v>1177</v>
      </c>
      <c r="AN3" s="103" t="s">
        <v>1178</v>
      </c>
      <c r="AO3" s="103" t="s">
        <v>1179</v>
      </c>
      <c r="AP3" s="103" t="s">
        <v>1180</v>
      </c>
      <c r="AQ3" s="104" t="s">
        <v>1181</v>
      </c>
    </row>
    <row r="4" spans="2:43" ht="12" customHeight="1" x14ac:dyDescent="0.25">
      <c r="B4" s="105" t="s">
        <v>34</v>
      </c>
      <c r="C4" s="106" t="s">
        <v>74</v>
      </c>
      <c r="D4" s="106" t="s">
        <v>25</v>
      </c>
      <c r="E4" s="106" t="s">
        <v>25</v>
      </c>
      <c r="F4" s="106" t="s">
        <v>78</v>
      </c>
      <c r="G4" s="106" t="s">
        <v>36</v>
      </c>
      <c r="H4" s="106" t="s">
        <v>69</v>
      </c>
      <c r="I4" s="106" t="s">
        <v>25</v>
      </c>
      <c r="J4" s="106">
        <v>17.86</v>
      </c>
      <c r="K4" s="106">
        <v>0</v>
      </c>
      <c r="L4" s="106">
        <v>0</v>
      </c>
      <c r="M4" s="106">
        <v>0.68928913140797898</v>
      </c>
      <c r="N4" s="106">
        <v>0</v>
      </c>
      <c r="O4" s="106">
        <v>0</v>
      </c>
      <c r="P4" s="106">
        <v>0</v>
      </c>
      <c r="Q4" s="106">
        <v>0</v>
      </c>
      <c r="R4" s="106">
        <v>0</v>
      </c>
      <c r="S4" s="106">
        <v>0</v>
      </c>
      <c r="T4" s="106">
        <v>0</v>
      </c>
      <c r="U4" s="106">
        <v>0</v>
      </c>
      <c r="V4" s="106">
        <v>0</v>
      </c>
      <c r="W4" s="106">
        <v>0</v>
      </c>
      <c r="X4" s="106">
        <v>0</v>
      </c>
      <c r="Y4" s="106">
        <v>0</v>
      </c>
      <c r="Z4" s="106">
        <v>0</v>
      </c>
      <c r="AA4" s="106">
        <v>0</v>
      </c>
      <c r="AB4" s="106">
        <v>-2.2523640045526899E-2</v>
      </c>
      <c r="AC4" s="106">
        <v>0</v>
      </c>
      <c r="AD4" s="106">
        <v>17.197043216270799</v>
      </c>
      <c r="AE4" s="106">
        <v>0</v>
      </c>
      <c r="AF4" s="106">
        <v>0</v>
      </c>
      <c r="AG4" s="106">
        <v>0</v>
      </c>
      <c r="AH4" s="106">
        <v>0</v>
      </c>
      <c r="AI4" s="106">
        <v>0</v>
      </c>
      <c r="AJ4" s="106">
        <v>0</v>
      </c>
      <c r="AK4" s="106">
        <v>0</v>
      </c>
      <c r="AL4" s="106">
        <v>0</v>
      </c>
      <c r="AM4" s="106">
        <v>0</v>
      </c>
      <c r="AN4" s="106">
        <v>0</v>
      </c>
      <c r="AO4" s="106">
        <v>0</v>
      </c>
      <c r="AP4" s="106">
        <v>0</v>
      </c>
      <c r="AQ4" s="107">
        <v>0</v>
      </c>
    </row>
    <row r="5" spans="2:43" ht="12" customHeight="1" x14ac:dyDescent="0.25">
      <c r="B5" s="105" t="s">
        <v>34</v>
      </c>
      <c r="C5" s="106" t="s">
        <v>74</v>
      </c>
      <c r="D5" s="106" t="s">
        <v>25</v>
      </c>
      <c r="E5" s="106" t="s">
        <v>25</v>
      </c>
      <c r="F5" s="106" t="s">
        <v>78</v>
      </c>
      <c r="G5" s="106" t="s">
        <v>36</v>
      </c>
      <c r="H5" s="106" t="s">
        <v>75</v>
      </c>
      <c r="I5" s="106" t="s">
        <v>25</v>
      </c>
      <c r="J5" s="106">
        <v>177.81</v>
      </c>
      <c r="K5" s="106">
        <v>0</v>
      </c>
      <c r="L5" s="106">
        <v>0</v>
      </c>
      <c r="M5" s="106">
        <v>0</v>
      </c>
      <c r="N5" s="106">
        <v>0</v>
      </c>
      <c r="O5" s="106">
        <v>0</v>
      </c>
      <c r="P5" s="106">
        <v>0</v>
      </c>
      <c r="Q5" s="106">
        <v>0</v>
      </c>
      <c r="R5" s="106">
        <v>0</v>
      </c>
      <c r="S5" s="106">
        <v>0</v>
      </c>
      <c r="T5" s="106">
        <v>0</v>
      </c>
      <c r="U5" s="106">
        <v>0</v>
      </c>
      <c r="V5" s="106">
        <v>0</v>
      </c>
      <c r="W5" s="106">
        <v>0</v>
      </c>
      <c r="X5" s="106">
        <v>92.416708661309102</v>
      </c>
      <c r="Y5" s="106">
        <v>0</v>
      </c>
      <c r="Z5" s="106">
        <v>0</v>
      </c>
      <c r="AA5" s="106">
        <v>85.623483444201298</v>
      </c>
      <c r="AB5" s="106">
        <v>-0.233899461985141</v>
      </c>
      <c r="AC5" s="106">
        <v>0</v>
      </c>
      <c r="AD5" s="106">
        <v>0</v>
      </c>
      <c r="AE5" s="106">
        <v>0</v>
      </c>
      <c r="AF5" s="106">
        <v>0</v>
      </c>
      <c r="AG5" s="106">
        <v>0</v>
      </c>
      <c r="AH5" s="106">
        <v>0</v>
      </c>
      <c r="AI5" s="106">
        <v>0</v>
      </c>
      <c r="AJ5" s="106">
        <v>0</v>
      </c>
      <c r="AK5" s="106">
        <v>0</v>
      </c>
      <c r="AL5" s="106">
        <v>0</v>
      </c>
      <c r="AM5" s="106">
        <v>0</v>
      </c>
      <c r="AN5" s="106">
        <v>0</v>
      </c>
      <c r="AO5" s="106">
        <v>0</v>
      </c>
      <c r="AP5" s="106">
        <v>0</v>
      </c>
      <c r="AQ5" s="107">
        <v>0</v>
      </c>
    </row>
    <row r="6" spans="2:43" ht="12" customHeight="1" x14ac:dyDescent="0.25">
      <c r="B6" s="105" t="s">
        <v>34</v>
      </c>
      <c r="C6" s="106" t="s">
        <v>74</v>
      </c>
      <c r="D6" s="106" t="s">
        <v>25</v>
      </c>
      <c r="E6" s="106" t="s">
        <v>25</v>
      </c>
      <c r="F6" s="106" t="s">
        <v>78</v>
      </c>
      <c r="G6" s="106" t="s">
        <v>37</v>
      </c>
      <c r="H6" s="106" t="s">
        <v>69</v>
      </c>
      <c r="I6" s="106" t="s">
        <v>25</v>
      </c>
      <c r="J6" s="106">
        <v>17.86</v>
      </c>
      <c r="K6" s="106">
        <v>0</v>
      </c>
      <c r="L6" s="106">
        <v>0</v>
      </c>
      <c r="M6" s="106">
        <v>0.68928913140797898</v>
      </c>
      <c r="N6" s="106">
        <v>0</v>
      </c>
      <c r="O6" s="106">
        <v>0</v>
      </c>
      <c r="P6" s="106">
        <v>0</v>
      </c>
      <c r="Q6" s="106">
        <v>0</v>
      </c>
      <c r="R6" s="106">
        <v>0</v>
      </c>
      <c r="S6" s="106">
        <v>0</v>
      </c>
      <c r="T6" s="106">
        <v>0</v>
      </c>
      <c r="U6" s="106">
        <v>0</v>
      </c>
      <c r="V6" s="106">
        <v>0</v>
      </c>
      <c r="W6" s="106">
        <v>0</v>
      </c>
      <c r="X6" s="106">
        <v>0</v>
      </c>
      <c r="Y6" s="106">
        <v>0</v>
      </c>
      <c r="Z6" s="106">
        <v>0</v>
      </c>
      <c r="AA6" s="106">
        <v>0</v>
      </c>
      <c r="AB6" s="106">
        <v>-2.2523640045526899E-2</v>
      </c>
      <c r="AC6" s="106">
        <v>0</v>
      </c>
      <c r="AD6" s="106">
        <v>17.197043216270799</v>
      </c>
      <c r="AE6" s="106">
        <v>0</v>
      </c>
      <c r="AF6" s="106">
        <v>0</v>
      </c>
      <c r="AG6" s="106">
        <v>0</v>
      </c>
      <c r="AH6" s="106">
        <v>0</v>
      </c>
      <c r="AI6" s="106">
        <v>0</v>
      </c>
      <c r="AJ6" s="106">
        <v>0</v>
      </c>
      <c r="AK6" s="106">
        <v>0</v>
      </c>
      <c r="AL6" s="106">
        <v>0</v>
      </c>
      <c r="AM6" s="106">
        <v>0</v>
      </c>
      <c r="AN6" s="106">
        <v>0</v>
      </c>
      <c r="AO6" s="106">
        <v>0</v>
      </c>
      <c r="AP6" s="106">
        <v>0</v>
      </c>
      <c r="AQ6" s="107">
        <v>0</v>
      </c>
    </row>
    <row r="7" spans="2:43" ht="12" customHeight="1" x14ac:dyDescent="0.25">
      <c r="B7" s="105" t="s">
        <v>34</v>
      </c>
      <c r="C7" s="106" t="s">
        <v>74</v>
      </c>
      <c r="D7" s="106" t="s">
        <v>25</v>
      </c>
      <c r="E7" s="106" t="s">
        <v>25</v>
      </c>
      <c r="F7" s="106" t="s">
        <v>78</v>
      </c>
      <c r="G7" s="106" t="s">
        <v>37</v>
      </c>
      <c r="H7" s="106" t="s">
        <v>75</v>
      </c>
      <c r="I7" s="106" t="s">
        <v>25</v>
      </c>
      <c r="J7" s="106">
        <v>56.08</v>
      </c>
      <c r="K7" s="106">
        <v>0</v>
      </c>
      <c r="L7" s="106">
        <v>0</v>
      </c>
      <c r="M7" s="106">
        <v>0</v>
      </c>
      <c r="N7" s="106">
        <v>0</v>
      </c>
      <c r="O7" s="106">
        <v>0</v>
      </c>
      <c r="P7" s="106">
        <v>0</v>
      </c>
      <c r="Q7" s="106">
        <v>0</v>
      </c>
      <c r="R7" s="106">
        <v>0</v>
      </c>
      <c r="S7" s="106">
        <v>0</v>
      </c>
      <c r="T7" s="106">
        <v>0</v>
      </c>
      <c r="U7" s="106">
        <v>0</v>
      </c>
      <c r="V7" s="106">
        <v>0</v>
      </c>
      <c r="W7" s="106">
        <v>0</v>
      </c>
      <c r="X7" s="106">
        <v>29.1498833350987</v>
      </c>
      <c r="Y7" s="106">
        <v>0</v>
      </c>
      <c r="Z7" s="106">
        <v>0</v>
      </c>
      <c r="AA7" s="106">
        <v>27.0072056641275</v>
      </c>
      <c r="AB7" s="106">
        <v>-7.3776115192351999E-2</v>
      </c>
      <c r="AC7" s="106">
        <v>0</v>
      </c>
      <c r="AD7" s="106">
        <v>0</v>
      </c>
      <c r="AE7" s="106">
        <v>0</v>
      </c>
      <c r="AF7" s="106">
        <v>0</v>
      </c>
      <c r="AG7" s="106">
        <v>0</v>
      </c>
      <c r="AH7" s="106">
        <v>0</v>
      </c>
      <c r="AI7" s="106">
        <v>0</v>
      </c>
      <c r="AJ7" s="106">
        <v>0</v>
      </c>
      <c r="AK7" s="106">
        <v>0</v>
      </c>
      <c r="AL7" s="106">
        <v>0</v>
      </c>
      <c r="AM7" s="106">
        <v>0</v>
      </c>
      <c r="AN7" s="106">
        <v>0</v>
      </c>
      <c r="AO7" s="106">
        <v>0</v>
      </c>
      <c r="AP7" s="106">
        <v>0</v>
      </c>
      <c r="AQ7" s="107">
        <v>0</v>
      </c>
    </row>
    <row r="8" spans="2:43" ht="12" customHeight="1" x14ac:dyDescent="0.25">
      <c r="B8" s="105" t="s">
        <v>34</v>
      </c>
      <c r="C8" s="106" t="s">
        <v>74</v>
      </c>
      <c r="D8" s="106" t="s">
        <v>25</v>
      </c>
      <c r="E8" s="106" t="s">
        <v>25</v>
      </c>
      <c r="F8" s="106" t="s">
        <v>25</v>
      </c>
      <c r="G8" s="106" t="s">
        <v>36</v>
      </c>
      <c r="H8" s="106" t="s">
        <v>69</v>
      </c>
      <c r="I8" s="106" t="s">
        <v>25</v>
      </c>
      <c r="J8" s="106">
        <v>67.08</v>
      </c>
      <c r="K8" s="106">
        <v>256.69</v>
      </c>
      <c r="L8" s="106">
        <v>0</v>
      </c>
      <c r="M8" s="106">
        <v>0.68928913140797898</v>
      </c>
      <c r="N8" s="106">
        <v>0</v>
      </c>
      <c r="O8" s="106">
        <v>0</v>
      </c>
      <c r="P8" s="106">
        <v>0</v>
      </c>
      <c r="Q8" s="106">
        <v>34.0947636339871</v>
      </c>
      <c r="R8" s="106">
        <v>15.1853124812651</v>
      </c>
      <c r="S8" s="106">
        <v>0</v>
      </c>
      <c r="T8" s="106">
        <v>0</v>
      </c>
      <c r="U8" s="106">
        <v>0</v>
      </c>
      <c r="V8" s="106">
        <v>0</v>
      </c>
      <c r="W8" s="106">
        <v>0</v>
      </c>
      <c r="X8" s="106">
        <v>0</v>
      </c>
      <c r="Y8" s="106">
        <v>0</v>
      </c>
      <c r="Z8" s="106">
        <v>0</v>
      </c>
      <c r="AA8" s="106">
        <v>0</v>
      </c>
      <c r="AB8" s="106">
        <v>-8.2127914963144893E-2</v>
      </c>
      <c r="AC8" s="106">
        <v>0</v>
      </c>
      <c r="AD8" s="106">
        <v>17.197043216270799</v>
      </c>
      <c r="AE8" s="106">
        <v>0</v>
      </c>
      <c r="AF8" s="106">
        <v>0</v>
      </c>
      <c r="AG8" s="106">
        <v>0</v>
      </c>
      <c r="AH8" s="106">
        <v>0</v>
      </c>
      <c r="AI8" s="106">
        <v>0</v>
      </c>
      <c r="AJ8" s="106">
        <v>0</v>
      </c>
      <c r="AK8" s="106">
        <v>0</v>
      </c>
      <c r="AL8" s="106">
        <v>253.833273149044</v>
      </c>
      <c r="AM8" s="106">
        <v>0</v>
      </c>
      <c r="AN8" s="106">
        <v>0</v>
      </c>
      <c r="AO8" s="106">
        <v>0</v>
      </c>
      <c r="AP8" s="106">
        <v>2.8588916993126401</v>
      </c>
      <c r="AQ8" s="107">
        <v>0</v>
      </c>
    </row>
    <row r="9" spans="2:43" ht="12" customHeight="1" x14ac:dyDescent="0.25">
      <c r="B9" s="105" t="s">
        <v>34</v>
      </c>
      <c r="C9" s="106" t="s">
        <v>74</v>
      </c>
      <c r="D9" s="106" t="s">
        <v>25</v>
      </c>
      <c r="E9" s="106" t="s">
        <v>25</v>
      </c>
      <c r="F9" s="106" t="s">
        <v>25</v>
      </c>
      <c r="G9" s="106" t="s">
        <v>36</v>
      </c>
      <c r="H9" s="106" t="s">
        <v>75</v>
      </c>
      <c r="I9" s="106" t="s">
        <v>25</v>
      </c>
      <c r="J9" s="106">
        <v>177.81</v>
      </c>
      <c r="K9" s="106">
        <v>0</v>
      </c>
      <c r="L9" s="106">
        <v>0</v>
      </c>
      <c r="M9" s="106">
        <v>0</v>
      </c>
      <c r="N9" s="106">
        <v>0</v>
      </c>
      <c r="O9" s="106">
        <v>0</v>
      </c>
      <c r="P9" s="106">
        <v>0</v>
      </c>
      <c r="Q9" s="106">
        <v>0</v>
      </c>
      <c r="R9" s="106">
        <v>0</v>
      </c>
      <c r="S9" s="106">
        <v>0</v>
      </c>
      <c r="T9" s="106">
        <v>0</v>
      </c>
      <c r="U9" s="106">
        <v>0</v>
      </c>
      <c r="V9" s="106">
        <v>0</v>
      </c>
      <c r="W9" s="106">
        <v>0</v>
      </c>
      <c r="X9" s="106">
        <v>92.416708661309102</v>
      </c>
      <c r="Y9" s="106">
        <v>0</v>
      </c>
      <c r="Z9" s="106">
        <v>0</v>
      </c>
      <c r="AA9" s="106">
        <v>85.623483444201298</v>
      </c>
      <c r="AB9" s="106">
        <v>-0.233899461985141</v>
      </c>
      <c r="AC9" s="106">
        <v>0</v>
      </c>
      <c r="AD9" s="106">
        <v>0</v>
      </c>
      <c r="AE9" s="106">
        <v>0</v>
      </c>
      <c r="AF9" s="106">
        <v>0</v>
      </c>
      <c r="AG9" s="106">
        <v>0</v>
      </c>
      <c r="AH9" s="106">
        <v>0</v>
      </c>
      <c r="AI9" s="106">
        <v>0</v>
      </c>
      <c r="AJ9" s="106">
        <v>0</v>
      </c>
      <c r="AK9" s="106">
        <v>0</v>
      </c>
      <c r="AL9" s="106">
        <v>0</v>
      </c>
      <c r="AM9" s="106">
        <v>0</v>
      </c>
      <c r="AN9" s="106">
        <v>0</v>
      </c>
      <c r="AO9" s="106">
        <v>0</v>
      </c>
      <c r="AP9" s="106">
        <v>0</v>
      </c>
      <c r="AQ9" s="107">
        <v>0</v>
      </c>
    </row>
    <row r="10" spans="2:43" ht="12" customHeight="1" x14ac:dyDescent="0.25">
      <c r="B10" s="105" t="s">
        <v>34</v>
      </c>
      <c r="C10" s="106" t="s">
        <v>74</v>
      </c>
      <c r="D10" s="106" t="s">
        <v>25</v>
      </c>
      <c r="E10" s="106" t="s">
        <v>25</v>
      </c>
      <c r="F10" s="106" t="s">
        <v>25</v>
      </c>
      <c r="G10" s="106" t="s">
        <v>37</v>
      </c>
      <c r="H10" s="106" t="s">
        <v>69</v>
      </c>
      <c r="I10" s="106" t="s">
        <v>25</v>
      </c>
      <c r="J10" s="106">
        <v>67.08</v>
      </c>
      <c r="K10" s="106">
        <v>256.69</v>
      </c>
      <c r="L10" s="106">
        <v>0</v>
      </c>
      <c r="M10" s="106">
        <v>0.68928913140797898</v>
      </c>
      <c r="N10" s="106">
        <v>0</v>
      </c>
      <c r="O10" s="106">
        <v>0</v>
      </c>
      <c r="P10" s="106">
        <v>0</v>
      </c>
      <c r="Q10" s="106">
        <v>34.0947636339871</v>
      </c>
      <c r="R10" s="106">
        <v>15.1853124812651</v>
      </c>
      <c r="S10" s="106">
        <v>0</v>
      </c>
      <c r="T10" s="106">
        <v>0</v>
      </c>
      <c r="U10" s="106">
        <v>0</v>
      </c>
      <c r="V10" s="106">
        <v>0</v>
      </c>
      <c r="W10" s="106">
        <v>0</v>
      </c>
      <c r="X10" s="106">
        <v>0</v>
      </c>
      <c r="Y10" s="106">
        <v>0</v>
      </c>
      <c r="Z10" s="106">
        <v>0</v>
      </c>
      <c r="AA10" s="106">
        <v>0</v>
      </c>
      <c r="AB10" s="106">
        <v>-8.2127914963144893E-2</v>
      </c>
      <c r="AC10" s="106">
        <v>0</v>
      </c>
      <c r="AD10" s="106">
        <v>17.197043216270799</v>
      </c>
      <c r="AE10" s="106">
        <v>0</v>
      </c>
      <c r="AF10" s="106">
        <v>0</v>
      </c>
      <c r="AG10" s="106">
        <v>0</v>
      </c>
      <c r="AH10" s="106">
        <v>0</v>
      </c>
      <c r="AI10" s="106">
        <v>0</v>
      </c>
      <c r="AJ10" s="106">
        <v>0</v>
      </c>
      <c r="AK10" s="106">
        <v>0</v>
      </c>
      <c r="AL10" s="106">
        <v>253.833273149044</v>
      </c>
      <c r="AM10" s="106">
        <v>0</v>
      </c>
      <c r="AN10" s="106">
        <v>0</v>
      </c>
      <c r="AO10" s="106">
        <v>0</v>
      </c>
      <c r="AP10" s="106">
        <v>2.8588916993126401</v>
      </c>
      <c r="AQ10" s="107">
        <v>0</v>
      </c>
    </row>
    <row r="11" spans="2:43" ht="12" customHeight="1" x14ac:dyDescent="0.25">
      <c r="B11" s="105" t="s">
        <v>34</v>
      </c>
      <c r="C11" s="106" t="s">
        <v>74</v>
      </c>
      <c r="D11" s="106" t="s">
        <v>25</v>
      </c>
      <c r="E11" s="106" t="s">
        <v>25</v>
      </c>
      <c r="F11" s="106" t="s">
        <v>25</v>
      </c>
      <c r="G11" s="106" t="s">
        <v>37</v>
      </c>
      <c r="H11" s="106" t="s">
        <v>75</v>
      </c>
      <c r="I11" s="106" t="s">
        <v>25</v>
      </c>
      <c r="J11" s="106">
        <v>56.08</v>
      </c>
      <c r="K11" s="106">
        <v>0</v>
      </c>
      <c r="L11" s="106">
        <v>0</v>
      </c>
      <c r="M11" s="106">
        <v>0</v>
      </c>
      <c r="N11" s="106">
        <v>0</v>
      </c>
      <c r="O11" s="106">
        <v>0</v>
      </c>
      <c r="P11" s="106">
        <v>0</v>
      </c>
      <c r="Q11" s="106">
        <v>0</v>
      </c>
      <c r="R11" s="106">
        <v>0</v>
      </c>
      <c r="S11" s="106">
        <v>0</v>
      </c>
      <c r="T11" s="106">
        <v>0</v>
      </c>
      <c r="U11" s="106">
        <v>0</v>
      </c>
      <c r="V11" s="106">
        <v>0</v>
      </c>
      <c r="W11" s="106">
        <v>0</v>
      </c>
      <c r="X11" s="106">
        <v>29.1498833350987</v>
      </c>
      <c r="Y11" s="106">
        <v>0</v>
      </c>
      <c r="Z11" s="106">
        <v>0</v>
      </c>
      <c r="AA11" s="106">
        <v>27.0072056641275</v>
      </c>
      <c r="AB11" s="106">
        <v>-7.3776115192351999E-2</v>
      </c>
      <c r="AC11" s="106">
        <v>0</v>
      </c>
      <c r="AD11" s="106">
        <v>0</v>
      </c>
      <c r="AE11" s="106">
        <v>0</v>
      </c>
      <c r="AF11" s="106">
        <v>0</v>
      </c>
      <c r="AG11" s="106">
        <v>0</v>
      </c>
      <c r="AH11" s="106">
        <v>0</v>
      </c>
      <c r="AI11" s="106">
        <v>0</v>
      </c>
      <c r="AJ11" s="106">
        <v>0</v>
      </c>
      <c r="AK11" s="106">
        <v>0</v>
      </c>
      <c r="AL11" s="106">
        <v>0</v>
      </c>
      <c r="AM11" s="106">
        <v>0</v>
      </c>
      <c r="AN11" s="106">
        <v>0</v>
      </c>
      <c r="AO11" s="106">
        <v>0</v>
      </c>
      <c r="AP11" s="106">
        <v>0</v>
      </c>
      <c r="AQ11" s="107">
        <v>0</v>
      </c>
    </row>
    <row r="12" spans="2:43" ht="12" customHeight="1" x14ac:dyDescent="0.25">
      <c r="B12" s="105" t="s">
        <v>34</v>
      </c>
      <c r="C12" s="106" t="s">
        <v>23</v>
      </c>
      <c r="D12" s="106" t="s">
        <v>25</v>
      </c>
      <c r="E12" s="106" t="s">
        <v>25</v>
      </c>
      <c r="F12" s="106" t="s">
        <v>25</v>
      </c>
      <c r="G12" s="106" t="s">
        <v>25</v>
      </c>
      <c r="H12" s="106" t="s">
        <v>69</v>
      </c>
      <c r="I12" s="106" t="s">
        <v>25</v>
      </c>
      <c r="J12" s="106">
        <v>0</v>
      </c>
      <c r="K12" s="106">
        <v>256.69</v>
      </c>
      <c r="L12" s="106">
        <v>0</v>
      </c>
      <c r="M12" s="106">
        <v>0</v>
      </c>
      <c r="N12" s="106">
        <v>0</v>
      </c>
      <c r="O12" s="106">
        <v>0</v>
      </c>
      <c r="P12" s="106">
        <v>0</v>
      </c>
      <c r="Q12" s="106">
        <v>0</v>
      </c>
      <c r="R12" s="106">
        <v>0</v>
      </c>
      <c r="S12" s="106">
        <v>0</v>
      </c>
      <c r="T12" s="106">
        <v>0</v>
      </c>
      <c r="U12" s="106">
        <v>0</v>
      </c>
      <c r="V12" s="106">
        <v>0</v>
      </c>
      <c r="W12" s="106">
        <v>0</v>
      </c>
      <c r="X12" s="106">
        <v>0</v>
      </c>
      <c r="Y12" s="106">
        <v>0</v>
      </c>
      <c r="Z12" s="106">
        <v>0</v>
      </c>
      <c r="AA12" s="106">
        <v>0</v>
      </c>
      <c r="AB12" s="106">
        <v>0</v>
      </c>
      <c r="AC12" s="106">
        <v>0</v>
      </c>
      <c r="AD12" s="106">
        <v>0</v>
      </c>
      <c r="AE12" s="106">
        <v>0</v>
      </c>
      <c r="AF12" s="106">
        <v>0</v>
      </c>
      <c r="AG12" s="106">
        <v>0</v>
      </c>
      <c r="AH12" s="106">
        <v>0</v>
      </c>
      <c r="AI12" s="106">
        <v>0</v>
      </c>
      <c r="AJ12" s="106">
        <v>0</v>
      </c>
      <c r="AK12" s="106">
        <v>0</v>
      </c>
      <c r="AL12" s="106">
        <v>253.833273149044</v>
      </c>
      <c r="AM12" s="106">
        <v>0</v>
      </c>
      <c r="AN12" s="106">
        <v>0</v>
      </c>
      <c r="AO12" s="106">
        <v>0</v>
      </c>
      <c r="AP12" s="106">
        <v>2.8588916993126401</v>
      </c>
      <c r="AQ12" s="107">
        <v>0</v>
      </c>
    </row>
    <row r="13" spans="2:43" ht="12" customHeight="1" x14ac:dyDescent="0.25">
      <c r="B13" s="105" t="s">
        <v>34</v>
      </c>
      <c r="C13" s="106" t="s">
        <v>79</v>
      </c>
      <c r="D13" s="106" t="s">
        <v>25</v>
      </c>
      <c r="E13" s="106" t="s">
        <v>25</v>
      </c>
      <c r="F13" s="106" t="s">
        <v>25</v>
      </c>
      <c r="G13" s="106" t="s">
        <v>25</v>
      </c>
      <c r="H13" s="106" t="s">
        <v>75</v>
      </c>
      <c r="I13" s="106" t="s">
        <v>25</v>
      </c>
      <c r="J13" s="106">
        <v>10.41</v>
      </c>
      <c r="K13" s="106">
        <v>0</v>
      </c>
      <c r="L13" s="106">
        <v>0</v>
      </c>
      <c r="M13" s="106">
        <v>4.46516370144764E-2</v>
      </c>
      <c r="N13" s="106">
        <v>0</v>
      </c>
      <c r="O13" s="106">
        <v>0</v>
      </c>
      <c r="P13" s="106">
        <v>0</v>
      </c>
      <c r="Q13" s="106">
        <v>0</v>
      </c>
      <c r="R13" s="106">
        <v>0</v>
      </c>
      <c r="S13" s="106">
        <v>0</v>
      </c>
      <c r="T13" s="106">
        <v>0</v>
      </c>
      <c r="U13" s="106">
        <v>0</v>
      </c>
      <c r="V13" s="106">
        <v>0</v>
      </c>
      <c r="W13" s="106">
        <v>0</v>
      </c>
      <c r="X13" s="106">
        <v>0</v>
      </c>
      <c r="Y13" s="106">
        <v>0</v>
      </c>
      <c r="Z13" s="106">
        <v>0</v>
      </c>
      <c r="AA13" s="106">
        <v>10.377633379065299</v>
      </c>
      <c r="AB13" s="106">
        <v>-1.5448873768521099E-2</v>
      </c>
      <c r="AC13" s="106">
        <v>0</v>
      </c>
      <c r="AD13" s="106">
        <v>0</v>
      </c>
      <c r="AE13" s="106">
        <v>0</v>
      </c>
      <c r="AF13" s="106">
        <v>0</v>
      </c>
      <c r="AG13" s="106">
        <v>0</v>
      </c>
      <c r="AH13" s="106">
        <v>0</v>
      </c>
      <c r="AI13" s="106">
        <v>0</v>
      </c>
      <c r="AJ13" s="106">
        <v>0</v>
      </c>
      <c r="AK13" s="106">
        <v>0</v>
      </c>
      <c r="AL13" s="106">
        <v>0</v>
      </c>
      <c r="AM13" s="106">
        <v>0</v>
      </c>
      <c r="AN13" s="106">
        <v>0</v>
      </c>
      <c r="AO13" s="106">
        <v>0</v>
      </c>
      <c r="AP13" s="106">
        <v>0</v>
      </c>
      <c r="AQ13" s="107">
        <v>0</v>
      </c>
    </row>
    <row r="14" spans="2:43" ht="12" customHeight="1" x14ac:dyDescent="0.25">
      <c r="B14" s="105" t="s">
        <v>34</v>
      </c>
      <c r="C14" s="106" t="s">
        <v>35</v>
      </c>
      <c r="D14" s="106" t="s">
        <v>25</v>
      </c>
      <c r="E14" s="106" t="s">
        <v>25</v>
      </c>
      <c r="F14" s="106" t="s">
        <v>78</v>
      </c>
      <c r="G14" s="106" t="s">
        <v>36</v>
      </c>
      <c r="H14" s="106" t="s">
        <v>69</v>
      </c>
      <c r="I14" s="106" t="s">
        <v>25</v>
      </c>
      <c r="J14" s="106">
        <v>2949.62</v>
      </c>
      <c r="K14" s="106">
        <v>0</v>
      </c>
      <c r="L14" s="106">
        <v>0</v>
      </c>
      <c r="M14" s="106">
        <v>0.68928913140797898</v>
      </c>
      <c r="N14" s="106">
        <v>0</v>
      </c>
      <c r="O14" s="106">
        <v>0</v>
      </c>
      <c r="P14" s="106">
        <v>0</v>
      </c>
      <c r="Q14" s="106">
        <v>0</v>
      </c>
      <c r="R14" s="106">
        <v>0</v>
      </c>
      <c r="S14" s="106">
        <v>0</v>
      </c>
      <c r="T14" s="106">
        <v>0</v>
      </c>
      <c r="U14" s="106">
        <v>0</v>
      </c>
      <c r="V14" s="106">
        <v>0</v>
      </c>
      <c r="W14" s="106">
        <v>0</v>
      </c>
      <c r="X14" s="106">
        <v>876.57751355655103</v>
      </c>
      <c r="Y14" s="106">
        <v>0</v>
      </c>
      <c r="Z14" s="106">
        <v>0</v>
      </c>
      <c r="AA14" s="106">
        <v>2059.2493558046399</v>
      </c>
      <c r="AB14" s="106">
        <v>-4.0909042958750597</v>
      </c>
      <c r="AC14" s="106">
        <v>0</v>
      </c>
      <c r="AD14" s="106">
        <v>17.197043216270799</v>
      </c>
      <c r="AE14" s="106">
        <v>0</v>
      </c>
      <c r="AF14" s="106">
        <v>0</v>
      </c>
      <c r="AG14" s="106">
        <v>0</v>
      </c>
      <c r="AH14" s="106">
        <v>0</v>
      </c>
      <c r="AI14" s="106">
        <v>0</v>
      </c>
      <c r="AJ14" s="106">
        <v>0</v>
      </c>
      <c r="AK14" s="106">
        <v>0</v>
      </c>
      <c r="AL14" s="106">
        <v>0</v>
      </c>
      <c r="AM14" s="106">
        <v>0</v>
      </c>
      <c r="AN14" s="106">
        <v>0</v>
      </c>
      <c r="AO14" s="106">
        <v>0</v>
      </c>
      <c r="AP14" s="106">
        <v>0</v>
      </c>
      <c r="AQ14" s="107">
        <v>0</v>
      </c>
    </row>
    <row r="15" spans="2:43" ht="12" customHeight="1" x14ac:dyDescent="0.25">
      <c r="B15" s="105" t="s">
        <v>34</v>
      </c>
      <c r="C15" s="106" t="s">
        <v>35</v>
      </c>
      <c r="D15" s="106" t="s">
        <v>25</v>
      </c>
      <c r="E15" s="106" t="s">
        <v>25</v>
      </c>
      <c r="F15" s="106" t="s">
        <v>78</v>
      </c>
      <c r="G15" s="106" t="s">
        <v>25</v>
      </c>
      <c r="H15" s="106" t="s">
        <v>75</v>
      </c>
      <c r="I15" s="106" t="s">
        <v>25</v>
      </c>
      <c r="J15" s="106">
        <v>56.08</v>
      </c>
      <c r="K15" s="106">
        <v>0</v>
      </c>
      <c r="L15" s="106">
        <v>0</v>
      </c>
      <c r="M15" s="106">
        <v>0</v>
      </c>
      <c r="N15" s="106">
        <v>0</v>
      </c>
      <c r="O15" s="106">
        <v>0</v>
      </c>
      <c r="P15" s="106">
        <v>0</v>
      </c>
      <c r="Q15" s="106">
        <v>0</v>
      </c>
      <c r="R15" s="106">
        <v>0</v>
      </c>
      <c r="S15" s="106">
        <v>0</v>
      </c>
      <c r="T15" s="106">
        <v>0</v>
      </c>
      <c r="U15" s="106">
        <v>0</v>
      </c>
      <c r="V15" s="106">
        <v>0</v>
      </c>
      <c r="W15" s="106">
        <v>0</v>
      </c>
      <c r="X15" s="106">
        <v>29.1498833350987</v>
      </c>
      <c r="Y15" s="106">
        <v>0</v>
      </c>
      <c r="Z15" s="106">
        <v>0</v>
      </c>
      <c r="AA15" s="106">
        <v>27.0072056641275</v>
      </c>
      <c r="AB15" s="106">
        <v>-7.3776115192351999E-2</v>
      </c>
      <c r="AC15" s="106">
        <v>0</v>
      </c>
      <c r="AD15" s="106">
        <v>0</v>
      </c>
      <c r="AE15" s="106">
        <v>0</v>
      </c>
      <c r="AF15" s="106">
        <v>0</v>
      </c>
      <c r="AG15" s="106">
        <v>0</v>
      </c>
      <c r="AH15" s="106">
        <v>0</v>
      </c>
      <c r="AI15" s="106">
        <v>0</v>
      </c>
      <c r="AJ15" s="106">
        <v>0</v>
      </c>
      <c r="AK15" s="106">
        <v>0</v>
      </c>
      <c r="AL15" s="106">
        <v>0</v>
      </c>
      <c r="AM15" s="106">
        <v>0</v>
      </c>
      <c r="AN15" s="106">
        <v>0</v>
      </c>
      <c r="AO15" s="106">
        <v>0</v>
      </c>
      <c r="AP15" s="106">
        <v>0</v>
      </c>
      <c r="AQ15" s="107">
        <v>0</v>
      </c>
    </row>
    <row r="16" spans="2:43" ht="12" customHeight="1" x14ac:dyDescent="0.25">
      <c r="B16" s="105" t="s">
        <v>34</v>
      </c>
      <c r="C16" s="106" t="s">
        <v>35</v>
      </c>
      <c r="D16" s="106" t="s">
        <v>25</v>
      </c>
      <c r="E16" s="106" t="s">
        <v>25</v>
      </c>
      <c r="F16" s="106" t="s">
        <v>78</v>
      </c>
      <c r="G16" s="106" t="s">
        <v>37</v>
      </c>
      <c r="H16" s="106" t="s">
        <v>69</v>
      </c>
      <c r="I16" s="106" t="s">
        <v>25</v>
      </c>
      <c r="J16" s="106">
        <v>17.86</v>
      </c>
      <c r="K16" s="106">
        <v>0</v>
      </c>
      <c r="L16" s="106">
        <v>0</v>
      </c>
      <c r="M16" s="106">
        <v>0.68928913140797898</v>
      </c>
      <c r="N16" s="106">
        <v>0</v>
      </c>
      <c r="O16" s="106">
        <v>0</v>
      </c>
      <c r="P16" s="106">
        <v>0</v>
      </c>
      <c r="Q16" s="106">
        <v>0</v>
      </c>
      <c r="R16" s="106">
        <v>0</v>
      </c>
      <c r="S16" s="106">
        <v>0</v>
      </c>
      <c r="T16" s="106">
        <v>0</v>
      </c>
      <c r="U16" s="106">
        <v>0</v>
      </c>
      <c r="V16" s="106">
        <v>0</v>
      </c>
      <c r="W16" s="106">
        <v>0</v>
      </c>
      <c r="X16" s="106">
        <v>0</v>
      </c>
      <c r="Y16" s="106">
        <v>0</v>
      </c>
      <c r="Z16" s="106">
        <v>0</v>
      </c>
      <c r="AA16" s="106">
        <v>0</v>
      </c>
      <c r="AB16" s="106">
        <v>-2.2523640045526899E-2</v>
      </c>
      <c r="AC16" s="106">
        <v>0</v>
      </c>
      <c r="AD16" s="106">
        <v>17.197043216270799</v>
      </c>
      <c r="AE16" s="106">
        <v>0</v>
      </c>
      <c r="AF16" s="106">
        <v>0</v>
      </c>
      <c r="AG16" s="106">
        <v>0</v>
      </c>
      <c r="AH16" s="106">
        <v>0</v>
      </c>
      <c r="AI16" s="106">
        <v>0</v>
      </c>
      <c r="AJ16" s="106">
        <v>0</v>
      </c>
      <c r="AK16" s="106">
        <v>0</v>
      </c>
      <c r="AL16" s="106">
        <v>0</v>
      </c>
      <c r="AM16" s="106">
        <v>0</v>
      </c>
      <c r="AN16" s="106">
        <v>0</v>
      </c>
      <c r="AO16" s="106">
        <v>0</v>
      </c>
      <c r="AP16" s="106">
        <v>0</v>
      </c>
      <c r="AQ16" s="107">
        <v>0</v>
      </c>
    </row>
    <row r="17" spans="2:43" ht="12" customHeight="1" x14ac:dyDescent="0.25">
      <c r="B17" s="105" t="s">
        <v>34</v>
      </c>
      <c r="C17" s="106" t="s">
        <v>35</v>
      </c>
      <c r="D17" s="106" t="s">
        <v>25</v>
      </c>
      <c r="E17" s="106" t="s">
        <v>25</v>
      </c>
      <c r="F17" s="106" t="s">
        <v>25</v>
      </c>
      <c r="G17" s="106" t="s">
        <v>36</v>
      </c>
      <c r="H17" s="106" t="s">
        <v>69</v>
      </c>
      <c r="I17" s="106" t="s">
        <v>25</v>
      </c>
      <c r="J17" s="106">
        <v>2998.84</v>
      </c>
      <c r="K17" s="106">
        <v>256.69</v>
      </c>
      <c r="L17" s="106">
        <v>0</v>
      </c>
      <c r="M17" s="106">
        <v>0.68928913140797898</v>
      </c>
      <c r="N17" s="106">
        <v>0</v>
      </c>
      <c r="O17" s="106">
        <v>0</v>
      </c>
      <c r="P17" s="106">
        <v>0</v>
      </c>
      <c r="Q17" s="106">
        <v>34.0947636339871</v>
      </c>
      <c r="R17" s="106">
        <v>15.1853124812651</v>
      </c>
      <c r="S17" s="106">
        <v>0</v>
      </c>
      <c r="T17" s="106">
        <v>0</v>
      </c>
      <c r="U17" s="106">
        <v>0</v>
      </c>
      <c r="V17" s="106">
        <v>0</v>
      </c>
      <c r="W17" s="106">
        <v>0</v>
      </c>
      <c r="X17" s="106">
        <v>876.57751355655103</v>
      </c>
      <c r="Y17" s="106">
        <v>0</v>
      </c>
      <c r="Z17" s="106">
        <v>0</v>
      </c>
      <c r="AA17" s="106">
        <v>2059.2493558046399</v>
      </c>
      <c r="AB17" s="106">
        <v>-4.1505085707926703</v>
      </c>
      <c r="AC17" s="106">
        <v>0</v>
      </c>
      <c r="AD17" s="106">
        <v>17.197043216270799</v>
      </c>
      <c r="AE17" s="106">
        <v>0</v>
      </c>
      <c r="AF17" s="106">
        <v>0</v>
      </c>
      <c r="AG17" s="106">
        <v>0</v>
      </c>
      <c r="AH17" s="106">
        <v>0</v>
      </c>
      <c r="AI17" s="106">
        <v>0</v>
      </c>
      <c r="AJ17" s="106">
        <v>0</v>
      </c>
      <c r="AK17" s="106">
        <v>0</v>
      </c>
      <c r="AL17" s="106">
        <v>253.833273149044</v>
      </c>
      <c r="AM17" s="106">
        <v>0</v>
      </c>
      <c r="AN17" s="106">
        <v>0</v>
      </c>
      <c r="AO17" s="106">
        <v>0</v>
      </c>
      <c r="AP17" s="106">
        <v>2.8588916993126401</v>
      </c>
      <c r="AQ17" s="107">
        <v>0</v>
      </c>
    </row>
    <row r="18" spans="2:43" ht="12" customHeight="1" x14ac:dyDescent="0.25">
      <c r="B18" s="105" t="s">
        <v>34</v>
      </c>
      <c r="C18" s="106" t="s">
        <v>35</v>
      </c>
      <c r="D18" s="106" t="s">
        <v>25</v>
      </c>
      <c r="E18" s="106" t="s">
        <v>25</v>
      </c>
      <c r="F18" s="106" t="s">
        <v>25</v>
      </c>
      <c r="G18" s="106" t="s">
        <v>25</v>
      </c>
      <c r="H18" s="106" t="s">
        <v>75</v>
      </c>
      <c r="I18" s="106" t="s">
        <v>25</v>
      </c>
      <c r="J18" s="106">
        <v>56.08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29.1498833350987</v>
      </c>
      <c r="Y18" s="106">
        <v>0</v>
      </c>
      <c r="Z18" s="106">
        <v>0</v>
      </c>
      <c r="AA18" s="106">
        <v>27.0072056641275</v>
      </c>
      <c r="AB18" s="106">
        <v>-7.3776115192351999E-2</v>
      </c>
      <c r="AC18" s="106">
        <v>0</v>
      </c>
      <c r="AD18" s="106">
        <v>0</v>
      </c>
      <c r="AE18" s="106">
        <v>0</v>
      </c>
      <c r="AF18" s="106">
        <v>0</v>
      </c>
      <c r="AG18" s="106">
        <v>0</v>
      </c>
      <c r="AH18" s="106">
        <v>0</v>
      </c>
      <c r="AI18" s="106">
        <v>0</v>
      </c>
      <c r="AJ18" s="106">
        <v>0</v>
      </c>
      <c r="AK18" s="106">
        <v>0</v>
      </c>
      <c r="AL18" s="106">
        <v>0</v>
      </c>
      <c r="AM18" s="106">
        <v>0</v>
      </c>
      <c r="AN18" s="106">
        <v>0</v>
      </c>
      <c r="AO18" s="106">
        <v>0</v>
      </c>
      <c r="AP18" s="106">
        <v>0</v>
      </c>
      <c r="AQ18" s="107">
        <v>0</v>
      </c>
    </row>
    <row r="19" spans="2:43" ht="12" customHeight="1" x14ac:dyDescent="0.25">
      <c r="B19" s="105" t="s">
        <v>34</v>
      </c>
      <c r="C19" s="106" t="s">
        <v>35</v>
      </c>
      <c r="D19" s="106" t="s">
        <v>25</v>
      </c>
      <c r="E19" s="106" t="s">
        <v>25</v>
      </c>
      <c r="F19" s="106" t="s">
        <v>25</v>
      </c>
      <c r="G19" s="106" t="s">
        <v>37</v>
      </c>
      <c r="H19" s="106" t="s">
        <v>69</v>
      </c>
      <c r="I19" s="106" t="s">
        <v>25</v>
      </c>
      <c r="J19" s="106">
        <v>67.08</v>
      </c>
      <c r="K19" s="106">
        <v>256.69</v>
      </c>
      <c r="L19" s="106">
        <v>0</v>
      </c>
      <c r="M19" s="106">
        <v>0.68928913140797898</v>
      </c>
      <c r="N19" s="106">
        <v>0</v>
      </c>
      <c r="O19" s="106">
        <v>0</v>
      </c>
      <c r="P19" s="106">
        <v>0</v>
      </c>
      <c r="Q19" s="106">
        <v>34.0947636339871</v>
      </c>
      <c r="R19" s="106">
        <v>15.1853124812651</v>
      </c>
      <c r="S19" s="106">
        <v>0</v>
      </c>
      <c r="T19" s="106">
        <v>0</v>
      </c>
      <c r="U19" s="106">
        <v>0</v>
      </c>
      <c r="V19" s="106">
        <v>0</v>
      </c>
      <c r="W19" s="106">
        <v>0</v>
      </c>
      <c r="X19" s="106">
        <v>0</v>
      </c>
      <c r="Y19" s="106">
        <v>0</v>
      </c>
      <c r="Z19" s="106">
        <v>0</v>
      </c>
      <c r="AA19" s="106">
        <v>0</v>
      </c>
      <c r="AB19" s="106">
        <v>-8.2127914963144893E-2</v>
      </c>
      <c r="AC19" s="106">
        <v>0</v>
      </c>
      <c r="AD19" s="106">
        <v>17.197043216270799</v>
      </c>
      <c r="AE19" s="106">
        <v>0</v>
      </c>
      <c r="AF19" s="106">
        <v>0</v>
      </c>
      <c r="AG19" s="106">
        <v>0</v>
      </c>
      <c r="AH19" s="106">
        <v>0</v>
      </c>
      <c r="AI19" s="106">
        <v>0</v>
      </c>
      <c r="AJ19" s="106">
        <v>0</v>
      </c>
      <c r="AK19" s="106">
        <v>0</v>
      </c>
      <c r="AL19" s="106">
        <v>253.833273149044</v>
      </c>
      <c r="AM19" s="106">
        <v>0</v>
      </c>
      <c r="AN19" s="106">
        <v>0</v>
      </c>
      <c r="AO19" s="106">
        <v>0</v>
      </c>
      <c r="AP19" s="106">
        <v>2.8588916993126401</v>
      </c>
      <c r="AQ19" s="107">
        <v>0</v>
      </c>
    </row>
    <row r="20" spans="2:43" ht="12" customHeight="1" x14ac:dyDescent="0.25">
      <c r="B20" s="105" t="s">
        <v>80</v>
      </c>
      <c r="C20" s="106" t="s">
        <v>79</v>
      </c>
      <c r="D20" s="106" t="s">
        <v>25</v>
      </c>
      <c r="E20" s="106" t="s">
        <v>25</v>
      </c>
      <c r="F20" s="106" t="s">
        <v>81</v>
      </c>
      <c r="G20" s="106" t="s">
        <v>25</v>
      </c>
      <c r="H20" s="106" t="s">
        <v>75</v>
      </c>
      <c r="I20" s="106" t="s">
        <v>25</v>
      </c>
      <c r="J20" s="106">
        <v>5.0999999999999996</v>
      </c>
      <c r="K20" s="106">
        <v>0</v>
      </c>
      <c r="L20" s="106">
        <v>0</v>
      </c>
      <c r="M20" s="106">
        <v>2.1813758449732702E-2</v>
      </c>
      <c r="N20" s="106">
        <v>0</v>
      </c>
      <c r="O20" s="106">
        <v>0</v>
      </c>
      <c r="P20" s="106">
        <v>0</v>
      </c>
      <c r="Q20" s="106">
        <v>0</v>
      </c>
      <c r="R20" s="106">
        <v>0</v>
      </c>
      <c r="S20" s="106">
        <v>0</v>
      </c>
      <c r="T20" s="106">
        <v>0</v>
      </c>
      <c r="U20" s="106">
        <v>0</v>
      </c>
      <c r="V20" s="106">
        <v>0</v>
      </c>
      <c r="W20" s="106">
        <v>0</v>
      </c>
      <c r="X20" s="106">
        <v>0</v>
      </c>
      <c r="Y20" s="106">
        <v>0</v>
      </c>
      <c r="Z20" s="106">
        <v>0</v>
      </c>
      <c r="AA20" s="106">
        <v>5.0851224897615896</v>
      </c>
      <c r="AB20" s="106">
        <v>-7.5699881611508198E-3</v>
      </c>
      <c r="AC20" s="106">
        <v>0</v>
      </c>
      <c r="AD20" s="106">
        <v>0</v>
      </c>
      <c r="AE20" s="106">
        <v>0</v>
      </c>
      <c r="AF20" s="106">
        <v>0</v>
      </c>
      <c r="AG20" s="106">
        <v>0</v>
      </c>
      <c r="AH20" s="106">
        <v>0</v>
      </c>
      <c r="AI20" s="106">
        <v>0</v>
      </c>
      <c r="AJ20" s="106">
        <v>0</v>
      </c>
      <c r="AK20" s="106">
        <v>0</v>
      </c>
      <c r="AL20" s="106">
        <v>0</v>
      </c>
      <c r="AM20" s="106">
        <v>0</v>
      </c>
      <c r="AN20" s="106">
        <v>0</v>
      </c>
      <c r="AO20" s="106">
        <v>0</v>
      </c>
      <c r="AP20" s="106">
        <v>0</v>
      </c>
      <c r="AQ20" s="107">
        <v>0</v>
      </c>
    </row>
    <row r="21" spans="2:43" ht="12" customHeight="1" x14ac:dyDescent="0.25">
      <c r="B21" s="105" t="s">
        <v>80</v>
      </c>
      <c r="C21" s="106" t="s">
        <v>79</v>
      </c>
      <c r="D21" s="106" t="s">
        <v>25</v>
      </c>
      <c r="E21" s="106" t="s">
        <v>25</v>
      </c>
      <c r="F21" s="106" t="s">
        <v>82</v>
      </c>
      <c r="G21" s="106" t="s">
        <v>25</v>
      </c>
      <c r="H21" s="106" t="s">
        <v>75</v>
      </c>
      <c r="I21" s="106" t="s">
        <v>25</v>
      </c>
      <c r="J21" s="106">
        <v>15.35</v>
      </c>
      <c r="K21" s="106">
        <v>0</v>
      </c>
      <c r="L21" s="106">
        <v>0</v>
      </c>
      <c r="M21" s="106">
        <v>2.1813758449732702E-2</v>
      </c>
      <c r="N21" s="106">
        <v>0</v>
      </c>
      <c r="O21" s="106">
        <v>0</v>
      </c>
      <c r="P21" s="106">
        <v>0</v>
      </c>
      <c r="Q21" s="106">
        <v>0</v>
      </c>
      <c r="R21" s="106">
        <v>0</v>
      </c>
      <c r="S21" s="106">
        <v>0</v>
      </c>
      <c r="T21" s="106">
        <v>0</v>
      </c>
      <c r="U21" s="106">
        <v>0</v>
      </c>
      <c r="V21" s="106">
        <v>0</v>
      </c>
      <c r="W21" s="106">
        <v>0</v>
      </c>
      <c r="X21" s="106">
        <v>0</v>
      </c>
      <c r="Y21" s="106">
        <v>0</v>
      </c>
      <c r="Z21" s="106">
        <v>0</v>
      </c>
      <c r="AA21" s="106">
        <v>15.35598164332</v>
      </c>
      <c r="AB21" s="106">
        <v>-2.2804747473876199E-2</v>
      </c>
      <c r="AC21" s="106">
        <v>0</v>
      </c>
      <c r="AD21" s="106">
        <v>0</v>
      </c>
      <c r="AE21" s="106">
        <v>0</v>
      </c>
      <c r="AF21" s="106">
        <v>0</v>
      </c>
      <c r="AG21" s="106">
        <v>0</v>
      </c>
      <c r="AH21" s="106">
        <v>0</v>
      </c>
      <c r="AI21" s="106">
        <v>0</v>
      </c>
      <c r="AJ21" s="106">
        <v>0</v>
      </c>
      <c r="AK21" s="106">
        <v>0</v>
      </c>
      <c r="AL21" s="106">
        <v>0</v>
      </c>
      <c r="AM21" s="106">
        <v>0</v>
      </c>
      <c r="AN21" s="106">
        <v>0</v>
      </c>
      <c r="AO21" s="106">
        <v>0</v>
      </c>
      <c r="AP21" s="106">
        <v>0</v>
      </c>
      <c r="AQ21" s="107">
        <v>0</v>
      </c>
    </row>
    <row r="22" spans="2:43" ht="12" customHeight="1" x14ac:dyDescent="0.25">
      <c r="B22" s="105" t="s">
        <v>22</v>
      </c>
      <c r="C22" s="106" t="s">
        <v>39</v>
      </c>
      <c r="D22" s="106" t="s">
        <v>24</v>
      </c>
      <c r="E22" s="106" t="s">
        <v>24</v>
      </c>
      <c r="F22" s="106" t="s">
        <v>25</v>
      </c>
      <c r="G22" s="106" t="s">
        <v>36</v>
      </c>
      <c r="H22" s="106" t="s">
        <v>69</v>
      </c>
      <c r="I22" s="106" t="s">
        <v>25</v>
      </c>
      <c r="J22" s="106">
        <v>1783.47</v>
      </c>
      <c r="K22" s="106">
        <v>256.69</v>
      </c>
      <c r="L22" s="106">
        <v>0</v>
      </c>
      <c r="M22" s="106">
        <v>2.0733889524506899</v>
      </c>
      <c r="N22" s="106">
        <v>0</v>
      </c>
      <c r="O22" s="106">
        <v>0</v>
      </c>
      <c r="P22" s="106">
        <v>0</v>
      </c>
      <c r="Q22" s="106">
        <v>40.5890043261752</v>
      </c>
      <c r="R22" s="106">
        <v>15.1853124812651</v>
      </c>
      <c r="S22" s="106">
        <v>0</v>
      </c>
      <c r="T22" s="106">
        <v>0</v>
      </c>
      <c r="U22" s="106">
        <v>0</v>
      </c>
      <c r="V22" s="106">
        <v>0</v>
      </c>
      <c r="W22" s="106">
        <v>0</v>
      </c>
      <c r="X22" s="106">
        <v>427.72267076444302</v>
      </c>
      <c r="Y22" s="106">
        <v>0</v>
      </c>
      <c r="Z22" s="106">
        <v>0</v>
      </c>
      <c r="AA22" s="106">
        <v>1262.9297486630001</v>
      </c>
      <c r="AB22" s="106">
        <v>-2.4852607732988701</v>
      </c>
      <c r="AC22" s="106">
        <v>0</v>
      </c>
      <c r="AD22" s="106">
        <v>37.458314086654902</v>
      </c>
      <c r="AE22" s="106">
        <v>0</v>
      </c>
      <c r="AF22" s="106">
        <v>0</v>
      </c>
      <c r="AG22" s="106">
        <v>0</v>
      </c>
      <c r="AH22" s="106">
        <v>0</v>
      </c>
      <c r="AI22" s="106">
        <v>0</v>
      </c>
      <c r="AJ22" s="106">
        <v>0</v>
      </c>
      <c r="AK22" s="106">
        <v>0</v>
      </c>
      <c r="AL22" s="106">
        <v>253.833273149044</v>
      </c>
      <c r="AM22" s="106">
        <v>0</v>
      </c>
      <c r="AN22" s="106">
        <v>0</v>
      </c>
      <c r="AO22" s="106">
        <v>0</v>
      </c>
      <c r="AP22" s="106">
        <v>2.8588916993126401</v>
      </c>
      <c r="AQ22" s="107">
        <v>0</v>
      </c>
    </row>
    <row r="23" spans="2:43" ht="12" customHeight="1" x14ac:dyDescent="0.25">
      <c r="B23" s="105" t="s">
        <v>22</v>
      </c>
      <c r="C23" s="106" t="s">
        <v>39</v>
      </c>
      <c r="D23" s="106" t="s">
        <v>24</v>
      </c>
      <c r="E23" s="106" t="s">
        <v>24</v>
      </c>
      <c r="F23" s="106" t="s">
        <v>25</v>
      </c>
      <c r="G23" s="106" t="s">
        <v>40</v>
      </c>
      <c r="H23" s="106" t="s">
        <v>69</v>
      </c>
      <c r="I23" s="106" t="s">
        <v>25</v>
      </c>
      <c r="J23" s="106">
        <v>1108.1600000000001</v>
      </c>
      <c r="K23" s="106">
        <v>256.69</v>
      </c>
      <c r="L23" s="106">
        <v>0</v>
      </c>
      <c r="M23" s="106">
        <v>2.0733889524506899</v>
      </c>
      <c r="N23" s="106">
        <v>0</v>
      </c>
      <c r="O23" s="106">
        <v>0</v>
      </c>
      <c r="P23" s="106">
        <v>0</v>
      </c>
      <c r="Q23" s="106">
        <v>40.5890043261752</v>
      </c>
      <c r="R23" s="106">
        <v>15.1853124812651</v>
      </c>
      <c r="S23" s="106">
        <v>0</v>
      </c>
      <c r="T23" s="106">
        <v>0</v>
      </c>
      <c r="U23" s="106">
        <v>0</v>
      </c>
      <c r="V23" s="106">
        <v>0</v>
      </c>
      <c r="W23" s="106">
        <v>0</v>
      </c>
      <c r="X23" s="106">
        <v>256.63136389400802</v>
      </c>
      <c r="Y23" s="106">
        <v>0</v>
      </c>
      <c r="Z23" s="106">
        <v>0</v>
      </c>
      <c r="AA23" s="106">
        <v>757.757582262234</v>
      </c>
      <c r="AB23" s="106">
        <v>-1.5380456717747799</v>
      </c>
      <c r="AC23" s="106">
        <v>0</v>
      </c>
      <c r="AD23" s="106">
        <v>37.458314086654902</v>
      </c>
      <c r="AE23" s="106">
        <v>0</v>
      </c>
      <c r="AF23" s="106">
        <v>0</v>
      </c>
      <c r="AG23" s="106">
        <v>0</v>
      </c>
      <c r="AH23" s="106">
        <v>0</v>
      </c>
      <c r="AI23" s="106">
        <v>0</v>
      </c>
      <c r="AJ23" s="106">
        <v>0</v>
      </c>
      <c r="AK23" s="106">
        <v>0</v>
      </c>
      <c r="AL23" s="106">
        <v>253.833273149044</v>
      </c>
      <c r="AM23" s="106">
        <v>0</v>
      </c>
      <c r="AN23" s="106">
        <v>0</v>
      </c>
      <c r="AO23" s="106">
        <v>0</v>
      </c>
      <c r="AP23" s="106">
        <v>2.8588916993126401</v>
      </c>
      <c r="AQ23" s="107">
        <v>0</v>
      </c>
    </row>
    <row r="24" spans="2:43" ht="12" customHeight="1" x14ac:dyDescent="0.25">
      <c r="B24" s="105" t="s">
        <v>22</v>
      </c>
      <c r="C24" s="106" t="s">
        <v>39</v>
      </c>
      <c r="D24" s="106" t="s">
        <v>24</v>
      </c>
      <c r="E24" s="106" t="s">
        <v>24</v>
      </c>
      <c r="F24" s="106" t="s">
        <v>25</v>
      </c>
      <c r="G24" s="106" t="s">
        <v>37</v>
      </c>
      <c r="H24" s="106" t="s">
        <v>69</v>
      </c>
      <c r="I24" s="106" t="s">
        <v>25</v>
      </c>
      <c r="J24" s="106">
        <v>432.84</v>
      </c>
      <c r="K24" s="106">
        <v>256.69</v>
      </c>
      <c r="L24" s="106">
        <v>0</v>
      </c>
      <c r="M24" s="106">
        <v>2.0733889524506899</v>
      </c>
      <c r="N24" s="106">
        <v>0</v>
      </c>
      <c r="O24" s="106">
        <v>0</v>
      </c>
      <c r="P24" s="106">
        <v>0</v>
      </c>
      <c r="Q24" s="106">
        <v>40.5890043261752</v>
      </c>
      <c r="R24" s="106">
        <v>15.1853124812651</v>
      </c>
      <c r="S24" s="106">
        <v>0</v>
      </c>
      <c r="T24" s="106">
        <v>0</v>
      </c>
      <c r="U24" s="106">
        <v>0</v>
      </c>
      <c r="V24" s="106">
        <v>0</v>
      </c>
      <c r="W24" s="106">
        <v>0</v>
      </c>
      <c r="X24" s="106">
        <v>85.542976890518204</v>
      </c>
      <c r="Y24" s="106">
        <v>0</v>
      </c>
      <c r="Z24" s="106">
        <v>0</v>
      </c>
      <c r="AA24" s="106">
        <v>252.58592919909401</v>
      </c>
      <c r="AB24" s="106">
        <v>-0.59083470896123902</v>
      </c>
      <c r="AC24" s="106">
        <v>0</v>
      </c>
      <c r="AD24" s="106">
        <v>37.458314086654902</v>
      </c>
      <c r="AE24" s="106">
        <v>0</v>
      </c>
      <c r="AF24" s="106">
        <v>0</v>
      </c>
      <c r="AG24" s="106">
        <v>0</v>
      </c>
      <c r="AH24" s="106">
        <v>0</v>
      </c>
      <c r="AI24" s="106">
        <v>0</v>
      </c>
      <c r="AJ24" s="106">
        <v>0</v>
      </c>
      <c r="AK24" s="106">
        <v>0</v>
      </c>
      <c r="AL24" s="106">
        <v>253.833273149044</v>
      </c>
      <c r="AM24" s="106">
        <v>0</v>
      </c>
      <c r="AN24" s="106">
        <v>0</v>
      </c>
      <c r="AO24" s="106">
        <v>0</v>
      </c>
      <c r="AP24" s="106">
        <v>2.8588916993126401</v>
      </c>
      <c r="AQ24" s="107">
        <v>0</v>
      </c>
    </row>
    <row r="25" spans="2:43" ht="12" customHeight="1" x14ac:dyDescent="0.25">
      <c r="B25" s="105" t="s">
        <v>22</v>
      </c>
      <c r="C25" s="106" t="s">
        <v>23</v>
      </c>
      <c r="D25" s="106" t="s">
        <v>24</v>
      </c>
      <c r="E25" s="106" t="s">
        <v>1182</v>
      </c>
      <c r="F25" s="106" t="s">
        <v>25</v>
      </c>
      <c r="G25" s="106" t="s">
        <v>25</v>
      </c>
      <c r="H25" s="106" t="s">
        <v>69</v>
      </c>
      <c r="I25" s="106" t="s">
        <v>25</v>
      </c>
      <c r="J25" s="106">
        <v>602.24</v>
      </c>
      <c r="K25" s="106">
        <v>256.69</v>
      </c>
      <c r="L25" s="106">
        <v>0</v>
      </c>
      <c r="M25" s="106">
        <v>2.0733889524506899</v>
      </c>
      <c r="N25" s="106">
        <v>0</v>
      </c>
      <c r="O25" s="106">
        <v>0</v>
      </c>
      <c r="P25" s="106">
        <v>0</v>
      </c>
      <c r="Q25" s="106">
        <v>0</v>
      </c>
      <c r="R25" s="106">
        <v>0</v>
      </c>
      <c r="S25" s="106">
        <v>0</v>
      </c>
      <c r="T25" s="106">
        <v>0</v>
      </c>
      <c r="U25" s="106">
        <v>0</v>
      </c>
      <c r="V25" s="106">
        <v>0</v>
      </c>
      <c r="W25" s="106">
        <v>0</v>
      </c>
      <c r="X25" s="106">
        <v>142.573574728827</v>
      </c>
      <c r="Y25" s="106">
        <v>0</v>
      </c>
      <c r="Z25" s="106">
        <v>0</v>
      </c>
      <c r="AA25" s="106">
        <v>420.97637755261599</v>
      </c>
      <c r="AB25" s="106">
        <v>-0.83911698038377502</v>
      </c>
      <c r="AC25" s="106">
        <v>0</v>
      </c>
      <c r="AD25" s="106">
        <v>37.458314086654902</v>
      </c>
      <c r="AE25" s="106">
        <v>0</v>
      </c>
      <c r="AF25" s="106">
        <v>0</v>
      </c>
      <c r="AG25" s="106">
        <v>0</v>
      </c>
      <c r="AH25" s="106">
        <v>0</v>
      </c>
      <c r="AI25" s="106">
        <v>0</v>
      </c>
      <c r="AJ25" s="106">
        <v>0</v>
      </c>
      <c r="AK25" s="106">
        <v>0</v>
      </c>
      <c r="AL25" s="106">
        <v>253.833273149044</v>
      </c>
      <c r="AM25" s="106">
        <v>0</v>
      </c>
      <c r="AN25" s="106">
        <v>0</v>
      </c>
      <c r="AO25" s="106">
        <v>0</v>
      </c>
      <c r="AP25" s="106">
        <v>2.8588916993126401</v>
      </c>
      <c r="AQ25" s="107">
        <v>0</v>
      </c>
    </row>
    <row r="26" spans="2:43" ht="12" customHeight="1" x14ac:dyDescent="0.25">
      <c r="B26" s="105" t="s">
        <v>22</v>
      </c>
      <c r="C26" s="106" t="s">
        <v>23</v>
      </c>
      <c r="D26" s="106" t="s">
        <v>24</v>
      </c>
      <c r="E26" s="106" t="s">
        <v>24</v>
      </c>
      <c r="F26" s="106" t="s">
        <v>25</v>
      </c>
      <c r="G26" s="106" t="s">
        <v>25</v>
      </c>
      <c r="H26" s="106" t="s">
        <v>69</v>
      </c>
      <c r="I26" s="106" t="s">
        <v>25</v>
      </c>
      <c r="J26" s="106">
        <v>657.95</v>
      </c>
      <c r="K26" s="106">
        <v>256.69</v>
      </c>
      <c r="L26" s="106">
        <v>0</v>
      </c>
      <c r="M26" s="106">
        <v>2.0733889524506899</v>
      </c>
      <c r="N26" s="106">
        <v>0</v>
      </c>
      <c r="O26" s="106">
        <v>0</v>
      </c>
      <c r="P26" s="106">
        <v>0</v>
      </c>
      <c r="Q26" s="106">
        <v>40.5890043261752</v>
      </c>
      <c r="R26" s="106">
        <v>15.1853124812651</v>
      </c>
      <c r="S26" s="106">
        <v>0</v>
      </c>
      <c r="T26" s="106">
        <v>0</v>
      </c>
      <c r="U26" s="106">
        <v>0</v>
      </c>
      <c r="V26" s="106">
        <v>0</v>
      </c>
      <c r="W26" s="106">
        <v>0</v>
      </c>
      <c r="X26" s="106">
        <v>142.573574728827</v>
      </c>
      <c r="Y26" s="106">
        <v>0</v>
      </c>
      <c r="Z26" s="106">
        <v>0</v>
      </c>
      <c r="AA26" s="106">
        <v>420.97637755261599</v>
      </c>
      <c r="AB26" s="106">
        <v>-0.90657285766463802</v>
      </c>
      <c r="AC26" s="106">
        <v>0</v>
      </c>
      <c r="AD26" s="106">
        <v>37.458314086654902</v>
      </c>
      <c r="AE26" s="106">
        <v>0</v>
      </c>
      <c r="AF26" s="106">
        <v>0</v>
      </c>
      <c r="AG26" s="106">
        <v>0</v>
      </c>
      <c r="AH26" s="106">
        <v>0</v>
      </c>
      <c r="AI26" s="106">
        <v>0</v>
      </c>
      <c r="AJ26" s="106">
        <v>0</v>
      </c>
      <c r="AK26" s="106">
        <v>0</v>
      </c>
      <c r="AL26" s="106">
        <v>253.833273149044</v>
      </c>
      <c r="AM26" s="106">
        <v>0</v>
      </c>
      <c r="AN26" s="106">
        <v>0</v>
      </c>
      <c r="AO26" s="106">
        <v>0</v>
      </c>
      <c r="AP26" s="106">
        <v>2.8588916993126401</v>
      </c>
      <c r="AQ26" s="107">
        <v>0</v>
      </c>
    </row>
    <row r="27" spans="2:43" ht="12" customHeight="1" x14ac:dyDescent="0.25">
      <c r="B27" s="105" t="s">
        <v>22</v>
      </c>
      <c r="C27" s="106" t="s">
        <v>85</v>
      </c>
      <c r="D27" s="106" t="s">
        <v>24</v>
      </c>
      <c r="E27" s="106" t="s">
        <v>1182</v>
      </c>
      <c r="F27" s="106" t="s">
        <v>25</v>
      </c>
      <c r="G27" s="106" t="s">
        <v>25</v>
      </c>
      <c r="H27" s="106" t="s">
        <v>69</v>
      </c>
      <c r="I27" s="106" t="s">
        <v>25</v>
      </c>
      <c r="J27" s="106">
        <v>602.24</v>
      </c>
      <c r="K27" s="106">
        <v>256.69</v>
      </c>
      <c r="L27" s="106">
        <v>0</v>
      </c>
      <c r="M27" s="106">
        <v>2.0733889524506899</v>
      </c>
      <c r="N27" s="106">
        <v>0</v>
      </c>
      <c r="O27" s="106">
        <v>0</v>
      </c>
      <c r="P27" s="106">
        <v>0</v>
      </c>
      <c r="Q27" s="106">
        <v>0</v>
      </c>
      <c r="R27" s="106">
        <v>0</v>
      </c>
      <c r="S27" s="106">
        <v>0</v>
      </c>
      <c r="T27" s="106">
        <v>0</v>
      </c>
      <c r="U27" s="106">
        <v>0</v>
      </c>
      <c r="V27" s="106">
        <v>0</v>
      </c>
      <c r="W27" s="106">
        <v>0</v>
      </c>
      <c r="X27" s="106">
        <v>142.573574728827</v>
      </c>
      <c r="Y27" s="106">
        <v>0</v>
      </c>
      <c r="Z27" s="106">
        <v>0</v>
      </c>
      <c r="AA27" s="106">
        <v>420.97637755261599</v>
      </c>
      <c r="AB27" s="106">
        <v>-0.83911698038377502</v>
      </c>
      <c r="AC27" s="106">
        <v>0</v>
      </c>
      <c r="AD27" s="106">
        <v>37.458314086654902</v>
      </c>
      <c r="AE27" s="106">
        <v>0</v>
      </c>
      <c r="AF27" s="106">
        <v>0</v>
      </c>
      <c r="AG27" s="106">
        <v>0</v>
      </c>
      <c r="AH27" s="106">
        <v>0</v>
      </c>
      <c r="AI27" s="106">
        <v>0</v>
      </c>
      <c r="AJ27" s="106">
        <v>0</v>
      </c>
      <c r="AK27" s="106">
        <v>0</v>
      </c>
      <c r="AL27" s="106">
        <v>253.833273149044</v>
      </c>
      <c r="AM27" s="106">
        <v>0</v>
      </c>
      <c r="AN27" s="106">
        <v>0</v>
      </c>
      <c r="AO27" s="106">
        <v>0</v>
      </c>
      <c r="AP27" s="106">
        <v>2.8588916993126401</v>
      </c>
      <c r="AQ27" s="107">
        <v>0</v>
      </c>
    </row>
    <row r="28" spans="2:43" ht="12" customHeight="1" x14ac:dyDescent="0.25">
      <c r="B28" s="105" t="s">
        <v>22</v>
      </c>
      <c r="C28" s="106" t="s">
        <v>85</v>
      </c>
      <c r="D28" s="106" t="s">
        <v>24</v>
      </c>
      <c r="E28" s="106" t="s">
        <v>24</v>
      </c>
      <c r="F28" s="106" t="s">
        <v>25</v>
      </c>
      <c r="G28" s="106" t="s">
        <v>25</v>
      </c>
      <c r="H28" s="106" t="s">
        <v>69</v>
      </c>
      <c r="I28" s="106" t="s">
        <v>25</v>
      </c>
      <c r="J28" s="106">
        <v>657.95</v>
      </c>
      <c r="K28" s="106">
        <v>256.69</v>
      </c>
      <c r="L28" s="106">
        <v>0</v>
      </c>
      <c r="M28" s="106">
        <v>2.0733889524506899</v>
      </c>
      <c r="N28" s="106">
        <v>0</v>
      </c>
      <c r="O28" s="106">
        <v>0</v>
      </c>
      <c r="P28" s="106">
        <v>0</v>
      </c>
      <c r="Q28" s="106">
        <v>40.5890043261752</v>
      </c>
      <c r="R28" s="106">
        <v>15.1853124812651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142.573574728827</v>
      </c>
      <c r="Y28" s="106">
        <v>0</v>
      </c>
      <c r="Z28" s="106">
        <v>0</v>
      </c>
      <c r="AA28" s="106">
        <v>420.97637755261599</v>
      </c>
      <c r="AB28" s="106">
        <v>-0.90657285766463802</v>
      </c>
      <c r="AC28" s="106">
        <v>0</v>
      </c>
      <c r="AD28" s="106">
        <v>37.458314086654902</v>
      </c>
      <c r="AE28" s="106">
        <v>0</v>
      </c>
      <c r="AF28" s="106">
        <v>0</v>
      </c>
      <c r="AG28" s="106">
        <v>0</v>
      </c>
      <c r="AH28" s="106">
        <v>0</v>
      </c>
      <c r="AI28" s="106">
        <v>0</v>
      </c>
      <c r="AJ28" s="106">
        <v>0</v>
      </c>
      <c r="AK28" s="106">
        <v>0</v>
      </c>
      <c r="AL28" s="106">
        <v>253.833273149044</v>
      </c>
      <c r="AM28" s="106">
        <v>0</v>
      </c>
      <c r="AN28" s="106">
        <v>0</v>
      </c>
      <c r="AO28" s="106">
        <v>0</v>
      </c>
      <c r="AP28" s="106">
        <v>2.8588916993126401</v>
      </c>
      <c r="AQ28" s="107">
        <v>0</v>
      </c>
    </row>
    <row r="29" spans="2:43" ht="12" customHeight="1" x14ac:dyDescent="0.25">
      <c r="B29" s="105" t="s">
        <v>41</v>
      </c>
      <c r="C29" s="106" t="s">
        <v>39</v>
      </c>
      <c r="D29" s="106" t="s">
        <v>42</v>
      </c>
      <c r="E29" s="106" t="s">
        <v>86</v>
      </c>
      <c r="F29" s="106" t="s">
        <v>25</v>
      </c>
      <c r="G29" s="106" t="s">
        <v>36</v>
      </c>
      <c r="H29" s="106" t="s">
        <v>69</v>
      </c>
      <c r="I29" s="106" t="s">
        <v>25</v>
      </c>
      <c r="J29" s="106">
        <v>1500.05</v>
      </c>
      <c r="K29" s="106">
        <v>241.29</v>
      </c>
      <c r="L29" s="106">
        <v>0</v>
      </c>
      <c r="M29" s="106">
        <v>1.94898561530365</v>
      </c>
      <c r="N29" s="106">
        <v>0</v>
      </c>
      <c r="O29" s="106">
        <v>0</v>
      </c>
      <c r="P29" s="106">
        <v>0</v>
      </c>
      <c r="Q29" s="106">
        <v>38.153664066604598</v>
      </c>
      <c r="R29" s="106">
        <v>14.2741937323892</v>
      </c>
      <c r="S29" s="106">
        <v>0</v>
      </c>
      <c r="T29" s="106">
        <v>0</v>
      </c>
      <c r="U29" s="106">
        <v>0</v>
      </c>
      <c r="V29" s="106">
        <v>0</v>
      </c>
      <c r="W29" s="106">
        <v>0</v>
      </c>
      <c r="X29" s="106">
        <v>357.36422346315101</v>
      </c>
      <c r="Y29" s="106">
        <v>0</v>
      </c>
      <c r="Z29" s="106">
        <v>0</v>
      </c>
      <c r="AA29" s="106">
        <v>1055.18395114796</v>
      </c>
      <c r="AB29" s="106">
        <v>-2.0886973127769202</v>
      </c>
      <c r="AC29" s="106">
        <v>0</v>
      </c>
      <c r="AD29" s="106">
        <v>35.210815241455599</v>
      </c>
      <c r="AE29" s="106">
        <v>0</v>
      </c>
      <c r="AF29" s="106">
        <v>0</v>
      </c>
      <c r="AG29" s="106">
        <v>0</v>
      </c>
      <c r="AH29" s="106">
        <v>0</v>
      </c>
      <c r="AI29" s="106">
        <v>0</v>
      </c>
      <c r="AJ29" s="106">
        <v>0</v>
      </c>
      <c r="AK29" s="106">
        <v>0</v>
      </c>
      <c r="AL29" s="106">
        <v>238.60327676010101</v>
      </c>
      <c r="AM29" s="106">
        <v>0</v>
      </c>
      <c r="AN29" s="106">
        <v>0</v>
      </c>
      <c r="AO29" s="106">
        <v>0</v>
      </c>
      <c r="AP29" s="106">
        <v>2.68735819735388</v>
      </c>
      <c r="AQ29" s="107">
        <v>0</v>
      </c>
    </row>
    <row r="30" spans="2:43" ht="12" customHeight="1" x14ac:dyDescent="0.25">
      <c r="B30" s="105" t="s">
        <v>41</v>
      </c>
      <c r="C30" s="106" t="s">
        <v>39</v>
      </c>
      <c r="D30" s="106" t="s">
        <v>42</v>
      </c>
      <c r="E30" s="106" t="s">
        <v>86</v>
      </c>
      <c r="F30" s="106" t="s">
        <v>25</v>
      </c>
      <c r="G30" s="106" t="s">
        <v>40</v>
      </c>
      <c r="H30" s="106" t="s">
        <v>69</v>
      </c>
      <c r="I30" s="106" t="s">
        <v>25</v>
      </c>
      <c r="J30" s="106">
        <v>935.82</v>
      </c>
      <c r="K30" s="106">
        <v>241.29</v>
      </c>
      <c r="L30" s="106">
        <v>0</v>
      </c>
      <c r="M30" s="106">
        <v>1.94898561530365</v>
      </c>
      <c r="N30" s="106">
        <v>0</v>
      </c>
      <c r="O30" s="106">
        <v>0</v>
      </c>
      <c r="P30" s="106">
        <v>0</v>
      </c>
      <c r="Q30" s="106">
        <v>38.153664066604598</v>
      </c>
      <c r="R30" s="106">
        <v>14.2741937323892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214.41949471411499</v>
      </c>
      <c r="Y30" s="106">
        <v>0</v>
      </c>
      <c r="Z30" s="106">
        <v>0</v>
      </c>
      <c r="AA30" s="106">
        <v>633.11015837233197</v>
      </c>
      <c r="AB30" s="106">
        <v>-1.2972978452689301</v>
      </c>
      <c r="AC30" s="106">
        <v>0</v>
      </c>
      <c r="AD30" s="106">
        <v>35.210815241455599</v>
      </c>
      <c r="AE30" s="106">
        <v>0</v>
      </c>
      <c r="AF30" s="106">
        <v>0</v>
      </c>
      <c r="AG30" s="106">
        <v>0</v>
      </c>
      <c r="AH30" s="106">
        <v>0</v>
      </c>
      <c r="AI30" s="106">
        <v>0</v>
      </c>
      <c r="AJ30" s="106">
        <v>0</v>
      </c>
      <c r="AK30" s="106">
        <v>0</v>
      </c>
      <c r="AL30" s="106">
        <v>238.60327676010101</v>
      </c>
      <c r="AM30" s="106">
        <v>0</v>
      </c>
      <c r="AN30" s="106">
        <v>0</v>
      </c>
      <c r="AO30" s="106">
        <v>0</v>
      </c>
      <c r="AP30" s="106">
        <v>2.68735819735388</v>
      </c>
      <c r="AQ30" s="107">
        <v>0</v>
      </c>
    </row>
    <row r="31" spans="2:43" ht="12" customHeight="1" x14ac:dyDescent="0.25">
      <c r="B31" s="105" t="s">
        <v>41</v>
      </c>
      <c r="C31" s="106" t="s">
        <v>39</v>
      </c>
      <c r="D31" s="106" t="s">
        <v>42</v>
      </c>
      <c r="E31" s="106" t="s">
        <v>86</v>
      </c>
      <c r="F31" s="106" t="s">
        <v>25</v>
      </c>
      <c r="G31" s="106" t="s">
        <v>37</v>
      </c>
      <c r="H31" s="106" t="s">
        <v>69</v>
      </c>
      <c r="I31" s="106" t="s">
        <v>25</v>
      </c>
      <c r="J31" s="106">
        <v>371.59</v>
      </c>
      <c r="K31" s="106">
        <v>241.29</v>
      </c>
      <c r="L31" s="106">
        <v>0</v>
      </c>
      <c r="M31" s="106">
        <v>1.94898561530365</v>
      </c>
      <c r="N31" s="106">
        <v>0</v>
      </c>
      <c r="O31" s="106">
        <v>0</v>
      </c>
      <c r="P31" s="106">
        <v>0</v>
      </c>
      <c r="Q31" s="106">
        <v>38.153664066604598</v>
      </c>
      <c r="R31" s="106">
        <v>14.2741937323892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71.474880326535001</v>
      </c>
      <c r="Y31" s="106">
        <v>0</v>
      </c>
      <c r="Z31" s="106">
        <v>0</v>
      </c>
      <c r="AA31" s="106">
        <v>211.03694464154799</v>
      </c>
      <c r="AB31" s="106">
        <v>-0.50589936893450405</v>
      </c>
      <c r="AC31" s="106">
        <v>0</v>
      </c>
      <c r="AD31" s="106">
        <v>35.210815241455599</v>
      </c>
      <c r="AE31" s="106">
        <v>0</v>
      </c>
      <c r="AF31" s="106">
        <v>0</v>
      </c>
      <c r="AG31" s="106">
        <v>0</v>
      </c>
      <c r="AH31" s="106">
        <v>0</v>
      </c>
      <c r="AI31" s="106">
        <v>0</v>
      </c>
      <c r="AJ31" s="106">
        <v>0</v>
      </c>
      <c r="AK31" s="106">
        <v>0</v>
      </c>
      <c r="AL31" s="106">
        <v>238.60327676010101</v>
      </c>
      <c r="AM31" s="106">
        <v>0</v>
      </c>
      <c r="AN31" s="106">
        <v>0</v>
      </c>
      <c r="AO31" s="106">
        <v>0</v>
      </c>
      <c r="AP31" s="106">
        <v>2.68735819735388</v>
      </c>
      <c r="AQ31" s="107">
        <v>0</v>
      </c>
    </row>
    <row r="32" spans="2:43" ht="12" customHeight="1" x14ac:dyDescent="0.25">
      <c r="B32" s="105" t="s">
        <v>41</v>
      </c>
      <c r="C32" s="106" t="s">
        <v>39</v>
      </c>
      <c r="D32" s="106" t="s">
        <v>42</v>
      </c>
      <c r="E32" s="106" t="s">
        <v>25</v>
      </c>
      <c r="F32" s="106" t="s">
        <v>25</v>
      </c>
      <c r="G32" s="106" t="s">
        <v>36</v>
      </c>
      <c r="H32" s="106" t="s">
        <v>69</v>
      </c>
      <c r="I32" s="106" t="s">
        <v>25</v>
      </c>
      <c r="J32" s="106">
        <v>1500.05</v>
      </c>
      <c r="K32" s="106">
        <v>241.29</v>
      </c>
      <c r="L32" s="106">
        <v>0</v>
      </c>
      <c r="M32" s="106">
        <v>1.94898561530365</v>
      </c>
      <c r="N32" s="106">
        <v>0</v>
      </c>
      <c r="O32" s="106">
        <v>0</v>
      </c>
      <c r="P32" s="106">
        <v>0</v>
      </c>
      <c r="Q32" s="106">
        <v>38.153664066604598</v>
      </c>
      <c r="R32" s="106">
        <v>14.2741937323892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357.36422346315101</v>
      </c>
      <c r="Y32" s="106">
        <v>0</v>
      </c>
      <c r="Z32" s="106">
        <v>0</v>
      </c>
      <c r="AA32" s="106">
        <v>1055.18395114796</v>
      </c>
      <c r="AB32" s="106">
        <v>-2.0886973127769202</v>
      </c>
      <c r="AC32" s="106">
        <v>0</v>
      </c>
      <c r="AD32" s="106">
        <v>35.210815241455599</v>
      </c>
      <c r="AE32" s="106">
        <v>0</v>
      </c>
      <c r="AF32" s="106">
        <v>0</v>
      </c>
      <c r="AG32" s="106">
        <v>0</v>
      </c>
      <c r="AH32" s="106">
        <v>0</v>
      </c>
      <c r="AI32" s="106">
        <v>0</v>
      </c>
      <c r="AJ32" s="106">
        <v>0</v>
      </c>
      <c r="AK32" s="106">
        <v>0</v>
      </c>
      <c r="AL32" s="106">
        <v>238.60327676010101</v>
      </c>
      <c r="AM32" s="106">
        <v>0</v>
      </c>
      <c r="AN32" s="106">
        <v>0</v>
      </c>
      <c r="AO32" s="106">
        <v>0</v>
      </c>
      <c r="AP32" s="106">
        <v>2.68735819735388</v>
      </c>
      <c r="AQ32" s="107">
        <v>0</v>
      </c>
    </row>
    <row r="33" spans="2:43" ht="12" customHeight="1" x14ac:dyDescent="0.25">
      <c r="B33" s="105" t="s">
        <v>41</v>
      </c>
      <c r="C33" s="106" t="s">
        <v>39</v>
      </c>
      <c r="D33" s="106" t="s">
        <v>42</v>
      </c>
      <c r="E33" s="106" t="s">
        <v>25</v>
      </c>
      <c r="F33" s="106" t="s">
        <v>25</v>
      </c>
      <c r="G33" s="106" t="s">
        <v>40</v>
      </c>
      <c r="H33" s="106" t="s">
        <v>69</v>
      </c>
      <c r="I33" s="106" t="s">
        <v>25</v>
      </c>
      <c r="J33" s="106">
        <v>935.82</v>
      </c>
      <c r="K33" s="106">
        <v>241.29</v>
      </c>
      <c r="L33" s="106">
        <v>0</v>
      </c>
      <c r="M33" s="106">
        <v>1.94898561530365</v>
      </c>
      <c r="N33" s="106">
        <v>0</v>
      </c>
      <c r="O33" s="106">
        <v>0</v>
      </c>
      <c r="P33" s="106">
        <v>0</v>
      </c>
      <c r="Q33" s="106">
        <v>38.153664066604598</v>
      </c>
      <c r="R33" s="106">
        <v>14.2741937323892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214.41949471411499</v>
      </c>
      <c r="Y33" s="106">
        <v>0</v>
      </c>
      <c r="Z33" s="106">
        <v>0</v>
      </c>
      <c r="AA33" s="106">
        <v>633.11015837233197</v>
      </c>
      <c r="AB33" s="106">
        <v>-1.2972978452689301</v>
      </c>
      <c r="AC33" s="106">
        <v>0</v>
      </c>
      <c r="AD33" s="106">
        <v>35.210815241455599</v>
      </c>
      <c r="AE33" s="106">
        <v>0</v>
      </c>
      <c r="AF33" s="106">
        <v>0</v>
      </c>
      <c r="AG33" s="106">
        <v>0</v>
      </c>
      <c r="AH33" s="106">
        <v>0</v>
      </c>
      <c r="AI33" s="106">
        <v>0</v>
      </c>
      <c r="AJ33" s="106">
        <v>0</v>
      </c>
      <c r="AK33" s="106">
        <v>0</v>
      </c>
      <c r="AL33" s="106">
        <v>238.60327676010101</v>
      </c>
      <c r="AM33" s="106">
        <v>0</v>
      </c>
      <c r="AN33" s="106">
        <v>0</v>
      </c>
      <c r="AO33" s="106">
        <v>0</v>
      </c>
      <c r="AP33" s="106">
        <v>2.68735819735388</v>
      </c>
      <c r="AQ33" s="107">
        <v>0</v>
      </c>
    </row>
    <row r="34" spans="2:43" ht="12" customHeight="1" x14ac:dyDescent="0.25">
      <c r="B34" s="105" t="s">
        <v>41</v>
      </c>
      <c r="C34" s="106" t="s">
        <v>39</v>
      </c>
      <c r="D34" s="106" t="s">
        <v>42</v>
      </c>
      <c r="E34" s="106" t="s">
        <v>25</v>
      </c>
      <c r="F34" s="106" t="s">
        <v>25</v>
      </c>
      <c r="G34" s="106" t="s">
        <v>37</v>
      </c>
      <c r="H34" s="106" t="s">
        <v>69</v>
      </c>
      <c r="I34" s="106" t="s">
        <v>25</v>
      </c>
      <c r="J34" s="106">
        <v>371.59</v>
      </c>
      <c r="K34" s="106">
        <v>241.29</v>
      </c>
      <c r="L34" s="106">
        <v>0</v>
      </c>
      <c r="M34" s="106">
        <v>1.94898561530365</v>
      </c>
      <c r="N34" s="106">
        <v>0</v>
      </c>
      <c r="O34" s="106">
        <v>0</v>
      </c>
      <c r="P34" s="106">
        <v>0</v>
      </c>
      <c r="Q34" s="106">
        <v>38.153664066604598</v>
      </c>
      <c r="R34" s="106">
        <v>14.2741937323892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71.474880326535001</v>
      </c>
      <c r="Y34" s="106">
        <v>0</v>
      </c>
      <c r="Z34" s="106">
        <v>0</v>
      </c>
      <c r="AA34" s="106">
        <v>211.03694464154799</v>
      </c>
      <c r="AB34" s="106">
        <v>-0.50589936893450405</v>
      </c>
      <c r="AC34" s="106">
        <v>0</v>
      </c>
      <c r="AD34" s="106">
        <v>35.210815241455599</v>
      </c>
      <c r="AE34" s="106">
        <v>0</v>
      </c>
      <c r="AF34" s="106">
        <v>0</v>
      </c>
      <c r="AG34" s="106">
        <v>0</v>
      </c>
      <c r="AH34" s="106">
        <v>0</v>
      </c>
      <c r="AI34" s="106">
        <v>0</v>
      </c>
      <c r="AJ34" s="106">
        <v>0</v>
      </c>
      <c r="AK34" s="106">
        <v>0</v>
      </c>
      <c r="AL34" s="106">
        <v>238.60327676010101</v>
      </c>
      <c r="AM34" s="106">
        <v>0</v>
      </c>
      <c r="AN34" s="106">
        <v>0</v>
      </c>
      <c r="AO34" s="106">
        <v>0</v>
      </c>
      <c r="AP34" s="106">
        <v>2.68735819735388</v>
      </c>
      <c r="AQ34" s="107">
        <v>0</v>
      </c>
    </row>
    <row r="35" spans="2:43" ht="12" customHeight="1" x14ac:dyDescent="0.25">
      <c r="B35" s="105" t="s">
        <v>41</v>
      </c>
      <c r="C35" s="106" t="s">
        <v>39</v>
      </c>
      <c r="D35" s="106" t="s">
        <v>42</v>
      </c>
      <c r="E35" s="106" t="s">
        <v>87</v>
      </c>
      <c r="F35" s="106" t="s">
        <v>25</v>
      </c>
      <c r="G35" s="106" t="s">
        <v>36</v>
      </c>
      <c r="H35" s="106" t="s">
        <v>69</v>
      </c>
      <c r="I35" s="106" t="s">
        <v>25</v>
      </c>
      <c r="J35" s="106">
        <v>1468.13</v>
      </c>
      <c r="K35" s="106">
        <v>236.16</v>
      </c>
      <c r="L35" s="106">
        <v>0</v>
      </c>
      <c r="M35" s="106">
        <v>1.9075178362546401</v>
      </c>
      <c r="N35" s="106">
        <v>0</v>
      </c>
      <c r="O35" s="106">
        <v>0</v>
      </c>
      <c r="P35" s="106">
        <v>0</v>
      </c>
      <c r="Q35" s="106">
        <v>37.341883980081199</v>
      </c>
      <c r="R35" s="106">
        <v>13.9704874827639</v>
      </c>
      <c r="S35" s="106">
        <v>0</v>
      </c>
      <c r="T35" s="106">
        <v>0</v>
      </c>
      <c r="U35" s="106">
        <v>0</v>
      </c>
      <c r="V35" s="106">
        <v>0</v>
      </c>
      <c r="W35" s="106">
        <v>0</v>
      </c>
      <c r="X35" s="106">
        <v>349.76072934691399</v>
      </c>
      <c r="Y35" s="106">
        <v>0</v>
      </c>
      <c r="Z35" s="106">
        <v>0</v>
      </c>
      <c r="AA35" s="106">
        <v>1032.73322878311</v>
      </c>
      <c r="AB35" s="106">
        <v>-2.0442569444199599</v>
      </c>
      <c r="AC35" s="106">
        <v>0</v>
      </c>
      <c r="AD35" s="106">
        <v>34.461648959722503</v>
      </c>
      <c r="AE35" s="106">
        <v>0</v>
      </c>
      <c r="AF35" s="106">
        <v>0</v>
      </c>
      <c r="AG35" s="106">
        <v>0</v>
      </c>
      <c r="AH35" s="106">
        <v>0</v>
      </c>
      <c r="AI35" s="106">
        <v>0</v>
      </c>
      <c r="AJ35" s="106">
        <v>0</v>
      </c>
      <c r="AK35" s="106">
        <v>0</v>
      </c>
      <c r="AL35" s="106">
        <v>233.52661129712001</v>
      </c>
      <c r="AM35" s="106">
        <v>0</v>
      </c>
      <c r="AN35" s="106">
        <v>0</v>
      </c>
      <c r="AO35" s="106">
        <v>0</v>
      </c>
      <c r="AP35" s="106">
        <v>2.6301803633676299</v>
      </c>
      <c r="AQ35" s="107">
        <v>0</v>
      </c>
    </row>
    <row r="36" spans="2:43" ht="12" customHeight="1" x14ac:dyDescent="0.25">
      <c r="B36" s="105" t="s">
        <v>41</v>
      </c>
      <c r="C36" s="106" t="s">
        <v>39</v>
      </c>
      <c r="D36" s="106" t="s">
        <v>42</v>
      </c>
      <c r="E36" s="106" t="s">
        <v>87</v>
      </c>
      <c r="F36" s="106" t="s">
        <v>25</v>
      </c>
      <c r="G36" s="106" t="s">
        <v>40</v>
      </c>
      <c r="H36" s="106" t="s">
        <v>69</v>
      </c>
      <c r="I36" s="106" t="s">
        <v>25</v>
      </c>
      <c r="J36" s="106">
        <v>915.91</v>
      </c>
      <c r="K36" s="106">
        <v>236.16</v>
      </c>
      <c r="L36" s="106">
        <v>0</v>
      </c>
      <c r="M36" s="106">
        <v>1.9075178362546401</v>
      </c>
      <c r="N36" s="106">
        <v>0</v>
      </c>
      <c r="O36" s="106">
        <v>0</v>
      </c>
      <c r="P36" s="106">
        <v>0</v>
      </c>
      <c r="Q36" s="106">
        <v>37.341883980081199</v>
      </c>
      <c r="R36" s="106">
        <v>13.9704874827639</v>
      </c>
      <c r="S36" s="106">
        <v>0</v>
      </c>
      <c r="T36" s="106">
        <v>0</v>
      </c>
      <c r="U36" s="106">
        <v>0</v>
      </c>
      <c r="V36" s="106">
        <v>0</v>
      </c>
      <c r="W36" s="106">
        <v>0</v>
      </c>
      <c r="X36" s="106">
        <v>209.857377805304</v>
      </c>
      <c r="Y36" s="106">
        <v>0</v>
      </c>
      <c r="Z36" s="106">
        <v>0</v>
      </c>
      <c r="AA36" s="106">
        <v>619.63972947079401</v>
      </c>
      <c r="AB36" s="106">
        <v>-1.2696957634546999</v>
      </c>
      <c r="AC36" s="106">
        <v>0</v>
      </c>
      <c r="AD36" s="106">
        <v>34.461648959722503</v>
      </c>
      <c r="AE36" s="106">
        <v>0</v>
      </c>
      <c r="AF36" s="106">
        <v>0</v>
      </c>
      <c r="AG36" s="106">
        <v>0</v>
      </c>
      <c r="AH36" s="106">
        <v>0</v>
      </c>
      <c r="AI36" s="106">
        <v>0</v>
      </c>
      <c r="AJ36" s="106">
        <v>0</v>
      </c>
      <c r="AK36" s="106">
        <v>0</v>
      </c>
      <c r="AL36" s="106">
        <v>233.52661129712001</v>
      </c>
      <c r="AM36" s="106">
        <v>0</v>
      </c>
      <c r="AN36" s="106">
        <v>0</v>
      </c>
      <c r="AO36" s="106">
        <v>0</v>
      </c>
      <c r="AP36" s="106">
        <v>2.6301803633676299</v>
      </c>
      <c r="AQ36" s="107">
        <v>0</v>
      </c>
    </row>
    <row r="37" spans="2:43" ht="12" customHeight="1" x14ac:dyDescent="0.25">
      <c r="B37" s="105" t="s">
        <v>41</v>
      </c>
      <c r="C37" s="106" t="s">
        <v>39</v>
      </c>
      <c r="D37" s="106" t="s">
        <v>42</v>
      </c>
      <c r="E37" s="106" t="s">
        <v>87</v>
      </c>
      <c r="F37" s="106" t="s">
        <v>25</v>
      </c>
      <c r="G37" s="106" t="s">
        <v>37</v>
      </c>
      <c r="H37" s="106" t="s">
        <v>69</v>
      </c>
      <c r="I37" s="106" t="s">
        <v>25</v>
      </c>
      <c r="J37" s="106">
        <v>363.69</v>
      </c>
      <c r="K37" s="106">
        <v>236.16</v>
      </c>
      <c r="L37" s="106">
        <v>0</v>
      </c>
      <c r="M37" s="106">
        <v>1.9075178362546401</v>
      </c>
      <c r="N37" s="106">
        <v>0</v>
      </c>
      <c r="O37" s="106">
        <v>0</v>
      </c>
      <c r="P37" s="106">
        <v>0</v>
      </c>
      <c r="Q37" s="106">
        <v>37.341883980081199</v>
      </c>
      <c r="R37" s="106">
        <v>13.9704874827639</v>
      </c>
      <c r="S37" s="106">
        <v>0</v>
      </c>
      <c r="T37" s="106">
        <v>0</v>
      </c>
      <c r="U37" s="106">
        <v>0</v>
      </c>
      <c r="V37" s="106">
        <v>0</v>
      </c>
      <c r="W37" s="106">
        <v>0</v>
      </c>
      <c r="X37" s="106">
        <v>69.954138191927896</v>
      </c>
      <c r="Y37" s="106">
        <v>0</v>
      </c>
      <c r="Z37" s="106">
        <v>0</v>
      </c>
      <c r="AA37" s="106">
        <v>206.54679688321701</v>
      </c>
      <c r="AB37" s="106">
        <v>-0.495135552574195</v>
      </c>
      <c r="AC37" s="106">
        <v>0</v>
      </c>
      <c r="AD37" s="106">
        <v>34.461648959722503</v>
      </c>
      <c r="AE37" s="106">
        <v>0</v>
      </c>
      <c r="AF37" s="106">
        <v>0</v>
      </c>
      <c r="AG37" s="106">
        <v>0</v>
      </c>
      <c r="AH37" s="106">
        <v>0</v>
      </c>
      <c r="AI37" s="106">
        <v>0</v>
      </c>
      <c r="AJ37" s="106">
        <v>0</v>
      </c>
      <c r="AK37" s="106">
        <v>0</v>
      </c>
      <c r="AL37" s="106">
        <v>233.52661129712001</v>
      </c>
      <c r="AM37" s="106">
        <v>0</v>
      </c>
      <c r="AN37" s="106">
        <v>0</v>
      </c>
      <c r="AO37" s="106">
        <v>0</v>
      </c>
      <c r="AP37" s="106">
        <v>2.6301803633676299</v>
      </c>
      <c r="AQ37" s="107">
        <v>0</v>
      </c>
    </row>
    <row r="38" spans="2:43" ht="12" customHeight="1" x14ac:dyDescent="0.25">
      <c r="B38" s="105" t="s">
        <v>41</v>
      </c>
      <c r="C38" s="106" t="s">
        <v>23</v>
      </c>
      <c r="D38" s="106" t="s">
        <v>42</v>
      </c>
      <c r="E38" s="106" t="s">
        <v>86</v>
      </c>
      <c r="F38" s="106" t="s">
        <v>25</v>
      </c>
      <c r="G38" s="106" t="s">
        <v>25</v>
      </c>
      <c r="H38" s="106" t="s">
        <v>69</v>
      </c>
      <c r="I38" s="106" t="s">
        <v>25</v>
      </c>
      <c r="J38" s="106">
        <v>618.47</v>
      </c>
      <c r="K38" s="106">
        <v>241.29</v>
      </c>
      <c r="L38" s="106">
        <v>0</v>
      </c>
      <c r="M38" s="106">
        <v>1.94898561530365</v>
      </c>
      <c r="N38" s="106">
        <v>0</v>
      </c>
      <c r="O38" s="106">
        <v>0</v>
      </c>
      <c r="P38" s="106">
        <v>0</v>
      </c>
      <c r="Q38" s="106">
        <v>38.153664066604598</v>
      </c>
      <c r="R38" s="106">
        <v>14.2741937323892</v>
      </c>
      <c r="S38" s="106">
        <v>0</v>
      </c>
      <c r="T38" s="106">
        <v>0</v>
      </c>
      <c r="U38" s="106">
        <v>0</v>
      </c>
      <c r="V38" s="106">
        <v>0</v>
      </c>
      <c r="W38" s="106">
        <v>0</v>
      </c>
      <c r="X38" s="106">
        <v>134.019160245097</v>
      </c>
      <c r="Y38" s="106">
        <v>0</v>
      </c>
      <c r="Z38" s="106">
        <v>0</v>
      </c>
      <c r="AA38" s="106">
        <v>395.71779489945902</v>
      </c>
      <c r="AB38" s="106">
        <v>-0.852178486204759</v>
      </c>
      <c r="AC38" s="106">
        <v>0</v>
      </c>
      <c r="AD38" s="106">
        <v>35.210815241455599</v>
      </c>
      <c r="AE38" s="106">
        <v>0</v>
      </c>
      <c r="AF38" s="106">
        <v>0</v>
      </c>
      <c r="AG38" s="106">
        <v>0</v>
      </c>
      <c r="AH38" s="106">
        <v>0</v>
      </c>
      <c r="AI38" s="106">
        <v>0</v>
      </c>
      <c r="AJ38" s="106">
        <v>0</v>
      </c>
      <c r="AK38" s="106">
        <v>0</v>
      </c>
      <c r="AL38" s="106">
        <v>238.60327676010101</v>
      </c>
      <c r="AM38" s="106">
        <v>0</v>
      </c>
      <c r="AN38" s="106">
        <v>0</v>
      </c>
      <c r="AO38" s="106">
        <v>0</v>
      </c>
      <c r="AP38" s="106">
        <v>2.68735819735388</v>
      </c>
      <c r="AQ38" s="107">
        <v>0</v>
      </c>
    </row>
    <row r="39" spans="2:43" ht="12" customHeight="1" x14ac:dyDescent="0.25">
      <c r="B39" s="105" t="s">
        <v>41</v>
      </c>
      <c r="C39" s="106" t="s">
        <v>23</v>
      </c>
      <c r="D39" s="106" t="s">
        <v>42</v>
      </c>
      <c r="E39" s="106" t="s">
        <v>25</v>
      </c>
      <c r="F39" s="106" t="s">
        <v>25</v>
      </c>
      <c r="G39" s="106" t="s">
        <v>25</v>
      </c>
      <c r="H39" s="106" t="s">
        <v>69</v>
      </c>
      <c r="I39" s="106" t="s">
        <v>25</v>
      </c>
      <c r="J39" s="106">
        <v>618.47</v>
      </c>
      <c r="K39" s="106">
        <v>241.29</v>
      </c>
      <c r="L39" s="106">
        <v>0</v>
      </c>
      <c r="M39" s="106">
        <v>1.94898561530365</v>
      </c>
      <c r="N39" s="106">
        <v>0</v>
      </c>
      <c r="O39" s="106">
        <v>0</v>
      </c>
      <c r="P39" s="106">
        <v>0</v>
      </c>
      <c r="Q39" s="106">
        <v>38.153664066604598</v>
      </c>
      <c r="R39" s="106">
        <v>14.2741937323892</v>
      </c>
      <c r="S39" s="106">
        <v>0</v>
      </c>
      <c r="T39" s="106">
        <v>0</v>
      </c>
      <c r="U39" s="106">
        <v>0</v>
      </c>
      <c r="V39" s="106">
        <v>0</v>
      </c>
      <c r="W39" s="106">
        <v>0</v>
      </c>
      <c r="X39" s="106">
        <v>134.019160245097</v>
      </c>
      <c r="Y39" s="106">
        <v>0</v>
      </c>
      <c r="Z39" s="106">
        <v>0</v>
      </c>
      <c r="AA39" s="106">
        <v>395.71779489945902</v>
      </c>
      <c r="AB39" s="106">
        <v>-0.852178486204759</v>
      </c>
      <c r="AC39" s="106">
        <v>0</v>
      </c>
      <c r="AD39" s="106">
        <v>35.210815241455599</v>
      </c>
      <c r="AE39" s="106">
        <v>0</v>
      </c>
      <c r="AF39" s="106">
        <v>0</v>
      </c>
      <c r="AG39" s="106">
        <v>0</v>
      </c>
      <c r="AH39" s="106">
        <v>0</v>
      </c>
      <c r="AI39" s="106">
        <v>0</v>
      </c>
      <c r="AJ39" s="106">
        <v>0</v>
      </c>
      <c r="AK39" s="106">
        <v>0</v>
      </c>
      <c r="AL39" s="106">
        <v>238.60327676010101</v>
      </c>
      <c r="AM39" s="106">
        <v>0</v>
      </c>
      <c r="AN39" s="106">
        <v>0</v>
      </c>
      <c r="AO39" s="106">
        <v>0</v>
      </c>
      <c r="AP39" s="106">
        <v>2.68735819735388</v>
      </c>
      <c r="AQ39" s="107">
        <v>0</v>
      </c>
    </row>
    <row r="40" spans="2:43" ht="12" customHeight="1" x14ac:dyDescent="0.25">
      <c r="B40" s="105" t="s">
        <v>41</v>
      </c>
      <c r="C40" s="106" t="s">
        <v>23</v>
      </c>
      <c r="D40" s="106" t="s">
        <v>42</v>
      </c>
      <c r="E40" s="106" t="s">
        <v>87</v>
      </c>
      <c r="F40" s="106" t="s">
        <v>25</v>
      </c>
      <c r="G40" s="106" t="s">
        <v>25</v>
      </c>
      <c r="H40" s="106" t="s">
        <v>69</v>
      </c>
      <c r="I40" s="106" t="s">
        <v>25</v>
      </c>
      <c r="J40" s="106">
        <v>605.30999999999995</v>
      </c>
      <c r="K40" s="106">
        <v>236.16</v>
      </c>
      <c r="L40" s="106">
        <v>0</v>
      </c>
      <c r="M40" s="106">
        <v>1.9075178362546401</v>
      </c>
      <c r="N40" s="106">
        <v>0</v>
      </c>
      <c r="O40" s="106">
        <v>0</v>
      </c>
      <c r="P40" s="106">
        <v>0</v>
      </c>
      <c r="Q40" s="106">
        <v>37.341883980081199</v>
      </c>
      <c r="R40" s="106">
        <v>13.9704874827639</v>
      </c>
      <c r="S40" s="106">
        <v>0</v>
      </c>
      <c r="T40" s="106">
        <v>0</v>
      </c>
      <c r="U40" s="106">
        <v>0</v>
      </c>
      <c r="V40" s="106">
        <v>0</v>
      </c>
      <c r="W40" s="106">
        <v>0</v>
      </c>
      <c r="X40" s="106">
        <v>131.16768875052</v>
      </c>
      <c r="Y40" s="106">
        <v>0</v>
      </c>
      <c r="Z40" s="106">
        <v>0</v>
      </c>
      <c r="AA40" s="106">
        <v>387.29826734840702</v>
      </c>
      <c r="AB40" s="106">
        <v>-0.83404702905146699</v>
      </c>
      <c r="AC40" s="106">
        <v>0</v>
      </c>
      <c r="AD40" s="106">
        <v>34.461648959722503</v>
      </c>
      <c r="AE40" s="106">
        <v>0</v>
      </c>
      <c r="AF40" s="106">
        <v>0</v>
      </c>
      <c r="AG40" s="106">
        <v>0</v>
      </c>
      <c r="AH40" s="106">
        <v>0</v>
      </c>
      <c r="AI40" s="106">
        <v>0</v>
      </c>
      <c r="AJ40" s="106">
        <v>0</v>
      </c>
      <c r="AK40" s="106">
        <v>0</v>
      </c>
      <c r="AL40" s="106">
        <v>233.52661129712001</v>
      </c>
      <c r="AM40" s="106">
        <v>0</v>
      </c>
      <c r="AN40" s="106">
        <v>0</v>
      </c>
      <c r="AO40" s="106">
        <v>0</v>
      </c>
      <c r="AP40" s="106">
        <v>2.6301803633676299</v>
      </c>
      <c r="AQ40" s="107">
        <v>0</v>
      </c>
    </row>
    <row r="41" spans="2:43" ht="12" customHeight="1" x14ac:dyDescent="0.25">
      <c r="B41" s="105" t="s">
        <v>41</v>
      </c>
      <c r="C41" s="106" t="s">
        <v>85</v>
      </c>
      <c r="D41" s="106" t="s">
        <v>42</v>
      </c>
      <c r="E41" s="106" t="s">
        <v>86</v>
      </c>
      <c r="F41" s="106" t="s">
        <v>25</v>
      </c>
      <c r="G41" s="106" t="s">
        <v>25</v>
      </c>
      <c r="H41" s="106" t="s">
        <v>69</v>
      </c>
      <c r="I41" s="106" t="s">
        <v>25</v>
      </c>
      <c r="J41" s="106">
        <v>618.47</v>
      </c>
      <c r="K41" s="106">
        <v>241.29</v>
      </c>
      <c r="L41" s="106">
        <v>0</v>
      </c>
      <c r="M41" s="106">
        <v>1.94898561530365</v>
      </c>
      <c r="N41" s="106">
        <v>0</v>
      </c>
      <c r="O41" s="106">
        <v>0</v>
      </c>
      <c r="P41" s="106">
        <v>0</v>
      </c>
      <c r="Q41" s="106">
        <v>38.153664066604598</v>
      </c>
      <c r="R41" s="106">
        <v>14.2741937323892</v>
      </c>
      <c r="S41" s="106">
        <v>0</v>
      </c>
      <c r="T41" s="106">
        <v>0</v>
      </c>
      <c r="U41" s="106">
        <v>0</v>
      </c>
      <c r="V41" s="106">
        <v>0</v>
      </c>
      <c r="W41" s="106">
        <v>0</v>
      </c>
      <c r="X41" s="106">
        <v>134.019160245097</v>
      </c>
      <c r="Y41" s="106">
        <v>0</v>
      </c>
      <c r="Z41" s="106">
        <v>0</v>
      </c>
      <c r="AA41" s="106">
        <v>395.71779489945902</v>
      </c>
      <c r="AB41" s="106">
        <v>-0.852178486204759</v>
      </c>
      <c r="AC41" s="106">
        <v>0</v>
      </c>
      <c r="AD41" s="106">
        <v>35.210815241455599</v>
      </c>
      <c r="AE41" s="106">
        <v>0</v>
      </c>
      <c r="AF41" s="106">
        <v>0</v>
      </c>
      <c r="AG41" s="106">
        <v>0</v>
      </c>
      <c r="AH41" s="106">
        <v>0</v>
      </c>
      <c r="AI41" s="106">
        <v>0</v>
      </c>
      <c r="AJ41" s="106">
        <v>0</v>
      </c>
      <c r="AK41" s="106">
        <v>0</v>
      </c>
      <c r="AL41" s="106">
        <v>238.60327676010101</v>
      </c>
      <c r="AM41" s="106">
        <v>0</v>
      </c>
      <c r="AN41" s="106">
        <v>0</v>
      </c>
      <c r="AO41" s="106">
        <v>0</v>
      </c>
      <c r="AP41" s="106">
        <v>2.68735819735388</v>
      </c>
      <c r="AQ41" s="107">
        <v>0</v>
      </c>
    </row>
    <row r="42" spans="2:43" ht="12" customHeight="1" x14ac:dyDescent="0.25">
      <c r="B42" s="105" t="s">
        <v>41</v>
      </c>
      <c r="C42" s="106" t="s">
        <v>85</v>
      </c>
      <c r="D42" s="106" t="s">
        <v>42</v>
      </c>
      <c r="E42" s="106" t="s">
        <v>25</v>
      </c>
      <c r="F42" s="106" t="s">
        <v>25</v>
      </c>
      <c r="G42" s="106" t="s">
        <v>25</v>
      </c>
      <c r="H42" s="106" t="s">
        <v>69</v>
      </c>
      <c r="I42" s="106" t="s">
        <v>25</v>
      </c>
      <c r="J42" s="106">
        <v>618.47</v>
      </c>
      <c r="K42" s="106">
        <v>241.29</v>
      </c>
      <c r="L42" s="106">
        <v>0</v>
      </c>
      <c r="M42" s="106">
        <v>1.94898561530365</v>
      </c>
      <c r="N42" s="106">
        <v>0</v>
      </c>
      <c r="O42" s="106">
        <v>0</v>
      </c>
      <c r="P42" s="106">
        <v>0</v>
      </c>
      <c r="Q42" s="106">
        <v>38.153664066604598</v>
      </c>
      <c r="R42" s="106">
        <v>14.2741937323892</v>
      </c>
      <c r="S42" s="106">
        <v>0</v>
      </c>
      <c r="T42" s="106">
        <v>0</v>
      </c>
      <c r="U42" s="106">
        <v>0</v>
      </c>
      <c r="V42" s="106">
        <v>0</v>
      </c>
      <c r="W42" s="106">
        <v>0</v>
      </c>
      <c r="X42" s="106">
        <v>134.019160245097</v>
      </c>
      <c r="Y42" s="106">
        <v>0</v>
      </c>
      <c r="Z42" s="106">
        <v>0</v>
      </c>
      <c r="AA42" s="106">
        <v>395.71779489945902</v>
      </c>
      <c r="AB42" s="106">
        <v>-0.852178486204759</v>
      </c>
      <c r="AC42" s="106">
        <v>0</v>
      </c>
      <c r="AD42" s="106">
        <v>35.210815241455599</v>
      </c>
      <c r="AE42" s="106">
        <v>0</v>
      </c>
      <c r="AF42" s="106">
        <v>0</v>
      </c>
      <c r="AG42" s="106">
        <v>0</v>
      </c>
      <c r="AH42" s="106">
        <v>0</v>
      </c>
      <c r="AI42" s="106">
        <v>0</v>
      </c>
      <c r="AJ42" s="106">
        <v>0</v>
      </c>
      <c r="AK42" s="106">
        <v>0</v>
      </c>
      <c r="AL42" s="106">
        <v>238.60327676010101</v>
      </c>
      <c r="AM42" s="106">
        <v>0</v>
      </c>
      <c r="AN42" s="106">
        <v>0</v>
      </c>
      <c r="AO42" s="106">
        <v>0</v>
      </c>
      <c r="AP42" s="106">
        <v>2.68735819735388</v>
      </c>
      <c r="AQ42" s="107">
        <v>0</v>
      </c>
    </row>
    <row r="43" spans="2:43" ht="12" customHeight="1" x14ac:dyDescent="0.25">
      <c r="B43" s="105" t="s">
        <v>41</v>
      </c>
      <c r="C43" s="106" t="s">
        <v>85</v>
      </c>
      <c r="D43" s="106" t="s">
        <v>42</v>
      </c>
      <c r="E43" s="106" t="s">
        <v>87</v>
      </c>
      <c r="F43" s="106" t="s">
        <v>25</v>
      </c>
      <c r="G43" s="106" t="s">
        <v>25</v>
      </c>
      <c r="H43" s="106" t="s">
        <v>69</v>
      </c>
      <c r="I43" s="106" t="s">
        <v>25</v>
      </c>
      <c r="J43" s="106">
        <v>605.30999999999995</v>
      </c>
      <c r="K43" s="106">
        <v>236.16</v>
      </c>
      <c r="L43" s="106">
        <v>0</v>
      </c>
      <c r="M43" s="106">
        <v>1.9075178362546401</v>
      </c>
      <c r="N43" s="106">
        <v>0</v>
      </c>
      <c r="O43" s="106">
        <v>0</v>
      </c>
      <c r="P43" s="106">
        <v>0</v>
      </c>
      <c r="Q43" s="106">
        <v>37.341883980081199</v>
      </c>
      <c r="R43" s="106">
        <v>13.9704874827639</v>
      </c>
      <c r="S43" s="106">
        <v>0</v>
      </c>
      <c r="T43" s="106">
        <v>0</v>
      </c>
      <c r="U43" s="106">
        <v>0</v>
      </c>
      <c r="V43" s="106">
        <v>0</v>
      </c>
      <c r="W43" s="106">
        <v>0</v>
      </c>
      <c r="X43" s="106">
        <v>131.16768875052</v>
      </c>
      <c r="Y43" s="106">
        <v>0</v>
      </c>
      <c r="Z43" s="106">
        <v>0</v>
      </c>
      <c r="AA43" s="106">
        <v>387.29826734840702</v>
      </c>
      <c r="AB43" s="106">
        <v>-0.83404702905146699</v>
      </c>
      <c r="AC43" s="106">
        <v>0</v>
      </c>
      <c r="AD43" s="106">
        <v>34.461648959722503</v>
      </c>
      <c r="AE43" s="106">
        <v>0</v>
      </c>
      <c r="AF43" s="106">
        <v>0</v>
      </c>
      <c r="AG43" s="106">
        <v>0</v>
      </c>
      <c r="AH43" s="106">
        <v>0</v>
      </c>
      <c r="AI43" s="106">
        <v>0</v>
      </c>
      <c r="AJ43" s="106">
        <v>0</v>
      </c>
      <c r="AK43" s="106">
        <v>0</v>
      </c>
      <c r="AL43" s="106">
        <v>233.52661129712001</v>
      </c>
      <c r="AM43" s="106">
        <v>0</v>
      </c>
      <c r="AN43" s="106">
        <v>0</v>
      </c>
      <c r="AO43" s="106">
        <v>0</v>
      </c>
      <c r="AP43" s="106">
        <v>2.6301803633676299</v>
      </c>
      <c r="AQ43" s="107">
        <v>0</v>
      </c>
    </row>
    <row r="44" spans="2:43" ht="12" customHeight="1" x14ac:dyDescent="0.25">
      <c r="B44" s="105" t="s">
        <v>32</v>
      </c>
      <c r="C44" s="106" t="s">
        <v>39</v>
      </c>
      <c r="D44" s="106" t="s">
        <v>25</v>
      </c>
      <c r="E44" s="106" t="s">
        <v>25</v>
      </c>
      <c r="F44" s="106" t="s">
        <v>25</v>
      </c>
      <c r="G44" s="106" t="s">
        <v>36</v>
      </c>
      <c r="H44" s="106" t="s">
        <v>69</v>
      </c>
      <c r="I44" s="106" t="s">
        <v>25</v>
      </c>
      <c r="J44" s="106">
        <v>1924.16</v>
      </c>
      <c r="K44" s="106">
        <v>256.69</v>
      </c>
      <c r="L44" s="106">
        <v>0</v>
      </c>
      <c r="M44" s="106">
        <v>2.0733889524506899</v>
      </c>
      <c r="N44" s="106">
        <v>0</v>
      </c>
      <c r="O44" s="106">
        <v>0</v>
      </c>
      <c r="P44" s="106">
        <v>0</v>
      </c>
      <c r="Q44" s="106">
        <v>40.5890043261752</v>
      </c>
      <c r="R44" s="106">
        <v>15.1853124812651</v>
      </c>
      <c r="S44" s="106">
        <v>0</v>
      </c>
      <c r="T44" s="106">
        <v>0</v>
      </c>
      <c r="U44" s="106">
        <v>0</v>
      </c>
      <c r="V44" s="106">
        <v>0</v>
      </c>
      <c r="W44" s="106">
        <v>0</v>
      </c>
      <c r="X44" s="106">
        <v>463.36426994508997</v>
      </c>
      <c r="Y44" s="106">
        <v>0</v>
      </c>
      <c r="Z44" s="106">
        <v>0</v>
      </c>
      <c r="AA44" s="106">
        <v>1368.17381738427</v>
      </c>
      <c r="AB44" s="106">
        <v>-2.6825942534084501</v>
      </c>
      <c r="AC44" s="106">
        <v>0</v>
      </c>
      <c r="AD44" s="106">
        <v>37.458314086654902</v>
      </c>
      <c r="AE44" s="106">
        <v>0</v>
      </c>
      <c r="AF44" s="106">
        <v>0</v>
      </c>
      <c r="AG44" s="106">
        <v>0</v>
      </c>
      <c r="AH44" s="106">
        <v>0</v>
      </c>
      <c r="AI44" s="106">
        <v>0</v>
      </c>
      <c r="AJ44" s="106">
        <v>0</v>
      </c>
      <c r="AK44" s="106">
        <v>0</v>
      </c>
      <c r="AL44" s="106">
        <v>253.833273149044</v>
      </c>
      <c r="AM44" s="106">
        <v>0</v>
      </c>
      <c r="AN44" s="106">
        <v>0</v>
      </c>
      <c r="AO44" s="106">
        <v>0</v>
      </c>
      <c r="AP44" s="106">
        <v>2.8588916993126401</v>
      </c>
      <c r="AQ44" s="107">
        <v>0</v>
      </c>
    </row>
    <row r="45" spans="2:43" ht="12" customHeight="1" x14ac:dyDescent="0.25">
      <c r="B45" s="105" t="s">
        <v>32</v>
      </c>
      <c r="C45" s="106" t="s">
        <v>39</v>
      </c>
      <c r="D45" s="106" t="s">
        <v>25</v>
      </c>
      <c r="E45" s="106" t="s">
        <v>25</v>
      </c>
      <c r="F45" s="106" t="s">
        <v>25</v>
      </c>
      <c r="G45" s="106" t="s">
        <v>40</v>
      </c>
      <c r="H45" s="106" t="s">
        <v>69</v>
      </c>
      <c r="I45" s="106" t="s">
        <v>25</v>
      </c>
      <c r="J45" s="106">
        <v>1192.57</v>
      </c>
      <c r="K45" s="106">
        <v>256.69</v>
      </c>
      <c r="L45" s="106">
        <v>0</v>
      </c>
      <c r="M45" s="106">
        <v>2.0733889524506899</v>
      </c>
      <c r="N45" s="106">
        <v>0</v>
      </c>
      <c r="O45" s="106">
        <v>0</v>
      </c>
      <c r="P45" s="106">
        <v>0</v>
      </c>
      <c r="Q45" s="106">
        <v>40.5890043261752</v>
      </c>
      <c r="R45" s="106">
        <v>15.1853124812651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278.02072753503802</v>
      </c>
      <c r="Y45" s="106">
        <v>0</v>
      </c>
      <c r="Z45" s="106">
        <v>0</v>
      </c>
      <c r="AA45" s="106">
        <v>820.90416722953205</v>
      </c>
      <c r="AB45" s="106">
        <v>-1.6564510671015999</v>
      </c>
      <c r="AC45" s="106">
        <v>0</v>
      </c>
      <c r="AD45" s="106">
        <v>37.458314086654902</v>
      </c>
      <c r="AE45" s="106">
        <v>0</v>
      </c>
      <c r="AF45" s="106">
        <v>0</v>
      </c>
      <c r="AG45" s="106">
        <v>0</v>
      </c>
      <c r="AH45" s="106">
        <v>0</v>
      </c>
      <c r="AI45" s="106">
        <v>0</v>
      </c>
      <c r="AJ45" s="106">
        <v>0</v>
      </c>
      <c r="AK45" s="106">
        <v>0</v>
      </c>
      <c r="AL45" s="106">
        <v>253.833273149044</v>
      </c>
      <c r="AM45" s="106">
        <v>0</v>
      </c>
      <c r="AN45" s="106">
        <v>0</v>
      </c>
      <c r="AO45" s="106">
        <v>0</v>
      </c>
      <c r="AP45" s="106">
        <v>2.8588916993126401</v>
      </c>
      <c r="AQ45" s="107">
        <v>0</v>
      </c>
    </row>
    <row r="46" spans="2:43" ht="12" customHeight="1" x14ac:dyDescent="0.25">
      <c r="B46" s="105" t="s">
        <v>32</v>
      </c>
      <c r="C46" s="106" t="s">
        <v>39</v>
      </c>
      <c r="D46" s="106" t="s">
        <v>25</v>
      </c>
      <c r="E46" s="106" t="s">
        <v>25</v>
      </c>
      <c r="F46" s="106" t="s">
        <v>25</v>
      </c>
      <c r="G46" s="106" t="s">
        <v>37</v>
      </c>
      <c r="H46" s="106" t="s">
        <v>69</v>
      </c>
      <c r="I46" s="106" t="s">
        <v>25</v>
      </c>
      <c r="J46" s="106">
        <v>460.98</v>
      </c>
      <c r="K46" s="106">
        <v>256.69</v>
      </c>
      <c r="L46" s="106">
        <v>0</v>
      </c>
      <c r="M46" s="106">
        <v>2.0733889524506899</v>
      </c>
      <c r="N46" s="106">
        <v>0</v>
      </c>
      <c r="O46" s="106">
        <v>0</v>
      </c>
      <c r="P46" s="106">
        <v>0</v>
      </c>
      <c r="Q46" s="106">
        <v>40.5890043261752</v>
      </c>
      <c r="R46" s="106">
        <v>15.1853124812651</v>
      </c>
      <c r="S46" s="106">
        <v>0</v>
      </c>
      <c r="T46" s="106">
        <v>0</v>
      </c>
      <c r="U46" s="106">
        <v>0</v>
      </c>
      <c r="V46" s="106">
        <v>0</v>
      </c>
      <c r="W46" s="106">
        <v>0</v>
      </c>
      <c r="X46" s="106">
        <v>92.674265258041203</v>
      </c>
      <c r="Y46" s="106">
        <v>0</v>
      </c>
      <c r="Z46" s="106">
        <v>0</v>
      </c>
      <c r="AA46" s="106">
        <v>273.63492774489299</v>
      </c>
      <c r="AB46" s="106">
        <v>-0.63030511266429501</v>
      </c>
      <c r="AC46" s="106">
        <v>0</v>
      </c>
      <c r="AD46" s="106">
        <v>37.458314086654902</v>
      </c>
      <c r="AE46" s="106">
        <v>0</v>
      </c>
      <c r="AF46" s="106">
        <v>0</v>
      </c>
      <c r="AG46" s="106">
        <v>0</v>
      </c>
      <c r="AH46" s="106">
        <v>0</v>
      </c>
      <c r="AI46" s="106">
        <v>0</v>
      </c>
      <c r="AJ46" s="106">
        <v>0</v>
      </c>
      <c r="AK46" s="106">
        <v>0</v>
      </c>
      <c r="AL46" s="106">
        <v>253.833273149044</v>
      </c>
      <c r="AM46" s="106">
        <v>0</v>
      </c>
      <c r="AN46" s="106">
        <v>0</v>
      </c>
      <c r="AO46" s="106">
        <v>0</v>
      </c>
      <c r="AP46" s="106">
        <v>2.8588916993126401</v>
      </c>
      <c r="AQ46" s="107">
        <v>0</v>
      </c>
    </row>
    <row r="47" spans="2:43" ht="12" customHeight="1" x14ac:dyDescent="0.25">
      <c r="B47" s="105" t="s">
        <v>32</v>
      </c>
      <c r="C47" s="106" t="s">
        <v>23</v>
      </c>
      <c r="D47" s="106" t="s">
        <v>25</v>
      </c>
      <c r="E47" s="106" t="s">
        <v>25</v>
      </c>
      <c r="F47" s="106" t="s">
        <v>25</v>
      </c>
      <c r="G47" s="106" t="s">
        <v>25</v>
      </c>
      <c r="H47" s="106" t="s">
        <v>69</v>
      </c>
      <c r="I47" s="106" t="s">
        <v>25</v>
      </c>
      <c r="J47" s="106">
        <v>657.95</v>
      </c>
      <c r="K47" s="106">
        <v>256.69</v>
      </c>
      <c r="L47" s="106">
        <v>0</v>
      </c>
      <c r="M47" s="106">
        <v>2.0733889524506899</v>
      </c>
      <c r="N47" s="106">
        <v>0</v>
      </c>
      <c r="O47" s="106">
        <v>0</v>
      </c>
      <c r="P47" s="106">
        <v>0</v>
      </c>
      <c r="Q47" s="106">
        <v>40.5890043261752</v>
      </c>
      <c r="R47" s="106">
        <v>15.1853124812651</v>
      </c>
      <c r="S47" s="106">
        <v>0</v>
      </c>
      <c r="T47" s="106">
        <v>0</v>
      </c>
      <c r="U47" s="106">
        <v>0</v>
      </c>
      <c r="V47" s="106">
        <v>0</v>
      </c>
      <c r="W47" s="106">
        <v>0</v>
      </c>
      <c r="X47" s="106">
        <v>142.573574728827</v>
      </c>
      <c r="Y47" s="106">
        <v>0</v>
      </c>
      <c r="Z47" s="106">
        <v>0</v>
      </c>
      <c r="AA47" s="106">
        <v>420.97637755261599</v>
      </c>
      <c r="AB47" s="106">
        <v>-0.90657285766463802</v>
      </c>
      <c r="AC47" s="106">
        <v>0</v>
      </c>
      <c r="AD47" s="106">
        <v>37.458314086654902</v>
      </c>
      <c r="AE47" s="106">
        <v>0</v>
      </c>
      <c r="AF47" s="106">
        <v>0</v>
      </c>
      <c r="AG47" s="106">
        <v>0</v>
      </c>
      <c r="AH47" s="106">
        <v>0</v>
      </c>
      <c r="AI47" s="106">
        <v>0</v>
      </c>
      <c r="AJ47" s="106">
        <v>0</v>
      </c>
      <c r="AK47" s="106">
        <v>0</v>
      </c>
      <c r="AL47" s="106">
        <v>253.833273149044</v>
      </c>
      <c r="AM47" s="106">
        <v>0</v>
      </c>
      <c r="AN47" s="106">
        <v>0</v>
      </c>
      <c r="AO47" s="106">
        <v>0</v>
      </c>
      <c r="AP47" s="106">
        <v>2.8588916993126401</v>
      </c>
      <c r="AQ47" s="107">
        <v>0</v>
      </c>
    </row>
    <row r="48" spans="2:43" ht="12" customHeight="1" x14ac:dyDescent="0.25">
      <c r="B48" s="105" t="s">
        <v>32</v>
      </c>
      <c r="C48" s="106" t="s">
        <v>85</v>
      </c>
      <c r="D48" s="106" t="s">
        <v>25</v>
      </c>
      <c r="E48" s="106" t="s">
        <v>25</v>
      </c>
      <c r="F48" s="106" t="s">
        <v>25</v>
      </c>
      <c r="G48" s="106" t="s">
        <v>25</v>
      </c>
      <c r="H48" s="106" t="s">
        <v>69</v>
      </c>
      <c r="I48" s="106" t="s">
        <v>25</v>
      </c>
      <c r="J48" s="106">
        <v>657.95</v>
      </c>
      <c r="K48" s="106">
        <v>256.69</v>
      </c>
      <c r="L48" s="106">
        <v>0</v>
      </c>
      <c r="M48" s="106">
        <v>2.0733889524506899</v>
      </c>
      <c r="N48" s="106">
        <v>0</v>
      </c>
      <c r="O48" s="106">
        <v>0</v>
      </c>
      <c r="P48" s="106">
        <v>0</v>
      </c>
      <c r="Q48" s="106">
        <v>40.5890043261752</v>
      </c>
      <c r="R48" s="106">
        <v>15.1853124812651</v>
      </c>
      <c r="S48" s="106">
        <v>0</v>
      </c>
      <c r="T48" s="106">
        <v>0</v>
      </c>
      <c r="U48" s="106">
        <v>0</v>
      </c>
      <c r="V48" s="106">
        <v>0</v>
      </c>
      <c r="W48" s="106">
        <v>0</v>
      </c>
      <c r="X48" s="106">
        <v>142.573574728827</v>
      </c>
      <c r="Y48" s="106">
        <v>0</v>
      </c>
      <c r="Z48" s="106">
        <v>0</v>
      </c>
      <c r="AA48" s="106">
        <v>420.97637755261599</v>
      </c>
      <c r="AB48" s="106">
        <v>-0.90657285766463802</v>
      </c>
      <c r="AC48" s="106">
        <v>0</v>
      </c>
      <c r="AD48" s="106">
        <v>37.458314086654902</v>
      </c>
      <c r="AE48" s="106">
        <v>0</v>
      </c>
      <c r="AF48" s="106">
        <v>0</v>
      </c>
      <c r="AG48" s="106">
        <v>0</v>
      </c>
      <c r="AH48" s="106">
        <v>0</v>
      </c>
      <c r="AI48" s="106">
        <v>0</v>
      </c>
      <c r="AJ48" s="106">
        <v>0</v>
      </c>
      <c r="AK48" s="106">
        <v>0</v>
      </c>
      <c r="AL48" s="106">
        <v>253.833273149044</v>
      </c>
      <c r="AM48" s="106">
        <v>0</v>
      </c>
      <c r="AN48" s="106">
        <v>0</v>
      </c>
      <c r="AO48" s="106">
        <v>0</v>
      </c>
      <c r="AP48" s="106">
        <v>2.8588916993126401</v>
      </c>
      <c r="AQ48" s="107">
        <v>0</v>
      </c>
    </row>
    <row r="49" spans="2:43" ht="12" customHeight="1" x14ac:dyDescent="0.25">
      <c r="B49" s="105" t="s">
        <v>44</v>
      </c>
      <c r="C49" s="106" t="s">
        <v>23</v>
      </c>
      <c r="D49" s="106" t="s">
        <v>45</v>
      </c>
      <c r="E49" s="106" t="s">
        <v>46</v>
      </c>
      <c r="F49" s="106" t="s">
        <v>25</v>
      </c>
      <c r="G49" s="106" t="s">
        <v>25</v>
      </c>
      <c r="H49" s="106" t="s">
        <v>69</v>
      </c>
      <c r="I49" s="106" t="s">
        <v>25</v>
      </c>
      <c r="J49" s="106">
        <v>361.87</v>
      </c>
      <c r="K49" s="106">
        <v>141.18</v>
      </c>
      <c r="L49" s="106">
        <v>0</v>
      </c>
      <c r="M49" s="106">
        <v>1.14036392384788</v>
      </c>
      <c r="N49" s="106">
        <v>0</v>
      </c>
      <c r="O49" s="106">
        <v>0</v>
      </c>
      <c r="P49" s="106">
        <v>0</v>
      </c>
      <c r="Q49" s="106">
        <v>22.3239523793963</v>
      </c>
      <c r="R49" s="106">
        <v>8.3519218646958109</v>
      </c>
      <c r="S49" s="106">
        <v>0</v>
      </c>
      <c r="T49" s="106">
        <v>0</v>
      </c>
      <c r="U49" s="106">
        <v>0</v>
      </c>
      <c r="V49" s="106">
        <v>0</v>
      </c>
      <c r="W49" s="106">
        <v>0</v>
      </c>
      <c r="X49" s="106">
        <v>78.415466100854701</v>
      </c>
      <c r="Y49" s="106">
        <v>0</v>
      </c>
      <c r="Z49" s="106">
        <v>0</v>
      </c>
      <c r="AA49" s="106">
        <v>231.53700765393901</v>
      </c>
      <c r="AB49" s="106">
        <v>-0.49861507171555097</v>
      </c>
      <c r="AC49" s="106">
        <v>0</v>
      </c>
      <c r="AD49" s="106">
        <v>20.602072747660198</v>
      </c>
      <c r="AE49" s="106">
        <v>0</v>
      </c>
      <c r="AF49" s="106">
        <v>0</v>
      </c>
      <c r="AG49" s="106">
        <v>0</v>
      </c>
      <c r="AH49" s="106">
        <v>0</v>
      </c>
      <c r="AI49" s="106">
        <v>0</v>
      </c>
      <c r="AJ49" s="106">
        <v>0</v>
      </c>
      <c r="AK49" s="106">
        <v>0</v>
      </c>
      <c r="AL49" s="106">
        <v>139.608300231974</v>
      </c>
      <c r="AM49" s="106">
        <v>0</v>
      </c>
      <c r="AN49" s="106">
        <v>0</v>
      </c>
      <c r="AO49" s="106">
        <v>0</v>
      </c>
      <c r="AP49" s="106">
        <v>1.5723904346219499</v>
      </c>
      <c r="AQ49" s="107">
        <v>0</v>
      </c>
    </row>
    <row r="50" spans="2:43" ht="12" customHeight="1" x14ac:dyDescent="0.25">
      <c r="B50" s="108" t="s">
        <v>44</v>
      </c>
      <c r="C50" s="109" t="s">
        <v>23</v>
      </c>
      <c r="D50" s="109" t="s">
        <v>45</v>
      </c>
      <c r="E50" s="109" t="s">
        <v>88</v>
      </c>
      <c r="F50" s="109" t="s">
        <v>25</v>
      </c>
      <c r="G50" s="109" t="s">
        <v>25</v>
      </c>
      <c r="H50" s="109" t="s">
        <v>69</v>
      </c>
      <c r="I50" s="109" t="s">
        <v>25</v>
      </c>
      <c r="J50" s="109">
        <v>394.77</v>
      </c>
      <c r="K50" s="109">
        <v>154.02000000000001</v>
      </c>
      <c r="L50" s="109">
        <v>0</v>
      </c>
      <c r="M50" s="109">
        <v>1.2440333714704099</v>
      </c>
      <c r="N50" s="109">
        <v>0</v>
      </c>
      <c r="O50" s="109">
        <v>0</v>
      </c>
      <c r="P50" s="109">
        <v>0</v>
      </c>
      <c r="Q50" s="109">
        <v>24.353402595705099</v>
      </c>
      <c r="R50" s="109">
        <v>9.1111874887590698</v>
      </c>
      <c r="S50" s="109">
        <v>0</v>
      </c>
      <c r="T50" s="109">
        <v>0</v>
      </c>
      <c r="U50" s="109">
        <v>0</v>
      </c>
      <c r="V50" s="109">
        <v>0</v>
      </c>
      <c r="W50" s="109">
        <v>0</v>
      </c>
      <c r="X50" s="109">
        <v>85.544144837296002</v>
      </c>
      <c r="Y50" s="109">
        <v>0</v>
      </c>
      <c r="Z50" s="109">
        <v>0</v>
      </c>
      <c r="AA50" s="109">
        <v>252.58582653157001</v>
      </c>
      <c r="AB50" s="109">
        <v>-0.54394371459878299</v>
      </c>
      <c r="AC50" s="109">
        <v>0</v>
      </c>
      <c r="AD50" s="109">
        <v>22.4749884519929</v>
      </c>
      <c r="AE50" s="109">
        <v>0</v>
      </c>
      <c r="AF50" s="109">
        <v>0</v>
      </c>
      <c r="AG50" s="109">
        <v>0</v>
      </c>
      <c r="AH50" s="109">
        <v>0</v>
      </c>
      <c r="AI50" s="109">
        <v>0</v>
      </c>
      <c r="AJ50" s="109">
        <v>0</v>
      </c>
      <c r="AK50" s="109">
        <v>0</v>
      </c>
      <c r="AL50" s="109">
        <v>152.29996388942601</v>
      </c>
      <c r="AM50" s="109">
        <v>0</v>
      </c>
      <c r="AN50" s="109">
        <v>0</v>
      </c>
      <c r="AO50" s="109">
        <v>0</v>
      </c>
      <c r="AP50" s="109">
        <v>1.7153350195875801</v>
      </c>
      <c r="AQ50" s="110">
        <v>0</v>
      </c>
    </row>
  </sheetData>
  <mergeCells count="8">
    <mergeCell ref="L1:AG1"/>
    <mergeCell ref="AH1:AQ1"/>
    <mergeCell ref="L2:S2"/>
    <mergeCell ref="T2:Z2"/>
    <mergeCell ref="AB2:AC2"/>
    <mergeCell ref="AD2:AG2"/>
    <mergeCell ref="AH2:AK2"/>
    <mergeCell ref="AM2:AP2"/>
  </mergeCells>
  <phoneticPr fontId="9" type="noConversion"/>
  <pageMargins left="0.511811024" right="0.511811024" top="0.78740157499999996" bottom="0.78740157499999996" header="0.31496062000000002" footer="0.31496062000000002"/>
  <pageSetup paperSize="9" orientation="portrait" horizontalDpi="300" verticalDpi="0" r:id="rId1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6A4D7-317B-4258-9062-746D7239C840}">
  <dimension ref="B1:AQ50"/>
  <sheetViews>
    <sheetView showGridLines="0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14.42578125" bestFit="1" customWidth="1"/>
    <col min="30" max="30" width="12" bestFit="1" customWidth="1"/>
    <col min="31" max="31" width="17.7109375" bestFit="1" customWidth="1"/>
    <col min="32" max="32" width="12.5703125" bestFit="1" customWidth="1"/>
    <col min="33" max="33" width="10.7109375" bestFit="1" customWidth="1"/>
    <col min="34" max="34" width="16.5703125" bestFit="1" customWidth="1"/>
    <col min="35" max="35" width="9.85546875" bestFit="1" customWidth="1"/>
    <col min="36" max="36" width="12.5703125" bestFit="1" customWidth="1"/>
    <col min="37" max="37" width="12.28515625" bestFit="1" customWidth="1"/>
    <col min="38" max="38" width="14.140625" bestFit="1" customWidth="1"/>
    <col min="39" max="39" width="25.28515625" bestFit="1" customWidth="1"/>
    <col min="40" max="40" width="17.85546875" bestFit="1" customWidth="1"/>
    <col min="41" max="41" width="13.42578125" bestFit="1" customWidth="1"/>
    <col min="42" max="42" width="13.28515625" bestFit="1" customWidth="1"/>
    <col min="43" max="43" width="12.5703125" bestFit="1" customWidth="1"/>
  </cols>
  <sheetData>
    <row r="1" spans="2:43" ht="12" customHeight="1" x14ac:dyDescent="0.25">
      <c r="L1" s="147" t="s">
        <v>1184</v>
      </c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8"/>
      <c r="AH1" s="147" t="s">
        <v>1185</v>
      </c>
      <c r="AI1" s="147"/>
      <c r="AJ1" s="147"/>
      <c r="AK1" s="147"/>
      <c r="AL1" s="147"/>
      <c r="AM1" s="147"/>
      <c r="AN1" s="147"/>
      <c r="AO1" s="147"/>
      <c r="AP1" s="147"/>
      <c r="AQ1" s="147"/>
    </row>
    <row r="2" spans="2:43" ht="12" customHeight="1" x14ac:dyDescent="0.25">
      <c r="L2" s="149" t="s">
        <v>509</v>
      </c>
      <c r="M2" s="149"/>
      <c r="N2" s="149"/>
      <c r="O2" s="149"/>
      <c r="P2" s="149"/>
      <c r="Q2" s="149"/>
      <c r="R2" s="149"/>
      <c r="S2" s="150"/>
      <c r="T2" s="149" t="s">
        <v>518</v>
      </c>
      <c r="U2" s="149"/>
      <c r="V2" s="149"/>
      <c r="W2" s="149"/>
      <c r="X2" s="149"/>
      <c r="Y2" s="149"/>
      <c r="Z2" s="150"/>
      <c r="AA2" s="111" t="s">
        <v>526</v>
      </c>
      <c r="AB2" s="149" t="s">
        <v>25</v>
      </c>
      <c r="AC2" s="150"/>
      <c r="AD2" s="149" t="s">
        <v>1183</v>
      </c>
      <c r="AE2" s="149"/>
      <c r="AF2" s="149"/>
      <c r="AG2" s="150"/>
      <c r="AH2" s="149" t="s">
        <v>509</v>
      </c>
      <c r="AI2" s="149"/>
      <c r="AJ2" s="149"/>
      <c r="AK2" s="150"/>
      <c r="AL2" s="111" t="s">
        <v>539</v>
      </c>
      <c r="AM2" s="149" t="s">
        <v>518</v>
      </c>
      <c r="AN2" s="149"/>
      <c r="AO2" s="149"/>
      <c r="AP2" s="150"/>
      <c r="AQ2" s="112" t="s">
        <v>1183</v>
      </c>
    </row>
    <row r="3" spans="2:43" ht="12" customHeight="1" x14ac:dyDescent="0.25">
      <c r="B3" s="102" t="s">
        <v>59</v>
      </c>
      <c r="C3" s="103" t="s">
        <v>60</v>
      </c>
      <c r="D3" s="103" t="s">
        <v>61</v>
      </c>
      <c r="E3" s="103" t="s">
        <v>62</v>
      </c>
      <c r="F3" s="103" t="s">
        <v>63</v>
      </c>
      <c r="G3" s="103" t="s">
        <v>65</v>
      </c>
      <c r="H3" s="103" t="s">
        <v>66</v>
      </c>
      <c r="I3" s="103" t="s">
        <v>783</v>
      </c>
      <c r="J3" s="103" t="s">
        <v>1148</v>
      </c>
      <c r="K3" s="103" t="s">
        <v>1149</v>
      </c>
      <c r="L3" s="103" t="s">
        <v>1150</v>
      </c>
      <c r="M3" s="103" t="s">
        <v>1151</v>
      </c>
      <c r="N3" s="103" t="s">
        <v>1152</v>
      </c>
      <c r="O3" s="103" t="s">
        <v>1153</v>
      </c>
      <c r="P3" s="103" t="s">
        <v>1154</v>
      </c>
      <c r="Q3" s="103" t="s">
        <v>1155</v>
      </c>
      <c r="R3" s="103" t="s">
        <v>1156</v>
      </c>
      <c r="S3" s="103" t="s">
        <v>1157</v>
      </c>
      <c r="T3" s="103" t="s">
        <v>1158</v>
      </c>
      <c r="U3" s="103" t="s">
        <v>1159</v>
      </c>
      <c r="V3" s="103" t="s">
        <v>1160</v>
      </c>
      <c r="W3" s="103" t="s">
        <v>1161</v>
      </c>
      <c r="X3" s="103" t="s">
        <v>1162</v>
      </c>
      <c r="Y3" s="103" t="s">
        <v>1163</v>
      </c>
      <c r="Z3" s="103" t="s">
        <v>1164</v>
      </c>
      <c r="AA3" s="103" t="s">
        <v>1165</v>
      </c>
      <c r="AB3" s="103" t="s">
        <v>1166</v>
      </c>
      <c r="AC3" s="103" t="s">
        <v>1167</v>
      </c>
      <c r="AD3" s="103" t="s">
        <v>1168</v>
      </c>
      <c r="AE3" s="103" t="s">
        <v>1169</v>
      </c>
      <c r="AF3" s="103" t="s">
        <v>1170</v>
      </c>
      <c r="AG3" s="103" t="s">
        <v>1171</v>
      </c>
      <c r="AH3" s="103" t="s">
        <v>1172</v>
      </c>
      <c r="AI3" s="103" t="s">
        <v>1173</v>
      </c>
      <c r="AJ3" s="103" t="s">
        <v>1174</v>
      </c>
      <c r="AK3" s="103" t="s">
        <v>1175</v>
      </c>
      <c r="AL3" s="103" t="s">
        <v>1176</v>
      </c>
      <c r="AM3" s="103" t="s">
        <v>1177</v>
      </c>
      <c r="AN3" s="103" t="s">
        <v>1178</v>
      </c>
      <c r="AO3" s="103" t="s">
        <v>1179</v>
      </c>
      <c r="AP3" s="103" t="s">
        <v>1180</v>
      </c>
      <c r="AQ3" s="104" t="s">
        <v>1181</v>
      </c>
    </row>
    <row r="4" spans="2:43" ht="12" customHeight="1" x14ac:dyDescent="0.25">
      <c r="B4" s="105" t="s">
        <v>34</v>
      </c>
      <c r="C4" s="106" t="s">
        <v>74</v>
      </c>
      <c r="D4" s="106" t="s">
        <v>25</v>
      </c>
      <c r="E4" s="106" t="s">
        <v>25</v>
      </c>
      <c r="F4" s="106" t="s">
        <v>78</v>
      </c>
      <c r="G4" s="106" t="s">
        <v>36</v>
      </c>
      <c r="H4" s="106" t="s">
        <v>69</v>
      </c>
      <c r="I4" s="106" t="s">
        <v>25</v>
      </c>
      <c r="J4" s="106">
        <v>18.78</v>
      </c>
      <c r="K4" s="106">
        <v>0</v>
      </c>
      <c r="L4" s="106">
        <v>0</v>
      </c>
      <c r="M4" s="106">
        <v>0.71757007038507403</v>
      </c>
      <c r="N4" s="106">
        <v>0</v>
      </c>
      <c r="O4" s="106">
        <v>0</v>
      </c>
      <c r="P4" s="106">
        <v>0</v>
      </c>
      <c r="Q4" s="106">
        <v>0</v>
      </c>
      <c r="R4" s="106">
        <v>0</v>
      </c>
      <c r="S4" s="106">
        <v>0</v>
      </c>
      <c r="T4" s="106">
        <v>0</v>
      </c>
      <c r="U4" s="106">
        <v>0</v>
      </c>
      <c r="V4" s="106">
        <v>0</v>
      </c>
      <c r="W4" s="106">
        <v>0</v>
      </c>
      <c r="X4" s="106">
        <v>0</v>
      </c>
      <c r="Y4" s="106">
        <v>0</v>
      </c>
      <c r="Z4" s="106">
        <v>0</v>
      </c>
      <c r="AA4" s="106">
        <v>0</v>
      </c>
      <c r="AB4" s="106">
        <v>0</v>
      </c>
      <c r="AC4" s="106">
        <v>0</v>
      </c>
      <c r="AD4" s="106">
        <v>18.066972965692599</v>
      </c>
      <c r="AE4" s="106">
        <v>0</v>
      </c>
      <c r="AF4" s="106">
        <v>0</v>
      </c>
      <c r="AG4" s="106">
        <v>0</v>
      </c>
      <c r="AH4" s="106">
        <v>0</v>
      </c>
      <c r="AI4" s="106">
        <v>0</v>
      </c>
      <c r="AJ4" s="106">
        <v>0</v>
      </c>
      <c r="AK4" s="106">
        <v>0</v>
      </c>
      <c r="AL4" s="106">
        <v>0</v>
      </c>
      <c r="AM4" s="106">
        <v>0</v>
      </c>
      <c r="AN4" s="106">
        <v>0</v>
      </c>
      <c r="AO4" s="106">
        <v>0</v>
      </c>
      <c r="AP4" s="106">
        <v>0</v>
      </c>
      <c r="AQ4" s="107">
        <v>0</v>
      </c>
    </row>
    <row r="5" spans="2:43" ht="12" customHeight="1" x14ac:dyDescent="0.25">
      <c r="B5" s="105" t="s">
        <v>34</v>
      </c>
      <c r="C5" s="106" t="s">
        <v>74</v>
      </c>
      <c r="D5" s="106" t="s">
        <v>25</v>
      </c>
      <c r="E5" s="106" t="s">
        <v>25</v>
      </c>
      <c r="F5" s="106" t="s">
        <v>78</v>
      </c>
      <c r="G5" s="106" t="s">
        <v>36</v>
      </c>
      <c r="H5" s="106" t="s">
        <v>75</v>
      </c>
      <c r="I5" s="106" t="s">
        <v>25</v>
      </c>
      <c r="J5" s="106">
        <v>195.07</v>
      </c>
      <c r="K5" s="106">
        <v>0</v>
      </c>
      <c r="L5" s="106">
        <v>0</v>
      </c>
      <c r="M5" s="106">
        <v>0</v>
      </c>
      <c r="N5" s="106">
        <v>0</v>
      </c>
      <c r="O5" s="106">
        <v>0</v>
      </c>
      <c r="P5" s="106">
        <v>0</v>
      </c>
      <c r="Q5" s="106">
        <v>0</v>
      </c>
      <c r="R5" s="106">
        <v>0</v>
      </c>
      <c r="S5" s="106">
        <v>0</v>
      </c>
      <c r="T5" s="106">
        <v>0</v>
      </c>
      <c r="U5" s="106">
        <v>0</v>
      </c>
      <c r="V5" s="106">
        <v>0</v>
      </c>
      <c r="W5" s="106">
        <v>0</v>
      </c>
      <c r="X5" s="106">
        <v>89.148942555676001</v>
      </c>
      <c r="Y5" s="106">
        <v>0</v>
      </c>
      <c r="Z5" s="106">
        <v>0</v>
      </c>
      <c r="AA5" s="106">
        <v>105.92141467318901</v>
      </c>
      <c r="AB5" s="106">
        <v>0</v>
      </c>
      <c r="AC5" s="106">
        <v>0</v>
      </c>
      <c r="AD5" s="106">
        <v>0</v>
      </c>
      <c r="AE5" s="106">
        <v>0</v>
      </c>
      <c r="AF5" s="106">
        <v>0</v>
      </c>
      <c r="AG5" s="106">
        <v>0</v>
      </c>
      <c r="AH5" s="106">
        <v>0</v>
      </c>
      <c r="AI5" s="106">
        <v>0</v>
      </c>
      <c r="AJ5" s="106">
        <v>0</v>
      </c>
      <c r="AK5" s="106">
        <v>0</v>
      </c>
      <c r="AL5" s="106">
        <v>0</v>
      </c>
      <c r="AM5" s="106">
        <v>0</v>
      </c>
      <c r="AN5" s="106">
        <v>0</v>
      </c>
      <c r="AO5" s="106">
        <v>0</v>
      </c>
      <c r="AP5" s="106">
        <v>0</v>
      </c>
      <c r="AQ5" s="107">
        <v>0</v>
      </c>
    </row>
    <row r="6" spans="2:43" ht="12" customHeight="1" x14ac:dyDescent="0.25">
      <c r="B6" s="105" t="s">
        <v>34</v>
      </c>
      <c r="C6" s="106" t="s">
        <v>74</v>
      </c>
      <c r="D6" s="106" t="s">
        <v>25</v>
      </c>
      <c r="E6" s="106" t="s">
        <v>25</v>
      </c>
      <c r="F6" s="106" t="s">
        <v>78</v>
      </c>
      <c r="G6" s="106" t="s">
        <v>37</v>
      </c>
      <c r="H6" s="106" t="s">
        <v>69</v>
      </c>
      <c r="I6" s="106" t="s">
        <v>25</v>
      </c>
      <c r="J6" s="106">
        <v>18.78</v>
      </c>
      <c r="K6" s="106">
        <v>0</v>
      </c>
      <c r="L6" s="106">
        <v>0</v>
      </c>
      <c r="M6" s="106">
        <v>0.71757007038507403</v>
      </c>
      <c r="N6" s="106">
        <v>0</v>
      </c>
      <c r="O6" s="106">
        <v>0</v>
      </c>
      <c r="P6" s="106">
        <v>0</v>
      </c>
      <c r="Q6" s="106">
        <v>0</v>
      </c>
      <c r="R6" s="106">
        <v>0</v>
      </c>
      <c r="S6" s="106">
        <v>0</v>
      </c>
      <c r="T6" s="106">
        <v>0</v>
      </c>
      <c r="U6" s="106">
        <v>0</v>
      </c>
      <c r="V6" s="106">
        <v>0</v>
      </c>
      <c r="W6" s="106">
        <v>0</v>
      </c>
      <c r="X6" s="106">
        <v>0</v>
      </c>
      <c r="Y6" s="106">
        <v>0</v>
      </c>
      <c r="Z6" s="106">
        <v>0</v>
      </c>
      <c r="AA6" s="106">
        <v>0</v>
      </c>
      <c r="AB6" s="106">
        <v>0</v>
      </c>
      <c r="AC6" s="106">
        <v>0</v>
      </c>
      <c r="AD6" s="106">
        <v>18.066972965692599</v>
      </c>
      <c r="AE6" s="106">
        <v>0</v>
      </c>
      <c r="AF6" s="106">
        <v>0</v>
      </c>
      <c r="AG6" s="106">
        <v>0</v>
      </c>
      <c r="AH6" s="106">
        <v>0</v>
      </c>
      <c r="AI6" s="106">
        <v>0</v>
      </c>
      <c r="AJ6" s="106">
        <v>0</v>
      </c>
      <c r="AK6" s="106">
        <v>0</v>
      </c>
      <c r="AL6" s="106">
        <v>0</v>
      </c>
      <c r="AM6" s="106">
        <v>0</v>
      </c>
      <c r="AN6" s="106">
        <v>0</v>
      </c>
      <c r="AO6" s="106">
        <v>0</v>
      </c>
      <c r="AP6" s="106">
        <v>0</v>
      </c>
      <c r="AQ6" s="107">
        <v>0</v>
      </c>
    </row>
    <row r="7" spans="2:43" ht="12" customHeight="1" x14ac:dyDescent="0.25">
      <c r="B7" s="105" t="s">
        <v>34</v>
      </c>
      <c r="C7" s="106" t="s">
        <v>74</v>
      </c>
      <c r="D7" s="106" t="s">
        <v>25</v>
      </c>
      <c r="E7" s="106" t="s">
        <v>25</v>
      </c>
      <c r="F7" s="106" t="s">
        <v>78</v>
      </c>
      <c r="G7" s="106" t="s">
        <v>37</v>
      </c>
      <c r="H7" s="106" t="s">
        <v>75</v>
      </c>
      <c r="I7" s="106" t="s">
        <v>25</v>
      </c>
      <c r="J7" s="106">
        <v>61.53</v>
      </c>
      <c r="K7" s="106">
        <v>0</v>
      </c>
      <c r="L7" s="106">
        <v>0</v>
      </c>
      <c r="M7" s="106">
        <v>0</v>
      </c>
      <c r="N7" s="106">
        <v>0</v>
      </c>
      <c r="O7" s="106">
        <v>0</v>
      </c>
      <c r="P7" s="106">
        <v>0</v>
      </c>
      <c r="Q7" s="106">
        <v>0</v>
      </c>
      <c r="R7" s="106">
        <v>0</v>
      </c>
      <c r="S7" s="106">
        <v>0</v>
      </c>
      <c r="T7" s="106">
        <v>0</v>
      </c>
      <c r="U7" s="106">
        <v>0</v>
      </c>
      <c r="V7" s="106">
        <v>0</v>
      </c>
      <c r="W7" s="106">
        <v>0</v>
      </c>
      <c r="X7" s="106">
        <v>28.1191714419205</v>
      </c>
      <c r="Y7" s="106">
        <v>0</v>
      </c>
      <c r="Z7" s="106">
        <v>0</v>
      </c>
      <c r="AA7" s="106">
        <v>33.409542747444497</v>
      </c>
      <c r="AB7" s="106">
        <v>0</v>
      </c>
      <c r="AC7" s="106">
        <v>0</v>
      </c>
      <c r="AD7" s="106">
        <v>0</v>
      </c>
      <c r="AE7" s="106">
        <v>0</v>
      </c>
      <c r="AF7" s="106">
        <v>0</v>
      </c>
      <c r="AG7" s="106">
        <v>0</v>
      </c>
      <c r="AH7" s="106">
        <v>0</v>
      </c>
      <c r="AI7" s="106">
        <v>0</v>
      </c>
      <c r="AJ7" s="106">
        <v>0</v>
      </c>
      <c r="AK7" s="106">
        <v>0</v>
      </c>
      <c r="AL7" s="106">
        <v>0</v>
      </c>
      <c r="AM7" s="106">
        <v>0</v>
      </c>
      <c r="AN7" s="106">
        <v>0</v>
      </c>
      <c r="AO7" s="106">
        <v>0</v>
      </c>
      <c r="AP7" s="106">
        <v>0</v>
      </c>
      <c r="AQ7" s="107">
        <v>0</v>
      </c>
    </row>
    <row r="8" spans="2:43" ht="12" customHeight="1" x14ac:dyDescent="0.25">
      <c r="B8" s="105" t="s">
        <v>34</v>
      </c>
      <c r="C8" s="106" t="s">
        <v>74</v>
      </c>
      <c r="D8" s="106" t="s">
        <v>25</v>
      </c>
      <c r="E8" s="106" t="s">
        <v>25</v>
      </c>
      <c r="F8" s="106" t="s">
        <v>25</v>
      </c>
      <c r="G8" s="106" t="s">
        <v>36</v>
      </c>
      <c r="H8" s="106" t="s">
        <v>69</v>
      </c>
      <c r="I8" s="106" t="s">
        <v>25</v>
      </c>
      <c r="J8" s="106">
        <v>68.489999999999995</v>
      </c>
      <c r="K8" s="106">
        <v>266.67</v>
      </c>
      <c r="L8" s="106">
        <v>0</v>
      </c>
      <c r="M8" s="106">
        <v>0.71757007038507403</v>
      </c>
      <c r="N8" s="106">
        <v>0</v>
      </c>
      <c r="O8" s="106">
        <v>0</v>
      </c>
      <c r="P8" s="106">
        <v>0</v>
      </c>
      <c r="Q8" s="106">
        <v>34.377924772870799</v>
      </c>
      <c r="R8" s="106">
        <v>15.3315833288872</v>
      </c>
      <c r="S8" s="106">
        <v>0</v>
      </c>
      <c r="T8" s="106">
        <v>0</v>
      </c>
      <c r="U8" s="106">
        <v>0</v>
      </c>
      <c r="V8" s="106">
        <v>0</v>
      </c>
      <c r="W8" s="106">
        <v>0</v>
      </c>
      <c r="X8" s="106">
        <v>0</v>
      </c>
      <c r="Y8" s="106">
        <v>0</v>
      </c>
      <c r="Z8" s="106">
        <v>0</v>
      </c>
      <c r="AA8" s="106">
        <v>0</v>
      </c>
      <c r="AB8" s="106">
        <v>0</v>
      </c>
      <c r="AC8" s="106">
        <v>0</v>
      </c>
      <c r="AD8" s="106">
        <v>18.066972965692599</v>
      </c>
      <c r="AE8" s="106">
        <v>0</v>
      </c>
      <c r="AF8" s="106">
        <v>0</v>
      </c>
      <c r="AG8" s="106">
        <v>0</v>
      </c>
      <c r="AH8" s="106">
        <v>0</v>
      </c>
      <c r="AI8" s="106">
        <v>0</v>
      </c>
      <c r="AJ8" s="106">
        <v>0</v>
      </c>
      <c r="AK8" s="106">
        <v>0</v>
      </c>
      <c r="AL8" s="106">
        <v>266.67368489474097</v>
      </c>
      <c r="AM8" s="106">
        <v>0</v>
      </c>
      <c r="AN8" s="106">
        <v>0</v>
      </c>
      <c r="AO8" s="106">
        <v>0</v>
      </c>
      <c r="AP8" s="106">
        <v>0</v>
      </c>
      <c r="AQ8" s="107">
        <v>0</v>
      </c>
    </row>
    <row r="9" spans="2:43" ht="12" customHeight="1" x14ac:dyDescent="0.25">
      <c r="B9" s="105" t="s">
        <v>34</v>
      </c>
      <c r="C9" s="106" t="s">
        <v>74</v>
      </c>
      <c r="D9" s="106" t="s">
        <v>25</v>
      </c>
      <c r="E9" s="106" t="s">
        <v>25</v>
      </c>
      <c r="F9" s="106" t="s">
        <v>25</v>
      </c>
      <c r="G9" s="106" t="s">
        <v>36</v>
      </c>
      <c r="H9" s="106" t="s">
        <v>75</v>
      </c>
      <c r="I9" s="106" t="s">
        <v>25</v>
      </c>
      <c r="J9" s="106">
        <v>195.07</v>
      </c>
      <c r="K9" s="106">
        <v>0</v>
      </c>
      <c r="L9" s="106">
        <v>0</v>
      </c>
      <c r="M9" s="106">
        <v>0</v>
      </c>
      <c r="N9" s="106">
        <v>0</v>
      </c>
      <c r="O9" s="106">
        <v>0</v>
      </c>
      <c r="P9" s="106">
        <v>0</v>
      </c>
      <c r="Q9" s="106">
        <v>0</v>
      </c>
      <c r="R9" s="106">
        <v>0</v>
      </c>
      <c r="S9" s="106">
        <v>0</v>
      </c>
      <c r="T9" s="106">
        <v>0</v>
      </c>
      <c r="U9" s="106">
        <v>0</v>
      </c>
      <c r="V9" s="106">
        <v>0</v>
      </c>
      <c r="W9" s="106">
        <v>0</v>
      </c>
      <c r="X9" s="106">
        <v>89.148942555676001</v>
      </c>
      <c r="Y9" s="106">
        <v>0</v>
      </c>
      <c r="Z9" s="106">
        <v>0</v>
      </c>
      <c r="AA9" s="106">
        <v>105.92141467318901</v>
      </c>
      <c r="AB9" s="106">
        <v>0</v>
      </c>
      <c r="AC9" s="106">
        <v>0</v>
      </c>
      <c r="AD9" s="106">
        <v>0</v>
      </c>
      <c r="AE9" s="106">
        <v>0</v>
      </c>
      <c r="AF9" s="106">
        <v>0</v>
      </c>
      <c r="AG9" s="106">
        <v>0</v>
      </c>
      <c r="AH9" s="106">
        <v>0</v>
      </c>
      <c r="AI9" s="106">
        <v>0</v>
      </c>
      <c r="AJ9" s="106">
        <v>0</v>
      </c>
      <c r="AK9" s="106">
        <v>0</v>
      </c>
      <c r="AL9" s="106">
        <v>0</v>
      </c>
      <c r="AM9" s="106">
        <v>0</v>
      </c>
      <c r="AN9" s="106">
        <v>0</v>
      </c>
      <c r="AO9" s="106">
        <v>0</v>
      </c>
      <c r="AP9" s="106">
        <v>0</v>
      </c>
      <c r="AQ9" s="107">
        <v>0</v>
      </c>
    </row>
    <row r="10" spans="2:43" ht="12" customHeight="1" x14ac:dyDescent="0.25">
      <c r="B10" s="105" t="s">
        <v>34</v>
      </c>
      <c r="C10" s="106" t="s">
        <v>74</v>
      </c>
      <c r="D10" s="106" t="s">
        <v>25</v>
      </c>
      <c r="E10" s="106" t="s">
        <v>25</v>
      </c>
      <c r="F10" s="106" t="s">
        <v>25</v>
      </c>
      <c r="G10" s="106" t="s">
        <v>37</v>
      </c>
      <c r="H10" s="106" t="s">
        <v>69</v>
      </c>
      <c r="I10" s="106" t="s">
        <v>25</v>
      </c>
      <c r="J10" s="106">
        <v>68.489999999999995</v>
      </c>
      <c r="K10" s="106">
        <v>266.67</v>
      </c>
      <c r="L10" s="106">
        <v>0</v>
      </c>
      <c r="M10" s="106">
        <v>0.71757007038507403</v>
      </c>
      <c r="N10" s="106">
        <v>0</v>
      </c>
      <c r="O10" s="106">
        <v>0</v>
      </c>
      <c r="P10" s="106">
        <v>0</v>
      </c>
      <c r="Q10" s="106">
        <v>34.377924772870799</v>
      </c>
      <c r="R10" s="106">
        <v>15.3315833288872</v>
      </c>
      <c r="S10" s="106">
        <v>0</v>
      </c>
      <c r="T10" s="106">
        <v>0</v>
      </c>
      <c r="U10" s="106">
        <v>0</v>
      </c>
      <c r="V10" s="106">
        <v>0</v>
      </c>
      <c r="W10" s="106">
        <v>0</v>
      </c>
      <c r="X10" s="106">
        <v>0</v>
      </c>
      <c r="Y10" s="106">
        <v>0</v>
      </c>
      <c r="Z10" s="106">
        <v>0</v>
      </c>
      <c r="AA10" s="106">
        <v>0</v>
      </c>
      <c r="AB10" s="106">
        <v>0</v>
      </c>
      <c r="AC10" s="106">
        <v>0</v>
      </c>
      <c r="AD10" s="106">
        <v>18.066972965692599</v>
      </c>
      <c r="AE10" s="106">
        <v>0</v>
      </c>
      <c r="AF10" s="106">
        <v>0</v>
      </c>
      <c r="AG10" s="106">
        <v>0</v>
      </c>
      <c r="AH10" s="106">
        <v>0</v>
      </c>
      <c r="AI10" s="106">
        <v>0</v>
      </c>
      <c r="AJ10" s="106">
        <v>0</v>
      </c>
      <c r="AK10" s="106">
        <v>0</v>
      </c>
      <c r="AL10" s="106">
        <v>266.67368489474097</v>
      </c>
      <c r="AM10" s="106">
        <v>0</v>
      </c>
      <c r="AN10" s="106">
        <v>0</v>
      </c>
      <c r="AO10" s="106">
        <v>0</v>
      </c>
      <c r="AP10" s="106">
        <v>0</v>
      </c>
      <c r="AQ10" s="107">
        <v>0</v>
      </c>
    </row>
    <row r="11" spans="2:43" ht="12" customHeight="1" x14ac:dyDescent="0.25">
      <c r="B11" s="105" t="s">
        <v>34</v>
      </c>
      <c r="C11" s="106" t="s">
        <v>74</v>
      </c>
      <c r="D11" s="106" t="s">
        <v>25</v>
      </c>
      <c r="E11" s="106" t="s">
        <v>25</v>
      </c>
      <c r="F11" s="106" t="s">
        <v>25</v>
      </c>
      <c r="G11" s="106" t="s">
        <v>37</v>
      </c>
      <c r="H11" s="106" t="s">
        <v>75</v>
      </c>
      <c r="I11" s="106" t="s">
        <v>25</v>
      </c>
      <c r="J11" s="106">
        <v>61.53</v>
      </c>
      <c r="K11" s="106">
        <v>0</v>
      </c>
      <c r="L11" s="106">
        <v>0</v>
      </c>
      <c r="M11" s="106">
        <v>0</v>
      </c>
      <c r="N11" s="106">
        <v>0</v>
      </c>
      <c r="O11" s="106">
        <v>0</v>
      </c>
      <c r="P11" s="106">
        <v>0</v>
      </c>
      <c r="Q11" s="106">
        <v>0</v>
      </c>
      <c r="R11" s="106">
        <v>0</v>
      </c>
      <c r="S11" s="106">
        <v>0</v>
      </c>
      <c r="T11" s="106">
        <v>0</v>
      </c>
      <c r="U11" s="106">
        <v>0</v>
      </c>
      <c r="V11" s="106">
        <v>0</v>
      </c>
      <c r="W11" s="106">
        <v>0</v>
      </c>
      <c r="X11" s="106">
        <v>28.1191714419205</v>
      </c>
      <c r="Y11" s="106">
        <v>0</v>
      </c>
      <c r="Z11" s="106">
        <v>0</v>
      </c>
      <c r="AA11" s="106">
        <v>33.409542747444497</v>
      </c>
      <c r="AB11" s="106">
        <v>0</v>
      </c>
      <c r="AC11" s="106">
        <v>0</v>
      </c>
      <c r="AD11" s="106">
        <v>0</v>
      </c>
      <c r="AE11" s="106">
        <v>0</v>
      </c>
      <c r="AF11" s="106">
        <v>0</v>
      </c>
      <c r="AG11" s="106">
        <v>0</v>
      </c>
      <c r="AH11" s="106">
        <v>0</v>
      </c>
      <c r="AI11" s="106">
        <v>0</v>
      </c>
      <c r="AJ11" s="106">
        <v>0</v>
      </c>
      <c r="AK11" s="106">
        <v>0</v>
      </c>
      <c r="AL11" s="106">
        <v>0</v>
      </c>
      <c r="AM11" s="106">
        <v>0</v>
      </c>
      <c r="AN11" s="106">
        <v>0</v>
      </c>
      <c r="AO11" s="106">
        <v>0</v>
      </c>
      <c r="AP11" s="106">
        <v>0</v>
      </c>
      <c r="AQ11" s="107">
        <v>0</v>
      </c>
    </row>
    <row r="12" spans="2:43" ht="12" customHeight="1" x14ac:dyDescent="0.25">
      <c r="B12" s="105" t="s">
        <v>34</v>
      </c>
      <c r="C12" s="106" t="s">
        <v>23</v>
      </c>
      <c r="D12" s="106" t="s">
        <v>25</v>
      </c>
      <c r="E12" s="106" t="s">
        <v>25</v>
      </c>
      <c r="F12" s="106" t="s">
        <v>25</v>
      </c>
      <c r="G12" s="106" t="s">
        <v>25</v>
      </c>
      <c r="H12" s="106" t="s">
        <v>69</v>
      </c>
      <c r="I12" s="106" t="s">
        <v>25</v>
      </c>
      <c r="J12" s="106">
        <v>0</v>
      </c>
      <c r="K12" s="106">
        <v>266.67</v>
      </c>
      <c r="L12" s="106">
        <v>0</v>
      </c>
      <c r="M12" s="106">
        <v>0</v>
      </c>
      <c r="N12" s="106">
        <v>0</v>
      </c>
      <c r="O12" s="106">
        <v>0</v>
      </c>
      <c r="P12" s="106">
        <v>0</v>
      </c>
      <c r="Q12" s="106">
        <v>0</v>
      </c>
      <c r="R12" s="106">
        <v>0</v>
      </c>
      <c r="S12" s="106">
        <v>0</v>
      </c>
      <c r="T12" s="106">
        <v>0</v>
      </c>
      <c r="U12" s="106">
        <v>0</v>
      </c>
      <c r="V12" s="106">
        <v>0</v>
      </c>
      <c r="W12" s="106">
        <v>0</v>
      </c>
      <c r="X12" s="106">
        <v>0</v>
      </c>
      <c r="Y12" s="106">
        <v>0</v>
      </c>
      <c r="Z12" s="106">
        <v>0</v>
      </c>
      <c r="AA12" s="106">
        <v>0</v>
      </c>
      <c r="AB12" s="106">
        <v>0</v>
      </c>
      <c r="AC12" s="106">
        <v>0</v>
      </c>
      <c r="AD12" s="106">
        <v>0</v>
      </c>
      <c r="AE12" s="106">
        <v>0</v>
      </c>
      <c r="AF12" s="106">
        <v>0</v>
      </c>
      <c r="AG12" s="106">
        <v>0</v>
      </c>
      <c r="AH12" s="106">
        <v>0</v>
      </c>
      <c r="AI12" s="106">
        <v>0</v>
      </c>
      <c r="AJ12" s="106">
        <v>0</v>
      </c>
      <c r="AK12" s="106">
        <v>0</v>
      </c>
      <c r="AL12" s="106">
        <v>266.67368489474097</v>
      </c>
      <c r="AM12" s="106">
        <v>0</v>
      </c>
      <c r="AN12" s="106">
        <v>0</v>
      </c>
      <c r="AO12" s="106">
        <v>0</v>
      </c>
      <c r="AP12" s="106">
        <v>0</v>
      </c>
      <c r="AQ12" s="107">
        <v>0</v>
      </c>
    </row>
    <row r="13" spans="2:43" ht="12" customHeight="1" x14ac:dyDescent="0.25">
      <c r="B13" s="105" t="s">
        <v>34</v>
      </c>
      <c r="C13" s="106" t="s">
        <v>79</v>
      </c>
      <c r="D13" s="106" t="s">
        <v>25</v>
      </c>
      <c r="E13" s="106" t="s">
        <v>25</v>
      </c>
      <c r="F13" s="106" t="s">
        <v>25</v>
      </c>
      <c r="G13" s="106" t="s">
        <v>25</v>
      </c>
      <c r="H13" s="106" t="s">
        <v>75</v>
      </c>
      <c r="I13" s="106" t="s">
        <v>25</v>
      </c>
      <c r="J13" s="106">
        <v>12.88</v>
      </c>
      <c r="K13" s="106">
        <v>0</v>
      </c>
      <c r="L13" s="106">
        <v>0</v>
      </c>
      <c r="M13" s="106">
        <v>4.6483655196823598E-2</v>
      </c>
      <c r="N13" s="106">
        <v>0</v>
      </c>
      <c r="O13" s="106">
        <v>0</v>
      </c>
      <c r="P13" s="106">
        <v>0</v>
      </c>
      <c r="Q13" s="106">
        <v>0</v>
      </c>
      <c r="R13" s="106">
        <v>0</v>
      </c>
      <c r="S13" s="106">
        <v>0</v>
      </c>
      <c r="T13" s="106">
        <v>0</v>
      </c>
      <c r="U13" s="106">
        <v>0</v>
      </c>
      <c r="V13" s="106">
        <v>0</v>
      </c>
      <c r="W13" s="106">
        <v>0</v>
      </c>
      <c r="X13" s="106">
        <v>0</v>
      </c>
      <c r="Y13" s="106">
        <v>0</v>
      </c>
      <c r="Z13" s="106">
        <v>0</v>
      </c>
      <c r="AA13" s="106">
        <v>12.837758571065701</v>
      </c>
      <c r="AB13" s="106">
        <v>0</v>
      </c>
      <c r="AC13" s="106">
        <v>0</v>
      </c>
      <c r="AD13" s="106">
        <v>0</v>
      </c>
      <c r="AE13" s="106">
        <v>0</v>
      </c>
      <c r="AF13" s="106">
        <v>0</v>
      </c>
      <c r="AG13" s="106">
        <v>0</v>
      </c>
      <c r="AH13" s="106">
        <v>0</v>
      </c>
      <c r="AI13" s="106">
        <v>0</v>
      </c>
      <c r="AJ13" s="106">
        <v>0</v>
      </c>
      <c r="AK13" s="106">
        <v>0</v>
      </c>
      <c r="AL13" s="106">
        <v>0</v>
      </c>
      <c r="AM13" s="106">
        <v>0</v>
      </c>
      <c r="AN13" s="106">
        <v>0</v>
      </c>
      <c r="AO13" s="106">
        <v>0</v>
      </c>
      <c r="AP13" s="106">
        <v>0</v>
      </c>
      <c r="AQ13" s="107">
        <v>0</v>
      </c>
    </row>
    <row r="14" spans="2:43" ht="12" customHeight="1" x14ac:dyDescent="0.25">
      <c r="B14" s="105" t="s">
        <v>34</v>
      </c>
      <c r="C14" s="106" t="s">
        <v>35</v>
      </c>
      <c r="D14" s="106" t="s">
        <v>25</v>
      </c>
      <c r="E14" s="106" t="s">
        <v>25</v>
      </c>
      <c r="F14" s="106" t="s">
        <v>78</v>
      </c>
      <c r="G14" s="106" t="s">
        <v>36</v>
      </c>
      <c r="H14" s="106" t="s">
        <v>69</v>
      </c>
      <c r="I14" s="106" t="s">
        <v>25</v>
      </c>
      <c r="J14" s="106">
        <v>3411.78</v>
      </c>
      <c r="K14" s="106">
        <v>0</v>
      </c>
      <c r="L14" s="106">
        <v>0</v>
      </c>
      <c r="M14" s="106">
        <v>0.71757007038507403</v>
      </c>
      <c r="N14" s="106">
        <v>0</v>
      </c>
      <c r="O14" s="106">
        <v>0</v>
      </c>
      <c r="P14" s="106">
        <v>0</v>
      </c>
      <c r="Q14" s="106">
        <v>0</v>
      </c>
      <c r="R14" s="106">
        <v>0</v>
      </c>
      <c r="S14" s="106">
        <v>0</v>
      </c>
      <c r="T14" s="106">
        <v>0</v>
      </c>
      <c r="U14" s="106">
        <v>0</v>
      </c>
      <c r="V14" s="106">
        <v>0</v>
      </c>
      <c r="W14" s="106">
        <v>0</v>
      </c>
      <c r="X14" s="106">
        <v>845.58257412132502</v>
      </c>
      <c r="Y14" s="106">
        <v>0</v>
      </c>
      <c r="Z14" s="106">
        <v>0</v>
      </c>
      <c r="AA14" s="106">
        <v>2547.4156873543102</v>
      </c>
      <c r="AB14" s="106">
        <v>0</v>
      </c>
      <c r="AC14" s="106">
        <v>0</v>
      </c>
      <c r="AD14" s="106">
        <v>18.066972965692599</v>
      </c>
      <c r="AE14" s="106">
        <v>0</v>
      </c>
      <c r="AF14" s="106">
        <v>0</v>
      </c>
      <c r="AG14" s="106">
        <v>0</v>
      </c>
      <c r="AH14" s="106">
        <v>0</v>
      </c>
      <c r="AI14" s="106">
        <v>0</v>
      </c>
      <c r="AJ14" s="106">
        <v>0</v>
      </c>
      <c r="AK14" s="106">
        <v>0</v>
      </c>
      <c r="AL14" s="106">
        <v>0</v>
      </c>
      <c r="AM14" s="106">
        <v>0</v>
      </c>
      <c r="AN14" s="106">
        <v>0</v>
      </c>
      <c r="AO14" s="106">
        <v>0</v>
      </c>
      <c r="AP14" s="106">
        <v>0</v>
      </c>
      <c r="AQ14" s="107">
        <v>0</v>
      </c>
    </row>
    <row r="15" spans="2:43" ht="12" customHeight="1" x14ac:dyDescent="0.25">
      <c r="B15" s="105" t="s">
        <v>34</v>
      </c>
      <c r="C15" s="106" t="s">
        <v>35</v>
      </c>
      <c r="D15" s="106" t="s">
        <v>25</v>
      </c>
      <c r="E15" s="106" t="s">
        <v>25</v>
      </c>
      <c r="F15" s="106" t="s">
        <v>78</v>
      </c>
      <c r="G15" s="106" t="s">
        <v>25</v>
      </c>
      <c r="H15" s="106" t="s">
        <v>75</v>
      </c>
      <c r="I15" s="106" t="s">
        <v>25</v>
      </c>
      <c r="J15" s="106">
        <v>61.53</v>
      </c>
      <c r="K15" s="106">
        <v>0</v>
      </c>
      <c r="L15" s="106">
        <v>0</v>
      </c>
      <c r="M15" s="106">
        <v>0</v>
      </c>
      <c r="N15" s="106">
        <v>0</v>
      </c>
      <c r="O15" s="106">
        <v>0</v>
      </c>
      <c r="P15" s="106">
        <v>0</v>
      </c>
      <c r="Q15" s="106">
        <v>0</v>
      </c>
      <c r="R15" s="106">
        <v>0</v>
      </c>
      <c r="S15" s="106">
        <v>0</v>
      </c>
      <c r="T15" s="106">
        <v>0</v>
      </c>
      <c r="U15" s="106">
        <v>0</v>
      </c>
      <c r="V15" s="106">
        <v>0</v>
      </c>
      <c r="W15" s="106">
        <v>0</v>
      </c>
      <c r="X15" s="106">
        <v>28.1191714419205</v>
      </c>
      <c r="Y15" s="106">
        <v>0</v>
      </c>
      <c r="Z15" s="106">
        <v>0</v>
      </c>
      <c r="AA15" s="106">
        <v>33.409542747444497</v>
      </c>
      <c r="AB15" s="106">
        <v>0</v>
      </c>
      <c r="AC15" s="106">
        <v>0</v>
      </c>
      <c r="AD15" s="106">
        <v>0</v>
      </c>
      <c r="AE15" s="106">
        <v>0</v>
      </c>
      <c r="AF15" s="106">
        <v>0</v>
      </c>
      <c r="AG15" s="106">
        <v>0</v>
      </c>
      <c r="AH15" s="106">
        <v>0</v>
      </c>
      <c r="AI15" s="106">
        <v>0</v>
      </c>
      <c r="AJ15" s="106">
        <v>0</v>
      </c>
      <c r="AK15" s="106">
        <v>0</v>
      </c>
      <c r="AL15" s="106">
        <v>0</v>
      </c>
      <c r="AM15" s="106">
        <v>0</v>
      </c>
      <c r="AN15" s="106">
        <v>0</v>
      </c>
      <c r="AO15" s="106">
        <v>0</v>
      </c>
      <c r="AP15" s="106">
        <v>0</v>
      </c>
      <c r="AQ15" s="107">
        <v>0</v>
      </c>
    </row>
    <row r="16" spans="2:43" ht="12" customHeight="1" x14ac:dyDescent="0.25">
      <c r="B16" s="105" t="s">
        <v>34</v>
      </c>
      <c r="C16" s="106" t="s">
        <v>35</v>
      </c>
      <c r="D16" s="106" t="s">
        <v>25</v>
      </c>
      <c r="E16" s="106" t="s">
        <v>25</v>
      </c>
      <c r="F16" s="106" t="s">
        <v>78</v>
      </c>
      <c r="G16" s="106" t="s">
        <v>37</v>
      </c>
      <c r="H16" s="106" t="s">
        <v>69</v>
      </c>
      <c r="I16" s="106" t="s">
        <v>25</v>
      </c>
      <c r="J16" s="106">
        <v>18.78</v>
      </c>
      <c r="K16" s="106">
        <v>0</v>
      </c>
      <c r="L16" s="106">
        <v>0</v>
      </c>
      <c r="M16" s="106">
        <v>0.71757007038507403</v>
      </c>
      <c r="N16" s="106">
        <v>0</v>
      </c>
      <c r="O16" s="106">
        <v>0</v>
      </c>
      <c r="P16" s="106">
        <v>0</v>
      </c>
      <c r="Q16" s="106">
        <v>0</v>
      </c>
      <c r="R16" s="106">
        <v>0</v>
      </c>
      <c r="S16" s="106">
        <v>0</v>
      </c>
      <c r="T16" s="106">
        <v>0</v>
      </c>
      <c r="U16" s="106">
        <v>0</v>
      </c>
      <c r="V16" s="106">
        <v>0</v>
      </c>
      <c r="W16" s="106">
        <v>0</v>
      </c>
      <c r="X16" s="106">
        <v>0</v>
      </c>
      <c r="Y16" s="106">
        <v>0</v>
      </c>
      <c r="Z16" s="106">
        <v>0</v>
      </c>
      <c r="AA16" s="106">
        <v>0</v>
      </c>
      <c r="AB16" s="106">
        <v>0</v>
      </c>
      <c r="AC16" s="106">
        <v>0</v>
      </c>
      <c r="AD16" s="106">
        <v>18.066972965692599</v>
      </c>
      <c r="AE16" s="106">
        <v>0</v>
      </c>
      <c r="AF16" s="106">
        <v>0</v>
      </c>
      <c r="AG16" s="106">
        <v>0</v>
      </c>
      <c r="AH16" s="106">
        <v>0</v>
      </c>
      <c r="AI16" s="106">
        <v>0</v>
      </c>
      <c r="AJ16" s="106">
        <v>0</v>
      </c>
      <c r="AK16" s="106">
        <v>0</v>
      </c>
      <c r="AL16" s="106">
        <v>0</v>
      </c>
      <c r="AM16" s="106">
        <v>0</v>
      </c>
      <c r="AN16" s="106">
        <v>0</v>
      </c>
      <c r="AO16" s="106">
        <v>0</v>
      </c>
      <c r="AP16" s="106">
        <v>0</v>
      </c>
      <c r="AQ16" s="107">
        <v>0</v>
      </c>
    </row>
    <row r="17" spans="2:43" ht="12" customHeight="1" x14ac:dyDescent="0.25">
      <c r="B17" s="105" t="s">
        <v>34</v>
      </c>
      <c r="C17" s="106" t="s">
        <v>35</v>
      </c>
      <c r="D17" s="106" t="s">
        <v>25</v>
      </c>
      <c r="E17" s="106" t="s">
        <v>25</v>
      </c>
      <c r="F17" s="106" t="s">
        <v>25</v>
      </c>
      <c r="G17" s="106" t="s">
        <v>36</v>
      </c>
      <c r="H17" s="106" t="s">
        <v>69</v>
      </c>
      <c r="I17" s="106" t="s">
        <v>25</v>
      </c>
      <c r="J17" s="106">
        <v>3461.49</v>
      </c>
      <c r="K17" s="106">
        <v>266.67</v>
      </c>
      <c r="L17" s="106">
        <v>0</v>
      </c>
      <c r="M17" s="106">
        <v>0.71757007038507403</v>
      </c>
      <c r="N17" s="106">
        <v>0</v>
      </c>
      <c r="O17" s="106">
        <v>0</v>
      </c>
      <c r="P17" s="106">
        <v>0</v>
      </c>
      <c r="Q17" s="106">
        <v>34.377924772870799</v>
      </c>
      <c r="R17" s="106">
        <v>15.3315833288872</v>
      </c>
      <c r="S17" s="106">
        <v>0</v>
      </c>
      <c r="T17" s="106">
        <v>0</v>
      </c>
      <c r="U17" s="106">
        <v>0</v>
      </c>
      <c r="V17" s="106">
        <v>0</v>
      </c>
      <c r="W17" s="106">
        <v>0</v>
      </c>
      <c r="X17" s="106">
        <v>845.58257412132502</v>
      </c>
      <c r="Y17" s="106">
        <v>0</v>
      </c>
      <c r="Z17" s="106">
        <v>0</v>
      </c>
      <c r="AA17" s="106">
        <v>2547.4156873543102</v>
      </c>
      <c r="AB17" s="106">
        <v>0</v>
      </c>
      <c r="AC17" s="106">
        <v>0</v>
      </c>
      <c r="AD17" s="106">
        <v>18.066972965692599</v>
      </c>
      <c r="AE17" s="106">
        <v>0</v>
      </c>
      <c r="AF17" s="106">
        <v>0</v>
      </c>
      <c r="AG17" s="106">
        <v>0</v>
      </c>
      <c r="AH17" s="106">
        <v>0</v>
      </c>
      <c r="AI17" s="106">
        <v>0</v>
      </c>
      <c r="AJ17" s="106">
        <v>0</v>
      </c>
      <c r="AK17" s="106">
        <v>0</v>
      </c>
      <c r="AL17" s="106">
        <v>266.67368489474097</v>
      </c>
      <c r="AM17" s="106">
        <v>0</v>
      </c>
      <c r="AN17" s="106">
        <v>0</v>
      </c>
      <c r="AO17" s="106">
        <v>0</v>
      </c>
      <c r="AP17" s="106">
        <v>0</v>
      </c>
      <c r="AQ17" s="107">
        <v>0</v>
      </c>
    </row>
    <row r="18" spans="2:43" ht="12" customHeight="1" x14ac:dyDescent="0.25">
      <c r="B18" s="105" t="s">
        <v>34</v>
      </c>
      <c r="C18" s="106" t="s">
        <v>35</v>
      </c>
      <c r="D18" s="106" t="s">
        <v>25</v>
      </c>
      <c r="E18" s="106" t="s">
        <v>25</v>
      </c>
      <c r="F18" s="106" t="s">
        <v>25</v>
      </c>
      <c r="G18" s="106" t="s">
        <v>25</v>
      </c>
      <c r="H18" s="106" t="s">
        <v>75</v>
      </c>
      <c r="I18" s="106" t="s">
        <v>25</v>
      </c>
      <c r="J18" s="106">
        <v>61.53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28.1191714419205</v>
      </c>
      <c r="Y18" s="106">
        <v>0</v>
      </c>
      <c r="Z18" s="106">
        <v>0</v>
      </c>
      <c r="AA18" s="106">
        <v>33.409542747444497</v>
      </c>
      <c r="AB18" s="106">
        <v>0</v>
      </c>
      <c r="AC18" s="106">
        <v>0</v>
      </c>
      <c r="AD18" s="106">
        <v>0</v>
      </c>
      <c r="AE18" s="106">
        <v>0</v>
      </c>
      <c r="AF18" s="106">
        <v>0</v>
      </c>
      <c r="AG18" s="106">
        <v>0</v>
      </c>
      <c r="AH18" s="106">
        <v>0</v>
      </c>
      <c r="AI18" s="106">
        <v>0</v>
      </c>
      <c r="AJ18" s="106">
        <v>0</v>
      </c>
      <c r="AK18" s="106">
        <v>0</v>
      </c>
      <c r="AL18" s="106">
        <v>0</v>
      </c>
      <c r="AM18" s="106">
        <v>0</v>
      </c>
      <c r="AN18" s="106">
        <v>0</v>
      </c>
      <c r="AO18" s="106">
        <v>0</v>
      </c>
      <c r="AP18" s="106">
        <v>0</v>
      </c>
      <c r="AQ18" s="107">
        <v>0</v>
      </c>
    </row>
    <row r="19" spans="2:43" ht="12" customHeight="1" x14ac:dyDescent="0.25">
      <c r="B19" s="105" t="s">
        <v>34</v>
      </c>
      <c r="C19" s="106" t="s">
        <v>35</v>
      </c>
      <c r="D19" s="106" t="s">
        <v>25</v>
      </c>
      <c r="E19" s="106" t="s">
        <v>25</v>
      </c>
      <c r="F19" s="106" t="s">
        <v>25</v>
      </c>
      <c r="G19" s="106" t="s">
        <v>37</v>
      </c>
      <c r="H19" s="106" t="s">
        <v>69</v>
      </c>
      <c r="I19" s="106" t="s">
        <v>25</v>
      </c>
      <c r="J19" s="106">
        <v>68.489999999999995</v>
      </c>
      <c r="K19" s="106">
        <v>266.67</v>
      </c>
      <c r="L19" s="106">
        <v>0</v>
      </c>
      <c r="M19" s="106">
        <v>0.71757007038507403</v>
      </c>
      <c r="N19" s="106">
        <v>0</v>
      </c>
      <c r="O19" s="106">
        <v>0</v>
      </c>
      <c r="P19" s="106">
        <v>0</v>
      </c>
      <c r="Q19" s="106">
        <v>34.377924772870799</v>
      </c>
      <c r="R19" s="106">
        <v>15.3315833288872</v>
      </c>
      <c r="S19" s="106">
        <v>0</v>
      </c>
      <c r="T19" s="106">
        <v>0</v>
      </c>
      <c r="U19" s="106">
        <v>0</v>
      </c>
      <c r="V19" s="106">
        <v>0</v>
      </c>
      <c r="W19" s="106">
        <v>0</v>
      </c>
      <c r="X19" s="106">
        <v>0</v>
      </c>
      <c r="Y19" s="106">
        <v>0</v>
      </c>
      <c r="Z19" s="106">
        <v>0</v>
      </c>
      <c r="AA19" s="106">
        <v>0</v>
      </c>
      <c r="AB19" s="106">
        <v>0</v>
      </c>
      <c r="AC19" s="106">
        <v>0</v>
      </c>
      <c r="AD19" s="106">
        <v>18.066972965692599</v>
      </c>
      <c r="AE19" s="106">
        <v>0</v>
      </c>
      <c r="AF19" s="106">
        <v>0</v>
      </c>
      <c r="AG19" s="106">
        <v>0</v>
      </c>
      <c r="AH19" s="106">
        <v>0</v>
      </c>
      <c r="AI19" s="106">
        <v>0</v>
      </c>
      <c r="AJ19" s="106">
        <v>0</v>
      </c>
      <c r="AK19" s="106">
        <v>0</v>
      </c>
      <c r="AL19" s="106">
        <v>266.67368489474097</v>
      </c>
      <c r="AM19" s="106">
        <v>0</v>
      </c>
      <c r="AN19" s="106">
        <v>0</v>
      </c>
      <c r="AO19" s="106">
        <v>0</v>
      </c>
      <c r="AP19" s="106">
        <v>0</v>
      </c>
      <c r="AQ19" s="107">
        <v>0</v>
      </c>
    </row>
    <row r="20" spans="2:43" ht="12" customHeight="1" x14ac:dyDescent="0.25">
      <c r="B20" s="105" t="s">
        <v>80</v>
      </c>
      <c r="C20" s="106" t="s">
        <v>79</v>
      </c>
      <c r="D20" s="106" t="s">
        <v>25</v>
      </c>
      <c r="E20" s="106" t="s">
        <v>25</v>
      </c>
      <c r="F20" s="106" t="s">
        <v>81</v>
      </c>
      <c r="G20" s="106" t="s">
        <v>25</v>
      </c>
      <c r="H20" s="106" t="s">
        <v>75</v>
      </c>
      <c r="I20" s="106" t="s">
        <v>25</v>
      </c>
      <c r="J20" s="106">
        <v>6.31</v>
      </c>
      <c r="K20" s="106">
        <v>0</v>
      </c>
      <c r="L20" s="106">
        <v>0</v>
      </c>
      <c r="M20" s="106">
        <v>2.2708758158081301E-2</v>
      </c>
      <c r="N20" s="106">
        <v>0</v>
      </c>
      <c r="O20" s="106">
        <v>0</v>
      </c>
      <c r="P20" s="106">
        <v>0</v>
      </c>
      <c r="Q20" s="106">
        <v>0</v>
      </c>
      <c r="R20" s="106">
        <v>0</v>
      </c>
      <c r="S20" s="106">
        <v>0</v>
      </c>
      <c r="T20" s="106">
        <v>0</v>
      </c>
      <c r="U20" s="106">
        <v>0</v>
      </c>
      <c r="V20" s="106">
        <v>0</v>
      </c>
      <c r="W20" s="106">
        <v>0</v>
      </c>
      <c r="X20" s="106">
        <v>0</v>
      </c>
      <c r="Y20" s="106">
        <v>0</v>
      </c>
      <c r="Z20" s="106">
        <v>0</v>
      </c>
      <c r="AA20" s="106">
        <v>6.2906033045596104</v>
      </c>
      <c r="AB20" s="106">
        <v>0</v>
      </c>
      <c r="AC20" s="106">
        <v>0</v>
      </c>
      <c r="AD20" s="106">
        <v>0</v>
      </c>
      <c r="AE20" s="106">
        <v>0</v>
      </c>
      <c r="AF20" s="106">
        <v>0</v>
      </c>
      <c r="AG20" s="106">
        <v>0</v>
      </c>
      <c r="AH20" s="106">
        <v>0</v>
      </c>
      <c r="AI20" s="106">
        <v>0</v>
      </c>
      <c r="AJ20" s="106">
        <v>0</v>
      </c>
      <c r="AK20" s="106">
        <v>0</v>
      </c>
      <c r="AL20" s="106">
        <v>0</v>
      </c>
      <c r="AM20" s="106">
        <v>0</v>
      </c>
      <c r="AN20" s="106">
        <v>0</v>
      </c>
      <c r="AO20" s="106">
        <v>0</v>
      </c>
      <c r="AP20" s="106">
        <v>0</v>
      </c>
      <c r="AQ20" s="107">
        <v>0</v>
      </c>
    </row>
    <row r="21" spans="2:43" ht="12" customHeight="1" x14ac:dyDescent="0.25">
      <c r="B21" s="105" t="s">
        <v>80</v>
      </c>
      <c r="C21" s="106" t="s">
        <v>79</v>
      </c>
      <c r="D21" s="106" t="s">
        <v>25</v>
      </c>
      <c r="E21" s="106" t="s">
        <v>25</v>
      </c>
      <c r="F21" s="106" t="s">
        <v>82</v>
      </c>
      <c r="G21" s="106" t="s">
        <v>25</v>
      </c>
      <c r="H21" s="106" t="s">
        <v>75</v>
      </c>
      <c r="I21" s="106" t="s">
        <v>25</v>
      </c>
      <c r="J21" s="106">
        <v>19.02</v>
      </c>
      <c r="K21" s="106">
        <v>0</v>
      </c>
      <c r="L21" s="106">
        <v>0</v>
      </c>
      <c r="M21" s="106">
        <v>2.2708758158081301E-2</v>
      </c>
      <c r="N21" s="106">
        <v>0</v>
      </c>
      <c r="O21" s="106">
        <v>0</v>
      </c>
      <c r="P21" s="106">
        <v>0</v>
      </c>
      <c r="Q21" s="106">
        <v>0</v>
      </c>
      <c r="R21" s="106">
        <v>0</v>
      </c>
      <c r="S21" s="106">
        <v>0</v>
      </c>
      <c r="T21" s="106">
        <v>0</v>
      </c>
      <c r="U21" s="106">
        <v>0</v>
      </c>
      <c r="V21" s="106">
        <v>0</v>
      </c>
      <c r="W21" s="106">
        <v>0</v>
      </c>
      <c r="X21" s="106">
        <v>0</v>
      </c>
      <c r="Y21" s="106">
        <v>0</v>
      </c>
      <c r="Z21" s="106">
        <v>0</v>
      </c>
      <c r="AA21" s="106">
        <v>18.996275716999399</v>
      </c>
      <c r="AB21" s="106">
        <v>0</v>
      </c>
      <c r="AC21" s="106">
        <v>0</v>
      </c>
      <c r="AD21" s="106">
        <v>0</v>
      </c>
      <c r="AE21" s="106">
        <v>0</v>
      </c>
      <c r="AF21" s="106">
        <v>0</v>
      </c>
      <c r="AG21" s="106">
        <v>0</v>
      </c>
      <c r="AH21" s="106">
        <v>0</v>
      </c>
      <c r="AI21" s="106">
        <v>0</v>
      </c>
      <c r="AJ21" s="106">
        <v>0</v>
      </c>
      <c r="AK21" s="106">
        <v>0</v>
      </c>
      <c r="AL21" s="106">
        <v>0</v>
      </c>
      <c r="AM21" s="106">
        <v>0</v>
      </c>
      <c r="AN21" s="106">
        <v>0</v>
      </c>
      <c r="AO21" s="106">
        <v>0</v>
      </c>
      <c r="AP21" s="106">
        <v>0</v>
      </c>
      <c r="AQ21" s="107">
        <v>0</v>
      </c>
    </row>
    <row r="22" spans="2:43" ht="12" customHeight="1" x14ac:dyDescent="0.25">
      <c r="B22" s="105" t="s">
        <v>22</v>
      </c>
      <c r="C22" s="106" t="s">
        <v>39</v>
      </c>
      <c r="D22" s="106" t="s">
        <v>24</v>
      </c>
      <c r="E22" s="106" t="s">
        <v>24</v>
      </c>
      <c r="F22" s="106" t="s">
        <v>25</v>
      </c>
      <c r="G22" s="106" t="s">
        <v>36</v>
      </c>
      <c r="H22" s="106" t="s">
        <v>69</v>
      </c>
      <c r="I22" s="106" t="s">
        <v>25</v>
      </c>
      <c r="J22" s="106">
        <v>2072.69</v>
      </c>
      <c r="K22" s="106">
        <v>266.67</v>
      </c>
      <c r="L22" s="106">
        <v>0</v>
      </c>
      <c r="M22" s="106">
        <v>2.1584583141570999</v>
      </c>
      <c r="N22" s="106">
        <v>0</v>
      </c>
      <c r="O22" s="106">
        <v>0</v>
      </c>
      <c r="P22" s="106">
        <v>0</v>
      </c>
      <c r="Q22" s="106">
        <v>40.926100920084302</v>
      </c>
      <c r="R22" s="106">
        <v>15.3315833288872</v>
      </c>
      <c r="S22" s="106">
        <v>0</v>
      </c>
      <c r="T22" s="106">
        <v>0</v>
      </c>
      <c r="U22" s="106">
        <v>0</v>
      </c>
      <c r="V22" s="106">
        <v>0</v>
      </c>
      <c r="W22" s="106">
        <v>0</v>
      </c>
      <c r="X22" s="106">
        <v>412.59880770568299</v>
      </c>
      <c r="Y22" s="106">
        <v>0</v>
      </c>
      <c r="Z22" s="106">
        <v>0</v>
      </c>
      <c r="AA22" s="106">
        <v>1562.3202914702199</v>
      </c>
      <c r="AB22" s="106">
        <v>0</v>
      </c>
      <c r="AC22" s="106">
        <v>0</v>
      </c>
      <c r="AD22" s="106">
        <v>39.353180627220297</v>
      </c>
      <c r="AE22" s="106">
        <v>0</v>
      </c>
      <c r="AF22" s="106">
        <v>0</v>
      </c>
      <c r="AG22" s="106">
        <v>0</v>
      </c>
      <c r="AH22" s="106">
        <v>0</v>
      </c>
      <c r="AI22" s="106">
        <v>0</v>
      </c>
      <c r="AJ22" s="106">
        <v>0</v>
      </c>
      <c r="AK22" s="106">
        <v>0</v>
      </c>
      <c r="AL22" s="106">
        <v>266.67368489474097</v>
      </c>
      <c r="AM22" s="106">
        <v>0</v>
      </c>
      <c r="AN22" s="106">
        <v>0</v>
      </c>
      <c r="AO22" s="106">
        <v>0</v>
      </c>
      <c r="AP22" s="106">
        <v>0</v>
      </c>
      <c r="AQ22" s="107">
        <v>0</v>
      </c>
    </row>
    <row r="23" spans="2:43" ht="12" customHeight="1" x14ac:dyDescent="0.25">
      <c r="B23" s="105" t="s">
        <v>22</v>
      </c>
      <c r="C23" s="106" t="s">
        <v>39</v>
      </c>
      <c r="D23" s="106" t="s">
        <v>24</v>
      </c>
      <c r="E23" s="106" t="s">
        <v>24</v>
      </c>
      <c r="F23" s="106" t="s">
        <v>25</v>
      </c>
      <c r="G23" s="106" t="s">
        <v>40</v>
      </c>
      <c r="H23" s="106" t="s">
        <v>69</v>
      </c>
      <c r="I23" s="106" t="s">
        <v>25</v>
      </c>
      <c r="J23" s="106">
        <v>1282.72</v>
      </c>
      <c r="K23" s="106">
        <v>266.67</v>
      </c>
      <c r="L23" s="106">
        <v>0</v>
      </c>
      <c r="M23" s="106">
        <v>2.1584583141570999</v>
      </c>
      <c r="N23" s="106">
        <v>0</v>
      </c>
      <c r="O23" s="106">
        <v>0</v>
      </c>
      <c r="P23" s="106">
        <v>0</v>
      </c>
      <c r="Q23" s="106">
        <v>40.926100920084302</v>
      </c>
      <c r="R23" s="106">
        <v>15.3315833288872</v>
      </c>
      <c r="S23" s="106">
        <v>0</v>
      </c>
      <c r="T23" s="106">
        <v>0</v>
      </c>
      <c r="U23" s="106">
        <v>0</v>
      </c>
      <c r="V23" s="106">
        <v>0</v>
      </c>
      <c r="W23" s="106">
        <v>0</v>
      </c>
      <c r="X23" s="106">
        <v>247.55712521225001</v>
      </c>
      <c r="Y23" s="106">
        <v>0</v>
      </c>
      <c r="Z23" s="106">
        <v>0</v>
      </c>
      <c r="AA23" s="106">
        <v>937.39184466673203</v>
      </c>
      <c r="AB23" s="106">
        <v>0</v>
      </c>
      <c r="AC23" s="106">
        <v>0</v>
      </c>
      <c r="AD23" s="106">
        <v>39.353180627220297</v>
      </c>
      <c r="AE23" s="106">
        <v>0</v>
      </c>
      <c r="AF23" s="106">
        <v>0</v>
      </c>
      <c r="AG23" s="106">
        <v>0</v>
      </c>
      <c r="AH23" s="106">
        <v>0</v>
      </c>
      <c r="AI23" s="106">
        <v>0</v>
      </c>
      <c r="AJ23" s="106">
        <v>0</v>
      </c>
      <c r="AK23" s="106">
        <v>0</v>
      </c>
      <c r="AL23" s="106">
        <v>266.67368489474097</v>
      </c>
      <c r="AM23" s="106">
        <v>0</v>
      </c>
      <c r="AN23" s="106">
        <v>0</v>
      </c>
      <c r="AO23" s="106">
        <v>0</v>
      </c>
      <c r="AP23" s="106">
        <v>0</v>
      </c>
      <c r="AQ23" s="107">
        <v>0</v>
      </c>
    </row>
    <row r="24" spans="2:43" ht="12" customHeight="1" x14ac:dyDescent="0.25">
      <c r="B24" s="105" t="s">
        <v>22</v>
      </c>
      <c r="C24" s="106" t="s">
        <v>39</v>
      </c>
      <c r="D24" s="106" t="s">
        <v>24</v>
      </c>
      <c r="E24" s="106" t="s">
        <v>24</v>
      </c>
      <c r="F24" s="106" t="s">
        <v>25</v>
      </c>
      <c r="G24" s="106" t="s">
        <v>37</v>
      </c>
      <c r="H24" s="106" t="s">
        <v>69</v>
      </c>
      <c r="I24" s="106" t="s">
        <v>25</v>
      </c>
      <c r="J24" s="106">
        <v>492.75</v>
      </c>
      <c r="K24" s="106">
        <v>266.67</v>
      </c>
      <c r="L24" s="106">
        <v>0</v>
      </c>
      <c r="M24" s="106">
        <v>2.1584583141570999</v>
      </c>
      <c r="N24" s="106">
        <v>0</v>
      </c>
      <c r="O24" s="106">
        <v>0</v>
      </c>
      <c r="P24" s="106">
        <v>0</v>
      </c>
      <c r="Q24" s="106">
        <v>40.926100920084302</v>
      </c>
      <c r="R24" s="106">
        <v>15.3315833288872</v>
      </c>
      <c r="S24" s="106">
        <v>0</v>
      </c>
      <c r="T24" s="106">
        <v>0</v>
      </c>
      <c r="U24" s="106">
        <v>0</v>
      </c>
      <c r="V24" s="106">
        <v>0</v>
      </c>
      <c r="W24" s="106">
        <v>0</v>
      </c>
      <c r="X24" s="106">
        <v>82.518259342068802</v>
      </c>
      <c r="Y24" s="106">
        <v>0</v>
      </c>
      <c r="Z24" s="106">
        <v>0</v>
      </c>
      <c r="AA24" s="106">
        <v>312.464032892859</v>
      </c>
      <c r="AB24" s="106">
        <v>0</v>
      </c>
      <c r="AC24" s="106">
        <v>0</v>
      </c>
      <c r="AD24" s="106">
        <v>39.353180627220297</v>
      </c>
      <c r="AE24" s="106">
        <v>0</v>
      </c>
      <c r="AF24" s="106">
        <v>0</v>
      </c>
      <c r="AG24" s="106">
        <v>0</v>
      </c>
      <c r="AH24" s="106">
        <v>0</v>
      </c>
      <c r="AI24" s="106">
        <v>0</v>
      </c>
      <c r="AJ24" s="106">
        <v>0</v>
      </c>
      <c r="AK24" s="106">
        <v>0</v>
      </c>
      <c r="AL24" s="106">
        <v>266.67368489474097</v>
      </c>
      <c r="AM24" s="106">
        <v>0</v>
      </c>
      <c r="AN24" s="106">
        <v>0</v>
      </c>
      <c r="AO24" s="106">
        <v>0</v>
      </c>
      <c r="AP24" s="106">
        <v>0</v>
      </c>
      <c r="AQ24" s="107">
        <v>0</v>
      </c>
    </row>
    <row r="25" spans="2:43" ht="12" customHeight="1" x14ac:dyDescent="0.25">
      <c r="B25" s="105" t="s">
        <v>22</v>
      </c>
      <c r="C25" s="106" t="s">
        <v>23</v>
      </c>
      <c r="D25" s="106" t="s">
        <v>24</v>
      </c>
      <c r="E25" s="106" t="s">
        <v>1182</v>
      </c>
      <c r="F25" s="106" t="s">
        <v>25</v>
      </c>
      <c r="G25" s="106" t="s">
        <v>25</v>
      </c>
      <c r="H25" s="106" t="s">
        <v>69</v>
      </c>
      <c r="I25" s="106" t="s">
        <v>25</v>
      </c>
      <c r="J25" s="106">
        <v>699.82</v>
      </c>
      <c r="K25" s="106">
        <v>266.67</v>
      </c>
      <c r="L25" s="106">
        <v>0</v>
      </c>
      <c r="M25" s="106">
        <v>2.1584583141570999</v>
      </c>
      <c r="N25" s="106">
        <v>0</v>
      </c>
      <c r="O25" s="106">
        <v>0</v>
      </c>
      <c r="P25" s="106">
        <v>0</v>
      </c>
      <c r="Q25" s="106">
        <v>0</v>
      </c>
      <c r="R25" s="106">
        <v>0</v>
      </c>
      <c r="S25" s="106">
        <v>0</v>
      </c>
      <c r="T25" s="106">
        <v>0</v>
      </c>
      <c r="U25" s="106">
        <v>0</v>
      </c>
      <c r="V25" s="106">
        <v>0</v>
      </c>
      <c r="W25" s="106">
        <v>0</v>
      </c>
      <c r="X25" s="106">
        <v>137.532309985616</v>
      </c>
      <c r="Y25" s="106">
        <v>0</v>
      </c>
      <c r="Z25" s="106">
        <v>0</v>
      </c>
      <c r="AA25" s="106">
        <v>520.77317647822804</v>
      </c>
      <c r="AB25" s="106">
        <v>0</v>
      </c>
      <c r="AC25" s="106">
        <v>0</v>
      </c>
      <c r="AD25" s="106">
        <v>39.353180627220297</v>
      </c>
      <c r="AE25" s="106">
        <v>0</v>
      </c>
      <c r="AF25" s="106">
        <v>0</v>
      </c>
      <c r="AG25" s="106">
        <v>0</v>
      </c>
      <c r="AH25" s="106">
        <v>0</v>
      </c>
      <c r="AI25" s="106">
        <v>0</v>
      </c>
      <c r="AJ25" s="106">
        <v>0</v>
      </c>
      <c r="AK25" s="106">
        <v>0</v>
      </c>
      <c r="AL25" s="106">
        <v>266.67368489474097</v>
      </c>
      <c r="AM25" s="106">
        <v>0</v>
      </c>
      <c r="AN25" s="106">
        <v>0</v>
      </c>
      <c r="AO25" s="106">
        <v>0</v>
      </c>
      <c r="AP25" s="106">
        <v>0</v>
      </c>
      <c r="AQ25" s="107">
        <v>0</v>
      </c>
    </row>
    <row r="26" spans="2:43" ht="12" customHeight="1" x14ac:dyDescent="0.25">
      <c r="B26" s="105" t="s">
        <v>22</v>
      </c>
      <c r="C26" s="106" t="s">
        <v>23</v>
      </c>
      <c r="D26" s="106" t="s">
        <v>24</v>
      </c>
      <c r="E26" s="106" t="s">
        <v>24</v>
      </c>
      <c r="F26" s="106" t="s">
        <v>25</v>
      </c>
      <c r="G26" s="106" t="s">
        <v>25</v>
      </c>
      <c r="H26" s="106" t="s">
        <v>69</v>
      </c>
      <c r="I26" s="106" t="s">
        <v>25</v>
      </c>
      <c r="J26" s="106">
        <v>756.07</v>
      </c>
      <c r="K26" s="106">
        <v>266.67</v>
      </c>
      <c r="L26" s="106">
        <v>0</v>
      </c>
      <c r="M26" s="106">
        <v>2.1584583141570999</v>
      </c>
      <c r="N26" s="106">
        <v>0</v>
      </c>
      <c r="O26" s="106">
        <v>0</v>
      </c>
      <c r="P26" s="106">
        <v>0</v>
      </c>
      <c r="Q26" s="106">
        <v>40.926100920084302</v>
      </c>
      <c r="R26" s="106">
        <v>15.3315833288872</v>
      </c>
      <c r="S26" s="106">
        <v>0</v>
      </c>
      <c r="T26" s="106">
        <v>0</v>
      </c>
      <c r="U26" s="106">
        <v>0</v>
      </c>
      <c r="V26" s="106">
        <v>0</v>
      </c>
      <c r="W26" s="106">
        <v>0</v>
      </c>
      <c r="X26" s="106">
        <v>137.532309985616</v>
      </c>
      <c r="Y26" s="106">
        <v>0</v>
      </c>
      <c r="Z26" s="106">
        <v>0</v>
      </c>
      <c r="AA26" s="106">
        <v>520.77317647822804</v>
      </c>
      <c r="AB26" s="106">
        <v>0</v>
      </c>
      <c r="AC26" s="106">
        <v>0</v>
      </c>
      <c r="AD26" s="106">
        <v>39.353180627220297</v>
      </c>
      <c r="AE26" s="106">
        <v>0</v>
      </c>
      <c r="AF26" s="106">
        <v>0</v>
      </c>
      <c r="AG26" s="106">
        <v>0</v>
      </c>
      <c r="AH26" s="106">
        <v>0</v>
      </c>
      <c r="AI26" s="106">
        <v>0</v>
      </c>
      <c r="AJ26" s="106">
        <v>0</v>
      </c>
      <c r="AK26" s="106">
        <v>0</v>
      </c>
      <c r="AL26" s="106">
        <v>266.67368489474097</v>
      </c>
      <c r="AM26" s="106">
        <v>0</v>
      </c>
      <c r="AN26" s="106">
        <v>0</v>
      </c>
      <c r="AO26" s="106">
        <v>0</v>
      </c>
      <c r="AP26" s="106">
        <v>0</v>
      </c>
      <c r="AQ26" s="107">
        <v>0</v>
      </c>
    </row>
    <row r="27" spans="2:43" ht="12" customHeight="1" x14ac:dyDescent="0.25">
      <c r="B27" s="105" t="s">
        <v>22</v>
      </c>
      <c r="C27" s="106" t="s">
        <v>85</v>
      </c>
      <c r="D27" s="106" t="s">
        <v>24</v>
      </c>
      <c r="E27" s="106" t="s">
        <v>1182</v>
      </c>
      <c r="F27" s="106" t="s">
        <v>25</v>
      </c>
      <c r="G27" s="106" t="s">
        <v>25</v>
      </c>
      <c r="H27" s="106" t="s">
        <v>69</v>
      </c>
      <c r="I27" s="106" t="s">
        <v>25</v>
      </c>
      <c r="J27" s="106">
        <v>699.82</v>
      </c>
      <c r="K27" s="106">
        <v>266.67</v>
      </c>
      <c r="L27" s="106">
        <v>0</v>
      </c>
      <c r="M27" s="106">
        <v>2.1584583141570999</v>
      </c>
      <c r="N27" s="106">
        <v>0</v>
      </c>
      <c r="O27" s="106">
        <v>0</v>
      </c>
      <c r="P27" s="106">
        <v>0</v>
      </c>
      <c r="Q27" s="106">
        <v>0</v>
      </c>
      <c r="R27" s="106">
        <v>0</v>
      </c>
      <c r="S27" s="106">
        <v>0</v>
      </c>
      <c r="T27" s="106">
        <v>0</v>
      </c>
      <c r="U27" s="106">
        <v>0</v>
      </c>
      <c r="V27" s="106">
        <v>0</v>
      </c>
      <c r="W27" s="106">
        <v>0</v>
      </c>
      <c r="X27" s="106">
        <v>137.532309985616</v>
      </c>
      <c r="Y27" s="106">
        <v>0</v>
      </c>
      <c r="Z27" s="106">
        <v>0</v>
      </c>
      <c r="AA27" s="106">
        <v>520.77317647822804</v>
      </c>
      <c r="AB27" s="106">
        <v>0</v>
      </c>
      <c r="AC27" s="106">
        <v>0</v>
      </c>
      <c r="AD27" s="106">
        <v>39.353180627220297</v>
      </c>
      <c r="AE27" s="106">
        <v>0</v>
      </c>
      <c r="AF27" s="106">
        <v>0</v>
      </c>
      <c r="AG27" s="106">
        <v>0</v>
      </c>
      <c r="AH27" s="106">
        <v>0</v>
      </c>
      <c r="AI27" s="106">
        <v>0</v>
      </c>
      <c r="AJ27" s="106">
        <v>0</v>
      </c>
      <c r="AK27" s="106">
        <v>0</v>
      </c>
      <c r="AL27" s="106">
        <v>266.67368489474097</v>
      </c>
      <c r="AM27" s="106">
        <v>0</v>
      </c>
      <c r="AN27" s="106">
        <v>0</v>
      </c>
      <c r="AO27" s="106">
        <v>0</v>
      </c>
      <c r="AP27" s="106">
        <v>0</v>
      </c>
      <c r="AQ27" s="107">
        <v>0</v>
      </c>
    </row>
    <row r="28" spans="2:43" ht="12" customHeight="1" x14ac:dyDescent="0.25">
      <c r="B28" s="105" t="s">
        <v>22</v>
      </c>
      <c r="C28" s="106" t="s">
        <v>85</v>
      </c>
      <c r="D28" s="106" t="s">
        <v>24</v>
      </c>
      <c r="E28" s="106" t="s">
        <v>24</v>
      </c>
      <c r="F28" s="106" t="s">
        <v>25</v>
      </c>
      <c r="G28" s="106" t="s">
        <v>25</v>
      </c>
      <c r="H28" s="106" t="s">
        <v>69</v>
      </c>
      <c r="I28" s="106" t="s">
        <v>25</v>
      </c>
      <c r="J28" s="106">
        <v>756.07</v>
      </c>
      <c r="K28" s="106">
        <v>266.67</v>
      </c>
      <c r="L28" s="106">
        <v>0</v>
      </c>
      <c r="M28" s="106">
        <v>2.1584583141570999</v>
      </c>
      <c r="N28" s="106">
        <v>0</v>
      </c>
      <c r="O28" s="106">
        <v>0</v>
      </c>
      <c r="P28" s="106">
        <v>0</v>
      </c>
      <c r="Q28" s="106">
        <v>40.926100920084302</v>
      </c>
      <c r="R28" s="106">
        <v>15.3315833288872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137.532309985616</v>
      </c>
      <c r="Y28" s="106">
        <v>0</v>
      </c>
      <c r="Z28" s="106">
        <v>0</v>
      </c>
      <c r="AA28" s="106">
        <v>520.77317647822804</v>
      </c>
      <c r="AB28" s="106">
        <v>0</v>
      </c>
      <c r="AC28" s="106">
        <v>0</v>
      </c>
      <c r="AD28" s="106">
        <v>39.353180627220297</v>
      </c>
      <c r="AE28" s="106">
        <v>0</v>
      </c>
      <c r="AF28" s="106">
        <v>0</v>
      </c>
      <c r="AG28" s="106">
        <v>0</v>
      </c>
      <c r="AH28" s="106">
        <v>0</v>
      </c>
      <c r="AI28" s="106">
        <v>0</v>
      </c>
      <c r="AJ28" s="106">
        <v>0</v>
      </c>
      <c r="AK28" s="106">
        <v>0</v>
      </c>
      <c r="AL28" s="106">
        <v>266.67368489474097</v>
      </c>
      <c r="AM28" s="106">
        <v>0</v>
      </c>
      <c r="AN28" s="106">
        <v>0</v>
      </c>
      <c r="AO28" s="106">
        <v>0</v>
      </c>
      <c r="AP28" s="106">
        <v>0</v>
      </c>
      <c r="AQ28" s="107">
        <v>0</v>
      </c>
    </row>
    <row r="29" spans="2:43" ht="12" customHeight="1" x14ac:dyDescent="0.25">
      <c r="B29" s="105" t="s">
        <v>41</v>
      </c>
      <c r="C29" s="106" t="s">
        <v>39</v>
      </c>
      <c r="D29" s="106" t="s">
        <v>42</v>
      </c>
      <c r="E29" s="106" t="s">
        <v>86</v>
      </c>
      <c r="F29" s="106" t="s">
        <v>25</v>
      </c>
      <c r="G29" s="106" t="s">
        <v>36</v>
      </c>
      <c r="H29" s="106" t="s">
        <v>69</v>
      </c>
      <c r="I29" s="106" t="s">
        <v>25</v>
      </c>
      <c r="J29" s="106">
        <v>1741.96</v>
      </c>
      <c r="K29" s="106">
        <v>250.67</v>
      </c>
      <c r="L29" s="106">
        <v>0</v>
      </c>
      <c r="M29" s="106">
        <v>2.0289508153076699</v>
      </c>
      <c r="N29" s="106">
        <v>0</v>
      </c>
      <c r="O29" s="106">
        <v>0</v>
      </c>
      <c r="P29" s="106">
        <v>0</v>
      </c>
      <c r="Q29" s="106">
        <v>38.470534864879198</v>
      </c>
      <c r="R29" s="106">
        <v>14.411688329154</v>
      </c>
      <c r="S29" s="106">
        <v>0</v>
      </c>
      <c r="T29" s="106">
        <v>0</v>
      </c>
      <c r="U29" s="106">
        <v>0</v>
      </c>
      <c r="V29" s="106">
        <v>0</v>
      </c>
      <c r="W29" s="106">
        <v>0</v>
      </c>
      <c r="X29" s="106">
        <v>344.72816756249699</v>
      </c>
      <c r="Y29" s="106">
        <v>0</v>
      </c>
      <c r="Z29" s="106">
        <v>0</v>
      </c>
      <c r="AA29" s="106">
        <v>1305.3262066693701</v>
      </c>
      <c r="AB29" s="106">
        <v>0</v>
      </c>
      <c r="AC29" s="106">
        <v>0</v>
      </c>
      <c r="AD29" s="106">
        <v>36.991989789587102</v>
      </c>
      <c r="AE29" s="106">
        <v>0</v>
      </c>
      <c r="AF29" s="106">
        <v>0</v>
      </c>
      <c r="AG29" s="106">
        <v>0</v>
      </c>
      <c r="AH29" s="106">
        <v>0</v>
      </c>
      <c r="AI29" s="106">
        <v>0</v>
      </c>
      <c r="AJ29" s="106">
        <v>0</v>
      </c>
      <c r="AK29" s="106">
        <v>0</v>
      </c>
      <c r="AL29" s="106">
        <v>250.673263801057</v>
      </c>
      <c r="AM29" s="106">
        <v>0</v>
      </c>
      <c r="AN29" s="106">
        <v>0</v>
      </c>
      <c r="AO29" s="106">
        <v>0</v>
      </c>
      <c r="AP29" s="106">
        <v>0</v>
      </c>
      <c r="AQ29" s="107">
        <v>0</v>
      </c>
    </row>
    <row r="30" spans="2:43" ht="12" customHeight="1" x14ac:dyDescent="0.25">
      <c r="B30" s="105" t="s">
        <v>41</v>
      </c>
      <c r="C30" s="106" t="s">
        <v>39</v>
      </c>
      <c r="D30" s="106" t="s">
        <v>42</v>
      </c>
      <c r="E30" s="106" t="s">
        <v>86</v>
      </c>
      <c r="F30" s="106" t="s">
        <v>25</v>
      </c>
      <c r="G30" s="106" t="s">
        <v>40</v>
      </c>
      <c r="H30" s="106" t="s">
        <v>69</v>
      </c>
      <c r="I30" s="106" t="s">
        <v>25</v>
      </c>
      <c r="J30" s="106">
        <v>1081.94</v>
      </c>
      <c r="K30" s="106">
        <v>250.67</v>
      </c>
      <c r="L30" s="106">
        <v>0</v>
      </c>
      <c r="M30" s="106">
        <v>2.0289508153076699</v>
      </c>
      <c r="N30" s="106">
        <v>0</v>
      </c>
      <c r="O30" s="106">
        <v>0</v>
      </c>
      <c r="P30" s="106">
        <v>0</v>
      </c>
      <c r="Q30" s="106">
        <v>38.470534864879198</v>
      </c>
      <c r="R30" s="106">
        <v>14.411688329154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206.83782720654801</v>
      </c>
      <c r="Y30" s="106">
        <v>0</v>
      </c>
      <c r="Z30" s="106">
        <v>0</v>
      </c>
      <c r="AA30" s="106">
        <v>783.19546135337396</v>
      </c>
      <c r="AB30" s="106">
        <v>0</v>
      </c>
      <c r="AC30" s="106">
        <v>0</v>
      </c>
      <c r="AD30" s="106">
        <v>36.991989789587102</v>
      </c>
      <c r="AE30" s="106">
        <v>0</v>
      </c>
      <c r="AF30" s="106">
        <v>0</v>
      </c>
      <c r="AG30" s="106">
        <v>0</v>
      </c>
      <c r="AH30" s="106">
        <v>0</v>
      </c>
      <c r="AI30" s="106">
        <v>0</v>
      </c>
      <c r="AJ30" s="106">
        <v>0</v>
      </c>
      <c r="AK30" s="106">
        <v>0</v>
      </c>
      <c r="AL30" s="106">
        <v>250.673263801057</v>
      </c>
      <c r="AM30" s="106">
        <v>0</v>
      </c>
      <c r="AN30" s="106">
        <v>0</v>
      </c>
      <c r="AO30" s="106">
        <v>0</v>
      </c>
      <c r="AP30" s="106">
        <v>0</v>
      </c>
      <c r="AQ30" s="107">
        <v>0</v>
      </c>
    </row>
    <row r="31" spans="2:43" ht="12" customHeight="1" x14ac:dyDescent="0.25">
      <c r="B31" s="105" t="s">
        <v>41</v>
      </c>
      <c r="C31" s="106" t="s">
        <v>39</v>
      </c>
      <c r="D31" s="106" t="s">
        <v>42</v>
      </c>
      <c r="E31" s="106" t="s">
        <v>86</v>
      </c>
      <c r="F31" s="106" t="s">
        <v>25</v>
      </c>
      <c r="G31" s="106" t="s">
        <v>37</v>
      </c>
      <c r="H31" s="106" t="s">
        <v>69</v>
      </c>
      <c r="I31" s="106" t="s">
        <v>25</v>
      </c>
      <c r="J31" s="106">
        <v>421.92</v>
      </c>
      <c r="K31" s="106">
        <v>250.67</v>
      </c>
      <c r="L31" s="106">
        <v>0</v>
      </c>
      <c r="M31" s="106">
        <v>2.0289508153076699</v>
      </c>
      <c r="N31" s="106">
        <v>0</v>
      </c>
      <c r="O31" s="106">
        <v>0</v>
      </c>
      <c r="P31" s="106">
        <v>0</v>
      </c>
      <c r="Q31" s="106">
        <v>38.470534864879198</v>
      </c>
      <c r="R31" s="106">
        <v>14.411688329154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68.947597168343293</v>
      </c>
      <c r="Y31" s="106">
        <v>0</v>
      </c>
      <c r="Z31" s="106">
        <v>0</v>
      </c>
      <c r="AA31" s="106">
        <v>261.06543235077999</v>
      </c>
      <c r="AB31" s="106">
        <v>0</v>
      </c>
      <c r="AC31" s="106">
        <v>0</v>
      </c>
      <c r="AD31" s="106">
        <v>36.991989789587102</v>
      </c>
      <c r="AE31" s="106">
        <v>0</v>
      </c>
      <c r="AF31" s="106">
        <v>0</v>
      </c>
      <c r="AG31" s="106">
        <v>0</v>
      </c>
      <c r="AH31" s="106">
        <v>0</v>
      </c>
      <c r="AI31" s="106">
        <v>0</v>
      </c>
      <c r="AJ31" s="106">
        <v>0</v>
      </c>
      <c r="AK31" s="106">
        <v>0</v>
      </c>
      <c r="AL31" s="106">
        <v>250.673263801057</v>
      </c>
      <c r="AM31" s="106">
        <v>0</v>
      </c>
      <c r="AN31" s="106">
        <v>0</v>
      </c>
      <c r="AO31" s="106">
        <v>0</v>
      </c>
      <c r="AP31" s="106">
        <v>0</v>
      </c>
      <c r="AQ31" s="107">
        <v>0</v>
      </c>
    </row>
    <row r="32" spans="2:43" ht="12" customHeight="1" x14ac:dyDescent="0.25">
      <c r="B32" s="105" t="s">
        <v>41</v>
      </c>
      <c r="C32" s="106" t="s">
        <v>39</v>
      </c>
      <c r="D32" s="106" t="s">
        <v>42</v>
      </c>
      <c r="E32" s="106" t="s">
        <v>25</v>
      </c>
      <c r="F32" s="106" t="s">
        <v>25</v>
      </c>
      <c r="G32" s="106" t="s">
        <v>36</v>
      </c>
      <c r="H32" s="106" t="s">
        <v>69</v>
      </c>
      <c r="I32" s="106" t="s">
        <v>25</v>
      </c>
      <c r="J32" s="106">
        <v>1741.96</v>
      </c>
      <c r="K32" s="106">
        <v>250.67</v>
      </c>
      <c r="L32" s="106">
        <v>0</v>
      </c>
      <c r="M32" s="106">
        <v>2.0289508153076699</v>
      </c>
      <c r="N32" s="106">
        <v>0</v>
      </c>
      <c r="O32" s="106">
        <v>0</v>
      </c>
      <c r="P32" s="106">
        <v>0</v>
      </c>
      <c r="Q32" s="106">
        <v>38.470534864879198</v>
      </c>
      <c r="R32" s="106">
        <v>14.411688329154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344.72816756249699</v>
      </c>
      <c r="Y32" s="106">
        <v>0</v>
      </c>
      <c r="Z32" s="106">
        <v>0</v>
      </c>
      <c r="AA32" s="106">
        <v>1305.3262066693701</v>
      </c>
      <c r="AB32" s="106">
        <v>0</v>
      </c>
      <c r="AC32" s="106">
        <v>0</v>
      </c>
      <c r="AD32" s="106">
        <v>36.991989789587102</v>
      </c>
      <c r="AE32" s="106">
        <v>0</v>
      </c>
      <c r="AF32" s="106">
        <v>0</v>
      </c>
      <c r="AG32" s="106">
        <v>0</v>
      </c>
      <c r="AH32" s="106">
        <v>0</v>
      </c>
      <c r="AI32" s="106">
        <v>0</v>
      </c>
      <c r="AJ32" s="106">
        <v>0</v>
      </c>
      <c r="AK32" s="106">
        <v>0</v>
      </c>
      <c r="AL32" s="106">
        <v>250.673263801057</v>
      </c>
      <c r="AM32" s="106">
        <v>0</v>
      </c>
      <c r="AN32" s="106">
        <v>0</v>
      </c>
      <c r="AO32" s="106">
        <v>0</v>
      </c>
      <c r="AP32" s="106">
        <v>0</v>
      </c>
      <c r="AQ32" s="107">
        <v>0</v>
      </c>
    </row>
    <row r="33" spans="2:43" ht="12" customHeight="1" x14ac:dyDescent="0.25">
      <c r="B33" s="105" t="s">
        <v>41</v>
      </c>
      <c r="C33" s="106" t="s">
        <v>39</v>
      </c>
      <c r="D33" s="106" t="s">
        <v>42</v>
      </c>
      <c r="E33" s="106" t="s">
        <v>25</v>
      </c>
      <c r="F33" s="106" t="s">
        <v>25</v>
      </c>
      <c r="G33" s="106" t="s">
        <v>40</v>
      </c>
      <c r="H33" s="106" t="s">
        <v>69</v>
      </c>
      <c r="I33" s="106" t="s">
        <v>25</v>
      </c>
      <c r="J33" s="106">
        <v>1081.94</v>
      </c>
      <c r="K33" s="106">
        <v>250.67</v>
      </c>
      <c r="L33" s="106">
        <v>0</v>
      </c>
      <c r="M33" s="106">
        <v>2.0289508153076699</v>
      </c>
      <c r="N33" s="106">
        <v>0</v>
      </c>
      <c r="O33" s="106">
        <v>0</v>
      </c>
      <c r="P33" s="106">
        <v>0</v>
      </c>
      <c r="Q33" s="106">
        <v>38.470534864879198</v>
      </c>
      <c r="R33" s="106">
        <v>14.411688329154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206.83782720654801</v>
      </c>
      <c r="Y33" s="106">
        <v>0</v>
      </c>
      <c r="Z33" s="106">
        <v>0</v>
      </c>
      <c r="AA33" s="106">
        <v>783.19546135337396</v>
      </c>
      <c r="AB33" s="106">
        <v>0</v>
      </c>
      <c r="AC33" s="106">
        <v>0</v>
      </c>
      <c r="AD33" s="106">
        <v>36.991989789587102</v>
      </c>
      <c r="AE33" s="106">
        <v>0</v>
      </c>
      <c r="AF33" s="106">
        <v>0</v>
      </c>
      <c r="AG33" s="106">
        <v>0</v>
      </c>
      <c r="AH33" s="106">
        <v>0</v>
      </c>
      <c r="AI33" s="106">
        <v>0</v>
      </c>
      <c r="AJ33" s="106">
        <v>0</v>
      </c>
      <c r="AK33" s="106">
        <v>0</v>
      </c>
      <c r="AL33" s="106">
        <v>250.673263801057</v>
      </c>
      <c r="AM33" s="106">
        <v>0</v>
      </c>
      <c r="AN33" s="106">
        <v>0</v>
      </c>
      <c r="AO33" s="106">
        <v>0</v>
      </c>
      <c r="AP33" s="106">
        <v>0</v>
      </c>
      <c r="AQ33" s="107">
        <v>0</v>
      </c>
    </row>
    <row r="34" spans="2:43" ht="12" customHeight="1" x14ac:dyDescent="0.25">
      <c r="B34" s="105" t="s">
        <v>41</v>
      </c>
      <c r="C34" s="106" t="s">
        <v>39</v>
      </c>
      <c r="D34" s="106" t="s">
        <v>42</v>
      </c>
      <c r="E34" s="106" t="s">
        <v>25</v>
      </c>
      <c r="F34" s="106" t="s">
        <v>25</v>
      </c>
      <c r="G34" s="106" t="s">
        <v>37</v>
      </c>
      <c r="H34" s="106" t="s">
        <v>69</v>
      </c>
      <c r="I34" s="106" t="s">
        <v>25</v>
      </c>
      <c r="J34" s="106">
        <v>421.92</v>
      </c>
      <c r="K34" s="106">
        <v>250.67</v>
      </c>
      <c r="L34" s="106">
        <v>0</v>
      </c>
      <c r="M34" s="106">
        <v>2.0289508153076699</v>
      </c>
      <c r="N34" s="106">
        <v>0</v>
      </c>
      <c r="O34" s="106">
        <v>0</v>
      </c>
      <c r="P34" s="106">
        <v>0</v>
      </c>
      <c r="Q34" s="106">
        <v>38.470534864879198</v>
      </c>
      <c r="R34" s="106">
        <v>14.411688329154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68.947597168343293</v>
      </c>
      <c r="Y34" s="106">
        <v>0</v>
      </c>
      <c r="Z34" s="106">
        <v>0</v>
      </c>
      <c r="AA34" s="106">
        <v>261.06543235077999</v>
      </c>
      <c r="AB34" s="106">
        <v>0</v>
      </c>
      <c r="AC34" s="106">
        <v>0</v>
      </c>
      <c r="AD34" s="106">
        <v>36.991989789587102</v>
      </c>
      <c r="AE34" s="106">
        <v>0</v>
      </c>
      <c r="AF34" s="106">
        <v>0</v>
      </c>
      <c r="AG34" s="106">
        <v>0</v>
      </c>
      <c r="AH34" s="106">
        <v>0</v>
      </c>
      <c r="AI34" s="106">
        <v>0</v>
      </c>
      <c r="AJ34" s="106">
        <v>0</v>
      </c>
      <c r="AK34" s="106">
        <v>0</v>
      </c>
      <c r="AL34" s="106">
        <v>250.673263801057</v>
      </c>
      <c r="AM34" s="106">
        <v>0</v>
      </c>
      <c r="AN34" s="106">
        <v>0</v>
      </c>
      <c r="AO34" s="106">
        <v>0</v>
      </c>
      <c r="AP34" s="106">
        <v>0</v>
      </c>
      <c r="AQ34" s="107">
        <v>0</v>
      </c>
    </row>
    <row r="35" spans="2:43" ht="12" customHeight="1" x14ac:dyDescent="0.25">
      <c r="B35" s="105" t="s">
        <v>41</v>
      </c>
      <c r="C35" s="106" t="s">
        <v>39</v>
      </c>
      <c r="D35" s="106" t="s">
        <v>42</v>
      </c>
      <c r="E35" s="106" t="s">
        <v>87</v>
      </c>
      <c r="F35" s="106" t="s">
        <v>25</v>
      </c>
      <c r="G35" s="106" t="s">
        <v>36</v>
      </c>
      <c r="H35" s="106" t="s">
        <v>69</v>
      </c>
      <c r="I35" s="106" t="s">
        <v>25</v>
      </c>
      <c r="J35" s="106">
        <v>1704.89</v>
      </c>
      <c r="K35" s="106">
        <v>245.34</v>
      </c>
      <c r="L35" s="106">
        <v>0</v>
      </c>
      <c r="M35" s="106">
        <v>1.9857816490245299</v>
      </c>
      <c r="N35" s="106">
        <v>0</v>
      </c>
      <c r="O35" s="106">
        <v>0</v>
      </c>
      <c r="P35" s="106">
        <v>0</v>
      </c>
      <c r="Q35" s="106">
        <v>37.652012846477497</v>
      </c>
      <c r="R35" s="106">
        <v>14.105056662576301</v>
      </c>
      <c r="S35" s="106">
        <v>0</v>
      </c>
      <c r="T35" s="106">
        <v>0</v>
      </c>
      <c r="U35" s="106">
        <v>0</v>
      </c>
      <c r="V35" s="106">
        <v>0</v>
      </c>
      <c r="W35" s="106">
        <v>0</v>
      </c>
      <c r="X35" s="106">
        <v>337.39352569946499</v>
      </c>
      <c r="Y35" s="106">
        <v>0</v>
      </c>
      <c r="Z35" s="106">
        <v>0</v>
      </c>
      <c r="AA35" s="106">
        <v>1277.55330865513</v>
      </c>
      <c r="AB35" s="106">
        <v>0</v>
      </c>
      <c r="AC35" s="106">
        <v>0</v>
      </c>
      <c r="AD35" s="106">
        <v>36.204926177042701</v>
      </c>
      <c r="AE35" s="106">
        <v>0</v>
      </c>
      <c r="AF35" s="106">
        <v>0</v>
      </c>
      <c r="AG35" s="106">
        <v>0</v>
      </c>
      <c r="AH35" s="106">
        <v>0</v>
      </c>
      <c r="AI35" s="106">
        <v>0</v>
      </c>
      <c r="AJ35" s="106">
        <v>0</v>
      </c>
      <c r="AK35" s="106">
        <v>0</v>
      </c>
      <c r="AL35" s="106">
        <v>245.33979010316199</v>
      </c>
      <c r="AM35" s="106">
        <v>0</v>
      </c>
      <c r="AN35" s="106">
        <v>0</v>
      </c>
      <c r="AO35" s="106">
        <v>0</v>
      </c>
      <c r="AP35" s="106">
        <v>0</v>
      </c>
      <c r="AQ35" s="107">
        <v>0</v>
      </c>
    </row>
    <row r="36" spans="2:43" ht="12" customHeight="1" x14ac:dyDescent="0.25">
      <c r="B36" s="105" t="s">
        <v>41</v>
      </c>
      <c r="C36" s="106" t="s">
        <v>39</v>
      </c>
      <c r="D36" s="106" t="s">
        <v>42</v>
      </c>
      <c r="E36" s="106" t="s">
        <v>87</v>
      </c>
      <c r="F36" s="106" t="s">
        <v>25</v>
      </c>
      <c r="G36" s="106" t="s">
        <v>40</v>
      </c>
      <c r="H36" s="106" t="s">
        <v>69</v>
      </c>
      <c r="I36" s="106" t="s">
        <v>25</v>
      </c>
      <c r="J36" s="106">
        <v>1058.92</v>
      </c>
      <c r="K36" s="106">
        <v>245.34</v>
      </c>
      <c r="L36" s="106">
        <v>0</v>
      </c>
      <c r="M36" s="106">
        <v>1.9857816490245299</v>
      </c>
      <c r="N36" s="106">
        <v>0</v>
      </c>
      <c r="O36" s="106">
        <v>0</v>
      </c>
      <c r="P36" s="106">
        <v>0</v>
      </c>
      <c r="Q36" s="106">
        <v>37.652012846477497</v>
      </c>
      <c r="R36" s="106">
        <v>14.105056662576301</v>
      </c>
      <c r="S36" s="106">
        <v>0</v>
      </c>
      <c r="T36" s="106">
        <v>0</v>
      </c>
      <c r="U36" s="106">
        <v>0</v>
      </c>
      <c r="V36" s="106">
        <v>0</v>
      </c>
      <c r="W36" s="106">
        <v>0</v>
      </c>
      <c r="X36" s="106">
        <v>202.43702237236599</v>
      </c>
      <c r="Y36" s="106">
        <v>0</v>
      </c>
      <c r="Z36" s="106">
        <v>0</v>
      </c>
      <c r="AA36" s="106">
        <v>766.53172813309004</v>
      </c>
      <c r="AB36" s="106">
        <v>0</v>
      </c>
      <c r="AC36" s="106">
        <v>0</v>
      </c>
      <c r="AD36" s="106">
        <v>36.204926177042701</v>
      </c>
      <c r="AE36" s="106">
        <v>0</v>
      </c>
      <c r="AF36" s="106">
        <v>0</v>
      </c>
      <c r="AG36" s="106">
        <v>0</v>
      </c>
      <c r="AH36" s="106">
        <v>0</v>
      </c>
      <c r="AI36" s="106">
        <v>0</v>
      </c>
      <c r="AJ36" s="106">
        <v>0</v>
      </c>
      <c r="AK36" s="106">
        <v>0</v>
      </c>
      <c r="AL36" s="106">
        <v>245.33979010316199</v>
      </c>
      <c r="AM36" s="106">
        <v>0</v>
      </c>
      <c r="AN36" s="106">
        <v>0</v>
      </c>
      <c r="AO36" s="106">
        <v>0</v>
      </c>
      <c r="AP36" s="106">
        <v>0</v>
      </c>
      <c r="AQ36" s="107">
        <v>0</v>
      </c>
    </row>
    <row r="37" spans="2:43" ht="12" customHeight="1" x14ac:dyDescent="0.25">
      <c r="B37" s="105" t="s">
        <v>41</v>
      </c>
      <c r="C37" s="106" t="s">
        <v>39</v>
      </c>
      <c r="D37" s="106" t="s">
        <v>42</v>
      </c>
      <c r="E37" s="106" t="s">
        <v>87</v>
      </c>
      <c r="F37" s="106" t="s">
        <v>25</v>
      </c>
      <c r="G37" s="106" t="s">
        <v>37</v>
      </c>
      <c r="H37" s="106" t="s">
        <v>69</v>
      </c>
      <c r="I37" s="106" t="s">
        <v>25</v>
      </c>
      <c r="J37" s="106">
        <v>412.94</v>
      </c>
      <c r="K37" s="106">
        <v>245.34</v>
      </c>
      <c r="L37" s="106">
        <v>0</v>
      </c>
      <c r="M37" s="106">
        <v>1.9857816490245299</v>
      </c>
      <c r="N37" s="106">
        <v>0</v>
      </c>
      <c r="O37" s="106">
        <v>0</v>
      </c>
      <c r="P37" s="106">
        <v>0</v>
      </c>
      <c r="Q37" s="106">
        <v>37.652012846477497</v>
      </c>
      <c r="R37" s="106">
        <v>14.105056662576301</v>
      </c>
      <c r="S37" s="106">
        <v>0</v>
      </c>
      <c r="T37" s="106">
        <v>0</v>
      </c>
      <c r="U37" s="106">
        <v>0</v>
      </c>
      <c r="V37" s="106">
        <v>0</v>
      </c>
      <c r="W37" s="106">
        <v>0</v>
      </c>
      <c r="X37" s="106">
        <v>67.480627015825405</v>
      </c>
      <c r="Y37" s="106">
        <v>0</v>
      </c>
      <c r="Z37" s="106">
        <v>0</v>
      </c>
      <c r="AA37" s="106">
        <v>255.51084868374201</v>
      </c>
      <c r="AB37" s="106">
        <v>0</v>
      </c>
      <c r="AC37" s="106">
        <v>0</v>
      </c>
      <c r="AD37" s="106">
        <v>36.204926177042701</v>
      </c>
      <c r="AE37" s="106">
        <v>0</v>
      </c>
      <c r="AF37" s="106">
        <v>0</v>
      </c>
      <c r="AG37" s="106">
        <v>0</v>
      </c>
      <c r="AH37" s="106">
        <v>0</v>
      </c>
      <c r="AI37" s="106">
        <v>0</v>
      </c>
      <c r="AJ37" s="106">
        <v>0</v>
      </c>
      <c r="AK37" s="106">
        <v>0</v>
      </c>
      <c r="AL37" s="106">
        <v>245.33979010316199</v>
      </c>
      <c r="AM37" s="106">
        <v>0</v>
      </c>
      <c r="AN37" s="106">
        <v>0</v>
      </c>
      <c r="AO37" s="106">
        <v>0</v>
      </c>
      <c r="AP37" s="106">
        <v>0</v>
      </c>
      <c r="AQ37" s="107">
        <v>0</v>
      </c>
    </row>
    <row r="38" spans="2:43" ht="12" customHeight="1" x14ac:dyDescent="0.25">
      <c r="B38" s="105" t="s">
        <v>41</v>
      </c>
      <c r="C38" s="106" t="s">
        <v>23</v>
      </c>
      <c r="D38" s="106" t="s">
        <v>42</v>
      </c>
      <c r="E38" s="106" t="s">
        <v>86</v>
      </c>
      <c r="F38" s="106" t="s">
        <v>25</v>
      </c>
      <c r="G38" s="106" t="s">
        <v>25</v>
      </c>
      <c r="H38" s="106" t="s">
        <v>69</v>
      </c>
      <c r="I38" s="106" t="s">
        <v>25</v>
      </c>
      <c r="J38" s="106">
        <v>710.71</v>
      </c>
      <c r="K38" s="106">
        <v>250.67</v>
      </c>
      <c r="L38" s="106">
        <v>0</v>
      </c>
      <c r="M38" s="106">
        <v>2.0289508153076699</v>
      </c>
      <c r="N38" s="106">
        <v>0</v>
      </c>
      <c r="O38" s="106">
        <v>0</v>
      </c>
      <c r="P38" s="106">
        <v>0</v>
      </c>
      <c r="Q38" s="106">
        <v>38.470534864879198</v>
      </c>
      <c r="R38" s="106">
        <v>14.411688329154</v>
      </c>
      <c r="S38" s="106">
        <v>0</v>
      </c>
      <c r="T38" s="106">
        <v>0</v>
      </c>
      <c r="U38" s="106">
        <v>0</v>
      </c>
      <c r="V38" s="106">
        <v>0</v>
      </c>
      <c r="W38" s="106">
        <v>0</v>
      </c>
      <c r="X38" s="106">
        <v>129.280371386479</v>
      </c>
      <c r="Y38" s="106">
        <v>0</v>
      </c>
      <c r="Z38" s="106">
        <v>0</v>
      </c>
      <c r="AA38" s="106">
        <v>489.52678588953398</v>
      </c>
      <c r="AB38" s="106">
        <v>0</v>
      </c>
      <c r="AC38" s="106">
        <v>0</v>
      </c>
      <c r="AD38" s="106">
        <v>36.991989789587102</v>
      </c>
      <c r="AE38" s="106">
        <v>0</v>
      </c>
      <c r="AF38" s="106">
        <v>0</v>
      </c>
      <c r="AG38" s="106">
        <v>0</v>
      </c>
      <c r="AH38" s="106">
        <v>0</v>
      </c>
      <c r="AI38" s="106">
        <v>0</v>
      </c>
      <c r="AJ38" s="106">
        <v>0</v>
      </c>
      <c r="AK38" s="106">
        <v>0</v>
      </c>
      <c r="AL38" s="106">
        <v>250.673263801057</v>
      </c>
      <c r="AM38" s="106">
        <v>0</v>
      </c>
      <c r="AN38" s="106">
        <v>0</v>
      </c>
      <c r="AO38" s="106">
        <v>0</v>
      </c>
      <c r="AP38" s="106">
        <v>0</v>
      </c>
      <c r="AQ38" s="107">
        <v>0</v>
      </c>
    </row>
    <row r="39" spans="2:43" ht="12" customHeight="1" x14ac:dyDescent="0.25">
      <c r="B39" s="105" t="s">
        <v>41</v>
      </c>
      <c r="C39" s="106" t="s">
        <v>23</v>
      </c>
      <c r="D39" s="106" t="s">
        <v>42</v>
      </c>
      <c r="E39" s="106" t="s">
        <v>25</v>
      </c>
      <c r="F39" s="106" t="s">
        <v>25</v>
      </c>
      <c r="G39" s="106" t="s">
        <v>25</v>
      </c>
      <c r="H39" s="106" t="s">
        <v>69</v>
      </c>
      <c r="I39" s="106" t="s">
        <v>25</v>
      </c>
      <c r="J39" s="106">
        <v>710.71</v>
      </c>
      <c r="K39" s="106">
        <v>250.67</v>
      </c>
      <c r="L39" s="106">
        <v>0</v>
      </c>
      <c r="M39" s="106">
        <v>2.0289508153076699</v>
      </c>
      <c r="N39" s="106">
        <v>0</v>
      </c>
      <c r="O39" s="106">
        <v>0</v>
      </c>
      <c r="P39" s="106">
        <v>0</v>
      </c>
      <c r="Q39" s="106">
        <v>38.470534864879198</v>
      </c>
      <c r="R39" s="106">
        <v>14.411688329154</v>
      </c>
      <c r="S39" s="106">
        <v>0</v>
      </c>
      <c r="T39" s="106">
        <v>0</v>
      </c>
      <c r="U39" s="106">
        <v>0</v>
      </c>
      <c r="V39" s="106">
        <v>0</v>
      </c>
      <c r="W39" s="106">
        <v>0</v>
      </c>
      <c r="X39" s="106">
        <v>129.280371386479</v>
      </c>
      <c r="Y39" s="106">
        <v>0</v>
      </c>
      <c r="Z39" s="106">
        <v>0</v>
      </c>
      <c r="AA39" s="106">
        <v>489.52678588953398</v>
      </c>
      <c r="AB39" s="106">
        <v>0</v>
      </c>
      <c r="AC39" s="106">
        <v>0</v>
      </c>
      <c r="AD39" s="106">
        <v>36.991989789587102</v>
      </c>
      <c r="AE39" s="106">
        <v>0</v>
      </c>
      <c r="AF39" s="106">
        <v>0</v>
      </c>
      <c r="AG39" s="106">
        <v>0</v>
      </c>
      <c r="AH39" s="106">
        <v>0</v>
      </c>
      <c r="AI39" s="106">
        <v>0</v>
      </c>
      <c r="AJ39" s="106">
        <v>0</v>
      </c>
      <c r="AK39" s="106">
        <v>0</v>
      </c>
      <c r="AL39" s="106">
        <v>250.673263801057</v>
      </c>
      <c r="AM39" s="106">
        <v>0</v>
      </c>
      <c r="AN39" s="106">
        <v>0</v>
      </c>
      <c r="AO39" s="106">
        <v>0</v>
      </c>
      <c r="AP39" s="106">
        <v>0</v>
      </c>
      <c r="AQ39" s="107">
        <v>0</v>
      </c>
    </row>
    <row r="40" spans="2:43" ht="12" customHeight="1" x14ac:dyDescent="0.25">
      <c r="B40" s="105" t="s">
        <v>41</v>
      </c>
      <c r="C40" s="106" t="s">
        <v>23</v>
      </c>
      <c r="D40" s="106" t="s">
        <v>42</v>
      </c>
      <c r="E40" s="106" t="s">
        <v>87</v>
      </c>
      <c r="F40" s="106" t="s">
        <v>25</v>
      </c>
      <c r="G40" s="106" t="s">
        <v>25</v>
      </c>
      <c r="H40" s="106" t="s">
        <v>69</v>
      </c>
      <c r="I40" s="106" t="s">
        <v>25</v>
      </c>
      <c r="J40" s="106">
        <v>695.59</v>
      </c>
      <c r="K40" s="106">
        <v>245.34</v>
      </c>
      <c r="L40" s="106">
        <v>0</v>
      </c>
      <c r="M40" s="106">
        <v>1.9857816490245299</v>
      </c>
      <c r="N40" s="106">
        <v>0</v>
      </c>
      <c r="O40" s="106">
        <v>0</v>
      </c>
      <c r="P40" s="106">
        <v>0</v>
      </c>
      <c r="Q40" s="106">
        <v>37.652012846477497</v>
      </c>
      <c r="R40" s="106">
        <v>14.105056662576301</v>
      </c>
      <c r="S40" s="106">
        <v>0</v>
      </c>
      <c r="T40" s="106">
        <v>0</v>
      </c>
      <c r="U40" s="106">
        <v>0</v>
      </c>
      <c r="V40" s="106">
        <v>0</v>
      </c>
      <c r="W40" s="106">
        <v>0</v>
      </c>
      <c r="X40" s="106">
        <v>126.529725186767</v>
      </c>
      <c r="Y40" s="106">
        <v>0</v>
      </c>
      <c r="Z40" s="106">
        <v>0</v>
      </c>
      <c r="AA40" s="106">
        <v>479.11132235997002</v>
      </c>
      <c r="AB40" s="106">
        <v>0</v>
      </c>
      <c r="AC40" s="106">
        <v>0</v>
      </c>
      <c r="AD40" s="106">
        <v>36.204926177042701</v>
      </c>
      <c r="AE40" s="106">
        <v>0</v>
      </c>
      <c r="AF40" s="106">
        <v>0</v>
      </c>
      <c r="AG40" s="106">
        <v>0</v>
      </c>
      <c r="AH40" s="106">
        <v>0</v>
      </c>
      <c r="AI40" s="106">
        <v>0</v>
      </c>
      <c r="AJ40" s="106">
        <v>0</v>
      </c>
      <c r="AK40" s="106">
        <v>0</v>
      </c>
      <c r="AL40" s="106">
        <v>245.33979010316199</v>
      </c>
      <c r="AM40" s="106">
        <v>0</v>
      </c>
      <c r="AN40" s="106">
        <v>0</v>
      </c>
      <c r="AO40" s="106">
        <v>0</v>
      </c>
      <c r="AP40" s="106">
        <v>0</v>
      </c>
      <c r="AQ40" s="107">
        <v>0</v>
      </c>
    </row>
    <row r="41" spans="2:43" ht="12" customHeight="1" x14ac:dyDescent="0.25">
      <c r="B41" s="105" t="s">
        <v>41</v>
      </c>
      <c r="C41" s="106" t="s">
        <v>85</v>
      </c>
      <c r="D41" s="106" t="s">
        <v>42</v>
      </c>
      <c r="E41" s="106" t="s">
        <v>86</v>
      </c>
      <c r="F41" s="106" t="s">
        <v>25</v>
      </c>
      <c r="G41" s="106" t="s">
        <v>25</v>
      </c>
      <c r="H41" s="106" t="s">
        <v>69</v>
      </c>
      <c r="I41" s="106" t="s">
        <v>25</v>
      </c>
      <c r="J41" s="106">
        <v>710.71</v>
      </c>
      <c r="K41" s="106">
        <v>250.67</v>
      </c>
      <c r="L41" s="106">
        <v>0</v>
      </c>
      <c r="M41" s="106">
        <v>2.0289508153076699</v>
      </c>
      <c r="N41" s="106">
        <v>0</v>
      </c>
      <c r="O41" s="106">
        <v>0</v>
      </c>
      <c r="P41" s="106">
        <v>0</v>
      </c>
      <c r="Q41" s="106">
        <v>38.470534864879198</v>
      </c>
      <c r="R41" s="106">
        <v>14.411688329154</v>
      </c>
      <c r="S41" s="106">
        <v>0</v>
      </c>
      <c r="T41" s="106">
        <v>0</v>
      </c>
      <c r="U41" s="106">
        <v>0</v>
      </c>
      <c r="V41" s="106">
        <v>0</v>
      </c>
      <c r="W41" s="106">
        <v>0</v>
      </c>
      <c r="X41" s="106">
        <v>129.280371386479</v>
      </c>
      <c r="Y41" s="106">
        <v>0</v>
      </c>
      <c r="Z41" s="106">
        <v>0</v>
      </c>
      <c r="AA41" s="106">
        <v>489.52678588953398</v>
      </c>
      <c r="AB41" s="106">
        <v>0</v>
      </c>
      <c r="AC41" s="106">
        <v>0</v>
      </c>
      <c r="AD41" s="106">
        <v>36.991989789587102</v>
      </c>
      <c r="AE41" s="106">
        <v>0</v>
      </c>
      <c r="AF41" s="106">
        <v>0</v>
      </c>
      <c r="AG41" s="106">
        <v>0</v>
      </c>
      <c r="AH41" s="106">
        <v>0</v>
      </c>
      <c r="AI41" s="106">
        <v>0</v>
      </c>
      <c r="AJ41" s="106">
        <v>0</v>
      </c>
      <c r="AK41" s="106">
        <v>0</v>
      </c>
      <c r="AL41" s="106">
        <v>250.673263801057</v>
      </c>
      <c r="AM41" s="106">
        <v>0</v>
      </c>
      <c r="AN41" s="106">
        <v>0</v>
      </c>
      <c r="AO41" s="106">
        <v>0</v>
      </c>
      <c r="AP41" s="106">
        <v>0</v>
      </c>
      <c r="AQ41" s="107">
        <v>0</v>
      </c>
    </row>
    <row r="42" spans="2:43" ht="12" customHeight="1" x14ac:dyDescent="0.25">
      <c r="B42" s="105" t="s">
        <v>41</v>
      </c>
      <c r="C42" s="106" t="s">
        <v>85</v>
      </c>
      <c r="D42" s="106" t="s">
        <v>42</v>
      </c>
      <c r="E42" s="106" t="s">
        <v>25</v>
      </c>
      <c r="F42" s="106" t="s">
        <v>25</v>
      </c>
      <c r="G42" s="106" t="s">
        <v>25</v>
      </c>
      <c r="H42" s="106" t="s">
        <v>69</v>
      </c>
      <c r="I42" s="106" t="s">
        <v>25</v>
      </c>
      <c r="J42" s="106">
        <v>710.71</v>
      </c>
      <c r="K42" s="106">
        <v>250.67</v>
      </c>
      <c r="L42" s="106">
        <v>0</v>
      </c>
      <c r="M42" s="106">
        <v>2.0289508153076699</v>
      </c>
      <c r="N42" s="106">
        <v>0</v>
      </c>
      <c r="O42" s="106">
        <v>0</v>
      </c>
      <c r="P42" s="106">
        <v>0</v>
      </c>
      <c r="Q42" s="106">
        <v>38.470534864879198</v>
      </c>
      <c r="R42" s="106">
        <v>14.411688329154</v>
      </c>
      <c r="S42" s="106">
        <v>0</v>
      </c>
      <c r="T42" s="106">
        <v>0</v>
      </c>
      <c r="U42" s="106">
        <v>0</v>
      </c>
      <c r="V42" s="106">
        <v>0</v>
      </c>
      <c r="W42" s="106">
        <v>0</v>
      </c>
      <c r="X42" s="106">
        <v>129.280371386479</v>
      </c>
      <c r="Y42" s="106">
        <v>0</v>
      </c>
      <c r="Z42" s="106">
        <v>0</v>
      </c>
      <c r="AA42" s="106">
        <v>489.52678588953398</v>
      </c>
      <c r="AB42" s="106">
        <v>0</v>
      </c>
      <c r="AC42" s="106">
        <v>0</v>
      </c>
      <c r="AD42" s="106">
        <v>36.991989789587102</v>
      </c>
      <c r="AE42" s="106">
        <v>0</v>
      </c>
      <c r="AF42" s="106">
        <v>0</v>
      </c>
      <c r="AG42" s="106">
        <v>0</v>
      </c>
      <c r="AH42" s="106">
        <v>0</v>
      </c>
      <c r="AI42" s="106">
        <v>0</v>
      </c>
      <c r="AJ42" s="106">
        <v>0</v>
      </c>
      <c r="AK42" s="106">
        <v>0</v>
      </c>
      <c r="AL42" s="106">
        <v>250.673263801057</v>
      </c>
      <c r="AM42" s="106">
        <v>0</v>
      </c>
      <c r="AN42" s="106">
        <v>0</v>
      </c>
      <c r="AO42" s="106">
        <v>0</v>
      </c>
      <c r="AP42" s="106">
        <v>0</v>
      </c>
      <c r="AQ42" s="107">
        <v>0</v>
      </c>
    </row>
    <row r="43" spans="2:43" ht="12" customHeight="1" x14ac:dyDescent="0.25">
      <c r="B43" s="105" t="s">
        <v>41</v>
      </c>
      <c r="C43" s="106" t="s">
        <v>85</v>
      </c>
      <c r="D43" s="106" t="s">
        <v>42</v>
      </c>
      <c r="E43" s="106" t="s">
        <v>87</v>
      </c>
      <c r="F43" s="106" t="s">
        <v>25</v>
      </c>
      <c r="G43" s="106" t="s">
        <v>25</v>
      </c>
      <c r="H43" s="106" t="s">
        <v>69</v>
      </c>
      <c r="I43" s="106" t="s">
        <v>25</v>
      </c>
      <c r="J43" s="106">
        <v>695.59</v>
      </c>
      <c r="K43" s="106">
        <v>245.34</v>
      </c>
      <c r="L43" s="106">
        <v>0</v>
      </c>
      <c r="M43" s="106">
        <v>1.9857816490245299</v>
      </c>
      <c r="N43" s="106">
        <v>0</v>
      </c>
      <c r="O43" s="106">
        <v>0</v>
      </c>
      <c r="P43" s="106">
        <v>0</v>
      </c>
      <c r="Q43" s="106">
        <v>37.652012846477497</v>
      </c>
      <c r="R43" s="106">
        <v>14.105056662576301</v>
      </c>
      <c r="S43" s="106">
        <v>0</v>
      </c>
      <c r="T43" s="106">
        <v>0</v>
      </c>
      <c r="U43" s="106">
        <v>0</v>
      </c>
      <c r="V43" s="106">
        <v>0</v>
      </c>
      <c r="W43" s="106">
        <v>0</v>
      </c>
      <c r="X43" s="106">
        <v>126.529725186767</v>
      </c>
      <c r="Y43" s="106">
        <v>0</v>
      </c>
      <c r="Z43" s="106">
        <v>0</v>
      </c>
      <c r="AA43" s="106">
        <v>479.11132235997002</v>
      </c>
      <c r="AB43" s="106">
        <v>0</v>
      </c>
      <c r="AC43" s="106">
        <v>0</v>
      </c>
      <c r="AD43" s="106">
        <v>36.204926177042701</v>
      </c>
      <c r="AE43" s="106">
        <v>0</v>
      </c>
      <c r="AF43" s="106">
        <v>0</v>
      </c>
      <c r="AG43" s="106">
        <v>0</v>
      </c>
      <c r="AH43" s="106">
        <v>0</v>
      </c>
      <c r="AI43" s="106">
        <v>0</v>
      </c>
      <c r="AJ43" s="106">
        <v>0</v>
      </c>
      <c r="AK43" s="106">
        <v>0</v>
      </c>
      <c r="AL43" s="106">
        <v>245.33979010316199</v>
      </c>
      <c r="AM43" s="106">
        <v>0</v>
      </c>
      <c r="AN43" s="106">
        <v>0</v>
      </c>
      <c r="AO43" s="106">
        <v>0</v>
      </c>
      <c r="AP43" s="106">
        <v>0</v>
      </c>
      <c r="AQ43" s="107">
        <v>0</v>
      </c>
    </row>
    <row r="44" spans="2:43" ht="12" customHeight="1" x14ac:dyDescent="0.25">
      <c r="B44" s="105" t="s">
        <v>32</v>
      </c>
      <c r="C44" s="106" t="s">
        <v>39</v>
      </c>
      <c r="D44" s="106" t="s">
        <v>25</v>
      </c>
      <c r="E44" s="106" t="s">
        <v>25</v>
      </c>
      <c r="F44" s="106" t="s">
        <v>25</v>
      </c>
      <c r="G44" s="106" t="s">
        <v>36</v>
      </c>
      <c r="H44" s="106" t="s">
        <v>69</v>
      </c>
      <c r="I44" s="106" t="s">
        <v>25</v>
      </c>
      <c r="J44" s="106">
        <v>2237.2600000000002</v>
      </c>
      <c r="K44" s="106">
        <v>266.67</v>
      </c>
      <c r="L44" s="106">
        <v>0</v>
      </c>
      <c r="M44" s="106">
        <v>2.1584583141570999</v>
      </c>
      <c r="N44" s="106">
        <v>0</v>
      </c>
      <c r="O44" s="106">
        <v>0</v>
      </c>
      <c r="P44" s="106">
        <v>0</v>
      </c>
      <c r="Q44" s="106">
        <v>40.926100920084302</v>
      </c>
      <c r="R44" s="106">
        <v>15.3315833288872</v>
      </c>
      <c r="S44" s="106">
        <v>0</v>
      </c>
      <c r="T44" s="106">
        <v>0</v>
      </c>
      <c r="U44" s="106">
        <v>0</v>
      </c>
      <c r="V44" s="106">
        <v>0</v>
      </c>
      <c r="W44" s="106">
        <v>0</v>
      </c>
      <c r="X44" s="106">
        <v>446.98015415238001</v>
      </c>
      <c r="Y44" s="106">
        <v>0</v>
      </c>
      <c r="Z44" s="106">
        <v>0</v>
      </c>
      <c r="AA44" s="106">
        <v>1692.5135538382899</v>
      </c>
      <c r="AB44" s="106">
        <v>0</v>
      </c>
      <c r="AC44" s="106">
        <v>0</v>
      </c>
      <c r="AD44" s="106">
        <v>39.353180627220297</v>
      </c>
      <c r="AE44" s="106">
        <v>0</v>
      </c>
      <c r="AF44" s="106">
        <v>0</v>
      </c>
      <c r="AG44" s="106">
        <v>0</v>
      </c>
      <c r="AH44" s="106">
        <v>0</v>
      </c>
      <c r="AI44" s="106">
        <v>0</v>
      </c>
      <c r="AJ44" s="106">
        <v>0</v>
      </c>
      <c r="AK44" s="106">
        <v>0</v>
      </c>
      <c r="AL44" s="106">
        <v>266.67368489474097</v>
      </c>
      <c r="AM44" s="106">
        <v>0</v>
      </c>
      <c r="AN44" s="106">
        <v>0</v>
      </c>
      <c r="AO44" s="106">
        <v>0</v>
      </c>
      <c r="AP44" s="106">
        <v>0</v>
      </c>
      <c r="AQ44" s="107">
        <v>0</v>
      </c>
    </row>
    <row r="45" spans="2:43" ht="12" customHeight="1" x14ac:dyDescent="0.25">
      <c r="B45" s="105" t="s">
        <v>32</v>
      </c>
      <c r="C45" s="106" t="s">
        <v>39</v>
      </c>
      <c r="D45" s="106" t="s">
        <v>25</v>
      </c>
      <c r="E45" s="106" t="s">
        <v>25</v>
      </c>
      <c r="F45" s="106" t="s">
        <v>25</v>
      </c>
      <c r="G45" s="106" t="s">
        <v>40</v>
      </c>
      <c r="H45" s="106" t="s">
        <v>69</v>
      </c>
      <c r="I45" s="106" t="s">
        <v>25</v>
      </c>
      <c r="J45" s="106">
        <v>1381.47</v>
      </c>
      <c r="K45" s="106">
        <v>266.67</v>
      </c>
      <c r="L45" s="106">
        <v>0</v>
      </c>
      <c r="M45" s="106">
        <v>2.1584583141570999</v>
      </c>
      <c r="N45" s="106">
        <v>0</v>
      </c>
      <c r="O45" s="106">
        <v>0</v>
      </c>
      <c r="P45" s="106">
        <v>0</v>
      </c>
      <c r="Q45" s="106">
        <v>40.926100920084302</v>
      </c>
      <c r="R45" s="106">
        <v>15.3315833288872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268.19018148700701</v>
      </c>
      <c r="Y45" s="106">
        <v>0</v>
      </c>
      <c r="Z45" s="106">
        <v>0</v>
      </c>
      <c r="AA45" s="106">
        <v>1015.50797989587</v>
      </c>
      <c r="AB45" s="106">
        <v>0</v>
      </c>
      <c r="AC45" s="106">
        <v>0</v>
      </c>
      <c r="AD45" s="106">
        <v>39.353180627220297</v>
      </c>
      <c r="AE45" s="106">
        <v>0</v>
      </c>
      <c r="AF45" s="106">
        <v>0</v>
      </c>
      <c r="AG45" s="106">
        <v>0</v>
      </c>
      <c r="AH45" s="106">
        <v>0</v>
      </c>
      <c r="AI45" s="106">
        <v>0</v>
      </c>
      <c r="AJ45" s="106">
        <v>0</v>
      </c>
      <c r="AK45" s="106">
        <v>0</v>
      </c>
      <c r="AL45" s="106">
        <v>266.67368489474097</v>
      </c>
      <c r="AM45" s="106">
        <v>0</v>
      </c>
      <c r="AN45" s="106">
        <v>0</v>
      </c>
      <c r="AO45" s="106">
        <v>0</v>
      </c>
      <c r="AP45" s="106">
        <v>0</v>
      </c>
      <c r="AQ45" s="107">
        <v>0</v>
      </c>
    </row>
    <row r="46" spans="2:43" ht="12" customHeight="1" x14ac:dyDescent="0.25">
      <c r="B46" s="105" t="s">
        <v>32</v>
      </c>
      <c r="C46" s="106" t="s">
        <v>39</v>
      </c>
      <c r="D46" s="106" t="s">
        <v>25</v>
      </c>
      <c r="E46" s="106" t="s">
        <v>25</v>
      </c>
      <c r="F46" s="106" t="s">
        <v>25</v>
      </c>
      <c r="G46" s="106" t="s">
        <v>37</v>
      </c>
      <c r="H46" s="106" t="s">
        <v>69</v>
      </c>
      <c r="I46" s="106" t="s">
        <v>25</v>
      </c>
      <c r="J46" s="106">
        <v>525.66999999999996</v>
      </c>
      <c r="K46" s="106">
        <v>266.67</v>
      </c>
      <c r="L46" s="106">
        <v>0</v>
      </c>
      <c r="M46" s="106">
        <v>2.1584583141570999</v>
      </c>
      <c r="N46" s="106">
        <v>0</v>
      </c>
      <c r="O46" s="106">
        <v>0</v>
      </c>
      <c r="P46" s="106">
        <v>0</v>
      </c>
      <c r="Q46" s="106">
        <v>40.926100920084302</v>
      </c>
      <c r="R46" s="106">
        <v>15.3315833288872</v>
      </c>
      <c r="S46" s="106">
        <v>0</v>
      </c>
      <c r="T46" s="106">
        <v>0</v>
      </c>
      <c r="U46" s="106">
        <v>0</v>
      </c>
      <c r="V46" s="106">
        <v>0</v>
      </c>
      <c r="W46" s="106">
        <v>0</v>
      </c>
      <c r="X46" s="106">
        <v>89.397392198381297</v>
      </c>
      <c r="Y46" s="106">
        <v>0</v>
      </c>
      <c r="Z46" s="106">
        <v>0</v>
      </c>
      <c r="AA46" s="106">
        <v>338.50291397713301</v>
      </c>
      <c r="AB46" s="106">
        <v>0</v>
      </c>
      <c r="AC46" s="106">
        <v>0</v>
      </c>
      <c r="AD46" s="106">
        <v>39.353180627220297</v>
      </c>
      <c r="AE46" s="106">
        <v>0</v>
      </c>
      <c r="AF46" s="106">
        <v>0</v>
      </c>
      <c r="AG46" s="106">
        <v>0</v>
      </c>
      <c r="AH46" s="106">
        <v>0</v>
      </c>
      <c r="AI46" s="106">
        <v>0</v>
      </c>
      <c r="AJ46" s="106">
        <v>0</v>
      </c>
      <c r="AK46" s="106">
        <v>0</v>
      </c>
      <c r="AL46" s="106">
        <v>266.67368489474097</v>
      </c>
      <c r="AM46" s="106">
        <v>0</v>
      </c>
      <c r="AN46" s="106">
        <v>0</v>
      </c>
      <c r="AO46" s="106">
        <v>0</v>
      </c>
      <c r="AP46" s="106">
        <v>0</v>
      </c>
      <c r="AQ46" s="107">
        <v>0</v>
      </c>
    </row>
    <row r="47" spans="2:43" ht="12" customHeight="1" x14ac:dyDescent="0.25">
      <c r="B47" s="105" t="s">
        <v>32</v>
      </c>
      <c r="C47" s="106" t="s">
        <v>23</v>
      </c>
      <c r="D47" s="106" t="s">
        <v>25</v>
      </c>
      <c r="E47" s="106" t="s">
        <v>25</v>
      </c>
      <c r="F47" s="106" t="s">
        <v>25</v>
      </c>
      <c r="G47" s="106" t="s">
        <v>25</v>
      </c>
      <c r="H47" s="106" t="s">
        <v>69</v>
      </c>
      <c r="I47" s="106" t="s">
        <v>25</v>
      </c>
      <c r="J47" s="106">
        <v>756.07</v>
      </c>
      <c r="K47" s="106">
        <v>266.67</v>
      </c>
      <c r="L47" s="106">
        <v>0</v>
      </c>
      <c r="M47" s="106">
        <v>2.1584583141570999</v>
      </c>
      <c r="N47" s="106">
        <v>0</v>
      </c>
      <c r="O47" s="106">
        <v>0</v>
      </c>
      <c r="P47" s="106">
        <v>0</v>
      </c>
      <c r="Q47" s="106">
        <v>40.926100920084302</v>
      </c>
      <c r="R47" s="106">
        <v>15.3315833288872</v>
      </c>
      <c r="S47" s="106">
        <v>0</v>
      </c>
      <c r="T47" s="106">
        <v>0</v>
      </c>
      <c r="U47" s="106">
        <v>0</v>
      </c>
      <c r="V47" s="106">
        <v>0</v>
      </c>
      <c r="W47" s="106">
        <v>0</v>
      </c>
      <c r="X47" s="106">
        <v>137.532309985616</v>
      </c>
      <c r="Y47" s="106">
        <v>0</v>
      </c>
      <c r="Z47" s="106">
        <v>0</v>
      </c>
      <c r="AA47" s="106">
        <v>520.77317647822804</v>
      </c>
      <c r="AB47" s="106">
        <v>0</v>
      </c>
      <c r="AC47" s="106">
        <v>0</v>
      </c>
      <c r="AD47" s="106">
        <v>39.353180627220297</v>
      </c>
      <c r="AE47" s="106">
        <v>0</v>
      </c>
      <c r="AF47" s="106">
        <v>0</v>
      </c>
      <c r="AG47" s="106">
        <v>0</v>
      </c>
      <c r="AH47" s="106">
        <v>0</v>
      </c>
      <c r="AI47" s="106">
        <v>0</v>
      </c>
      <c r="AJ47" s="106">
        <v>0</v>
      </c>
      <c r="AK47" s="106">
        <v>0</v>
      </c>
      <c r="AL47" s="106">
        <v>266.67368489474097</v>
      </c>
      <c r="AM47" s="106">
        <v>0</v>
      </c>
      <c r="AN47" s="106">
        <v>0</v>
      </c>
      <c r="AO47" s="106">
        <v>0</v>
      </c>
      <c r="AP47" s="106">
        <v>0</v>
      </c>
      <c r="AQ47" s="107">
        <v>0</v>
      </c>
    </row>
    <row r="48" spans="2:43" ht="12" customHeight="1" x14ac:dyDescent="0.25">
      <c r="B48" s="105" t="s">
        <v>32</v>
      </c>
      <c r="C48" s="106" t="s">
        <v>85</v>
      </c>
      <c r="D48" s="106" t="s">
        <v>25</v>
      </c>
      <c r="E48" s="106" t="s">
        <v>25</v>
      </c>
      <c r="F48" s="106" t="s">
        <v>25</v>
      </c>
      <c r="G48" s="106" t="s">
        <v>25</v>
      </c>
      <c r="H48" s="106" t="s">
        <v>69</v>
      </c>
      <c r="I48" s="106" t="s">
        <v>25</v>
      </c>
      <c r="J48" s="106">
        <v>756.07</v>
      </c>
      <c r="K48" s="106">
        <v>266.67</v>
      </c>
      <c r="L48" s="106">
        <v>0</v>
      </c>
      <c r="M48" s="106">
        <v>2.1584583141570999</v>
      </c>
      <c r="N48" s="106">
        <v>0</v>
      </c>
      <c r="O48" s="106">
        <v>0</v>
      </c>
      <c r="P48" s="106">
        <v>0</v>
      </c>
      <c r="Q48" s="106">
        <v>40.926100920084302</v>
      </c>
      <c r="R48" s="106">
        <v>15.3315833288872</v>
      </c>
      <c r="S48" s="106">
        <v>0</v>
      </c>
      <c r="T48" s="106">
        <v>0</v>
      </c>
      <c r="U48" s="106">
        <v>0</v>
      </c>
      <c r="V48" s="106">
        <v>0</v>
      </c>
      <c r="W48" s="106">
        <v>0</v>
      </c>
      <c r="X48" s="106">
        <v>137.532309985616</v>
      </c>
      <c r="Y48" s="106">
        <v>0</v>
      </c>
      <c r="Z48" s="106">
        <v>0</v>
      </c>
      <c r="AA48" s="106">
        <v>520.77317647822804</v>
      </c>
      <c r="AB48" s="106">
        <v>0</v>
      </c>
      <c r="AC48" s="106">
        <v>0</v>
      </c>
      <c r="AD48" s="106">
        <v>39.353180627220297</v>
      </c>
      <c r="AE48" s="106">
        <v>0</v>
      </c>
      <c r="AF48" s="106">
        <v>0</v>
      </c>
      <c r="AG48" s="106">
        <v>0</v>
      </c>
      <c r="AH48" s="106">
        <v>0</v>
      </c>
      <c r="AI48" s="106">
        <v>0</v>
      </c>
      <c r="AJ48" s="106">
        <v>0</v>
      </c>
      <c r="AK48" s="106">
        <v>0</v>
      </c>
      <c r="AL48" s="106">
        <v>266.67368489474097</v>
      </c>
      <c r="AM48" s="106">
        <v>0</v>
      </c>
      <c r="AN48" s="106">
        <v>0</v>
      </c>
      <c r="AO48" s="106">
        <v>0</v>
      </c>
      <c r="AP48" s="106">
        <v>0</v>
      </c>
      <c r="AQ48" s="107">
        <v>0</v>
      </c>
    </row>
    <row r="49" spans="2:43" ht="12" customHeight="1" x14ac:dyDescent="0.25">
      <c r="B49" s="105" t="s">
        <v>44</v>
      </c>
      <c r="C49" s="106" t="s">
        <v>23</v>
      </c>
      <c r="D49" s="106" t="s">
        <v>45</v>
      </c>
      <c r="E49" s="106" t="s">
        <v>46</v>
      </c>
      <c r="F49" s="106" t="s">
        <v>25</v>
      </c>
      <c r="G49" s="106" t="s">
        <v>25</v>
      </c>
      <c r="H49" s="106" t="s">
        <v>69</v>
      </c>
      <c r="I49" s="106" t="s">
        <v>25</v>
      </c>
      <c r="J49" s="106">
        <v>415.84</v>
      </c>
      <c r="K49" s="106">
        <v>146.66999999999999</v>
      </c>
      <c r="L49" s="106">
        <v>0</v>
      </c>
      <c r="M49" s="106">
        <v>1.1871520727864</v>
      </c>
      <c r="N49" s="106">
        <v>0</v>
      </c>
      <c r="O49" s="106">
        <v>0</v>
      </c>
      <c r="P49" s="106">
        <v>0</v>
      </c>
      <c r="Q49" s="106">
        <v>22.509355506046301</v>
      </c>
      <c r="R49" s="106">
        <v>8.4323708308879901</v>
      </c>
      <c r="S49" s="106">
        <v>0</v>
      </c>
      <c r="T49" s="106">
        <v>0</v>
      </c>
      <c r="U49" s="106">
        <v>0</v>
      </c>
      <c r="V49" s="106">
        <v>0</v>
      </c>
      <c r="W49" s="106">
        <v>0</v>
      </c>
      <c r="X49" s="106">
        <v>75.6427704920889</v>
      </c>
      <c r="Y49" s="106">
        <v>0</v>
      </c>
      <c r="Z49" s="106">
        <v>0</v>
      </c>
      <c r="AA49" s="106">
        <v>286.42524706302601</v>
      </c>
      <c r="AB49" s="106">
        <v>0</v>
      </c>
      <c r="AC49" s="106">
        <v>0</v>
      </c>
      <c r="AD49" s="106">
        <v>21.6442493449712</v>
      </c>
      <c r="AE49" s="106">
        <v>0</v>
      </c>
      <c r="AF49" s="106">
        <v>0</v>
      </c>
      <c r="AG49" s="106">
        <v>0</v>
      </c>
      <c r="AH49" s="106">
        <v>0</v>
      </c>
      <c r="AI49" s="106">
        <v>0</v>
      </c>
      <c r="AJ49" s="106">
        <v>0</v>
      </c>
      <c r="AK49" s="106">
        <v>0</v>
      </c>
      <c r="AL49" s="106">
        <v>146.67052669210801</v>
      </c>
      <c r="AM49" s="106">
        <v>0</v>
      </c>
      <c r="AN49" s="106">
        <v>0</v>
      </c>
      <c r="AO49" s="106">
        <v>0</v>
      </c>
      <c r="AP49" s="106">
        <v>0</v>
      </c>
      <c r="AQ49" s="107">
        <v>0</v>
      </c>
    </row>
    <row r="50" spans="2:43" ht="12" customHeight="1" x14ac:dyDescent="0.25">
      <c r="B50" s="108" t="s">
        <v>44</v>
      </c>
      <c r="C50" s="109" t="s">
        <v>23</v>
      </c>
      <c r="D50" s="109" t="s">
        <v>45</v>
      </c>
      <c r="E50" s="109" t="s">
        <v>88</v>
      </c>
      <c r="F50" s="109" t="s">
        <v>25</v>
      </c>
      <c r="G50" s="109" t="s">
        <v>25</v>
      </c>
      <c r="H50" s="109" t="s">
        <v>69</v>
      </c>
      <c r="I50" s="109" t="s">
        <v>25</v>
      </c>
      <c r="J50" s="109">
        <v>453.64</v>
      </c>
      <c r="K50" s="109">
        <v>160</v>
      </c>
      <c r="L50" s="109">
        <v>0</v>
      </c>
      <c r="M50" s="109">
        <v>1.2950749884942601</v>
      </c>
      <c r="N50" s="109">
        <v>0</v>
      </c>
      <c r="O50" s="109">
        <v>0</v>
      </c>
      <c r="P50" s="109">
        <v>0</v>
      </c>
      <c r="Q50" s="109">
        <v>24.5556605520506</v>
      </c>
      <c r="R50" s="109">
        <v>9.1989499973323507</v>
      </c>
      <c r="S50" s="109">
        <v>0</v>
      </c>
      <c r="T50" s="109">
        <v>0</v>
      </c>
      <c r="U50" s="109">
        <v>0</v>
      </c>
      <c r="V50" s="109">
        <v>0</v>
      </c>
      <c r="W50" s="109">
        <v>0</v>
      </c>
      <c r="X50" s="109">
        <v>82.519385991369703</v>
      </c>
      <c r="Y50" s="109">
        <v>0</v>
      </c>
      <c r="Z50" s="109">
        <v>0</v>
      </c>
      <c r="AA50" s="109">
        <v>312.46390588693703</v>
      </c>
      <c r="AB50" s="109">
        <v>0</v>
      </c>
      <c r="AC50" s="109">
        <v>0</v>
      </c>
      <c r="AD50" s="109">
        <v>23.611908376332199</v>
      </c>
      <c r="AE50" s="109">
        <v>0</v>
      </c>
      <c r="AF50" s="109">
        <v>0</v>
      </c>
      <c r="AG50" s="109">
        <v>0</v>
      </c>
      <c r="AH50" s="109">
        <v>0</v>
      </c>
      <c r="AI50" s="109">
        <v>0</v>
      </c>
      <c r="AJ50" s="109">
        <v>0</v>
      </c>
      <c r="AK50" s="109">
        <v>0</v>
      </c>
      <c r="AL50" s="109">
        <v>160.004210936845</v>
      </c>
      <c r="AM50" s="109">
        <v>0</v>
      </c>
      <c r="AN50" s="109">
        <v>0</v>
      </c>
      <c r="AO50" s="109">
        <v>0</v>
      </c>
      <c r="AP50" s="109">
        <v>0</v>
      </c>
      <c r="AQ50" s="110">
        <v>0</v>
      </c>
    </row>
  </sheetData>
  <mergeCells count="8">
    <mergeCell ref="L1:AG1"/>
    <mergeCell ref="AH1:AQ1"/>
    <mergeCell ref="L2:S2"/>
    <mergeCell ref="T2:Z2"/>
    <mergeCell ref="AB2:AC2"/>
    <mergeCell ref="AD2:AG2"/>
    <mergeCell ref="AH2:AK2"/>
    <mergeCell ref="AM2:AP2"/>
  </mergeCells>
  <phoneticPr fontId="9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9BA18-FDBA-4848-867C-1684A39861C9}">
  <dimension ref="B1:AQ50"/>
  <sheetViews>
    <sheetView showGridLines="0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14.42578125" bestFit="1" customWidth="1"/>
    <col min="30" max="30" width="11.140625" bestFit="1" customWidth="1"/>
    <col min="31" max="31" width="17.7109375" bestFit="1" customWidth="1"/>
    <col min="32" max="32" width="12.5703125" bestFit="1" customWidth="1"/>
    <col min="33" max="33" width="10.7109375" bestFit="1" customWidth="1"/>
    <col min="34" max="34" width="16.5703125" bestFit="1" customWidth="1"/>
    <col min="35" max="35" width="9.85546875" bestFit="1" customWidth="1"/>
    <col min="36" max="36" width="12.5703125" bestFit="1" customWidth="1"/>
    <col min="37" max="37" width="12.28515625" bestFit="1" customWidth="1"/>
    <col min="38" max="38" width="14.140625" bestFit="1" customWidth="1"/>
    <col min="39" max="39" width="25.28515625" bestFit="1" customWidth="1"/>
    <col min="40" max="40" width="17.85546875" bestFit="1" customWidth="1"/>
    <col min="41" max="41" width="13.42578125" bestFit="1" customWidth="1"/>
    <col min="42" max="42" width="13.28515625" bestFit="1" customWidth="1"/>
    <col min="43" max="43" width="12.5703125" bestFit="1" customWidth="1"/>
  </cols>
  <sheetData>
    <row r="1" spans="2:43" ht="12" customHeight="1" x14ac:dyDescent="0.25">
      <c r="L1" s="147" t="s">
        <v>1184</v>
      </c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8"/>
      <c r="AH1" s="147" t="s">
        <v>1185</v>
      </c>
      <c r="AI1" s="147"/>
      <c r="AJ1" s="147"/>
      <c r="AK1" s="147"/>
      <c r="AL1" s="147"/>
      <c r="AM1" s="147"/>
      <c r="AN1" s="147"/>
      <c r="AO1" s="147"/>
      <c r="AP1" s="147"/>
      <c r="AQ1" s="147"/>
    </row>
    <row r="2" spans="2:43" ht="12" customHeight="1" x14ac:dyDescent="0.25">
      <c r="L2" s="149" t="s">
        <v>509</v>
      </c>
      <c r="M2" s="149"/>
      <c r="N2" s="149"/>
      <c r="O2" s="149"/>
      <c r="P2" s="149"/>
      <c r="Q2" s="149"/>
      <c r="R2" s="149"/>
      <c r="S2" s="150"/>
      <c r="T2" s="149" t="s">
        <v>518</v>
      </c>
      <c r="U2" s="149"/>
      <c r="V2" s="149"/>
      <c r="W2" s="149"/>
      <c r="X2" s="149"/>
      <c r="Y2" s="149"/>
      <c r="Z2" s="150"/>
      <c r="AA2" s="111" t="s">
        <v>526</v>
      </c>
      <c r="AB2" s="149" t="s">
        <v>25</v>
      </c>
      <c r="AC2" s="150"/>
      <c r="AD2" s="149" t="s">
        <v>1183</v>
      </c>
      <c r="AE2" s="149"/>
      <c r="AF2" s="149"/>
      <c r="AG2" s="150"/>
      <c r="AH2" s="149" t="s">
        <v>509</v>
      </c>
      <c r="AI2" s="149"/>
      <c r="AJ2" s="149"/>
      <c r="AK2" s="150"/>
      <c r="AL2" s="111" t="s">
        <v>539</v>
      </c>
      <c r="AM2" s="149" t="s">
        <v>518</v>
      </c>
      <c r="AN2" s="149"/>
      <c r="AO2" s="149"/>
      <c r="AP2" s="150"/>
      <c r="AQ2" s="112" t="s">
        <v>1183</v>
      </c>
    </row>
    <row r="3" spans="2:43" ht="12" customHeight="1" x14ac:dyDescent="0.25">
      <c r="B3" s="102" t="s">
        <v>59</v>
      </c>
      <c r="C3" s="103" t="s">
        <v>60</v>
      </c>
      <c r="D3" s="103" t="s">
        <v>61</v>
      </c>
      <c r="E3" s="103" t="s">
        <v>62</v>
      </c>
      <c r="F3" s="103" t="s">
        <v>63</v>
      </c>
      <c r="G3" s="103" t="s">
        <v>65</v>
      </c>
      <c r="H3" s="103" t="s">
        <v>66</v>
      </c>
      <c r="I3" s="103" t="s">
        <v>783</v>
      </c>
      <c r="J3" s="103" t="s">
        <v>1148</v>
      </c>
      <c r="K3" s="103" t="s">
        <v>1149</v>
      </c>
      <c r="L3" s="103" t="s">
        <v>1150</v>
      </c>
      <c r="M3" s="103" t="s">
        <v>1151</v>
      </c>
      <c r="N3" s="103" t="s">
        <v>1152</v>
      </c>
      <c r="O3" s="103" t="s">
        <v>1153</v>
      </c>
      <c r="P3" s="103" t="s">
        <v>1154</v>
      </c>
      <c r="Q3" s="103" t="s">
        <v>1155</v>
      </c>
      <c r="R3" s="103" t="s">
        <v>1156</v>
      </c>
      <c r="S3" s="103" t="s">
        <v>1157</v>
      </c>
      <c r="T3" s="103" t="s">
        <v>1158</v>
      </c>
      <c r="U3" s="103" t="s">
        <v>1159</v>
      </c>
      <c r="V3" s="103" t="s">
        <v>1160</v>
      </c>
      <c r="W3" s="103" t="s">
        <v>1161</v>
      </c>
      <c r="X3" s="103" t="s">
        <v>1162</v>
      </c>
      <c r="Y3" s="103" t="s">
        <v>1163</v>
      </c>
      <c r="Z3" s="103" t="s">
        <v>1164</v>
      </c>
      <c r="AA3" s="103" t="s">
        <v>1165</v>
      </c>
      <c r="AB3" s="103" t="s">
        <v>1166</v>
      </c>
      <c r="AC3" s="103" t="s">
        <v>1167</v>
      </c>
      <c r="AD3" s="103" t="s">
        <v>1168</v>
      </c>
      <c r="AE3" s="103" t="s">
        <v>1169</v>
      </c>
      <c r="AF3" s="103" t="s">
        <v>1170</v>
      </c>
      <c r="AG3" s="103" t="s">
        <v>1171</v>
      </c>
      <c r="AH3" s="103" t="s">
        <v>1172</v>
      </c>
      <c r="AI3" s="103" t="s">
        <v>1173</v>
      </c>
      <c r="AJ3" s="103" t="s">
        <v>1174</v>
      </c>
      <c r="AK3" s="103" t="s">
        <v>1175</v>
      </c>
      <c r="AL3" s="103" t="s">
        <v>1176</v>
      </c>
      <c r="AM3" s="103" t="s">
        <v>1177</v>
      </c>
      <c r="AN3" s="103" t="s">
        <v>1178</v>
      </c>
      <c r="AO3" s="103" t="s">
        <v>1179</v>
      </c>
      <c r="AP3" s="103" t="s">
        <v>1180</v>
      </c>
      <c r="AQ3" s="104" t="s">
        <v>1181</v>
      </c>
    </row>
    <row r="4" spans="2:43" ht="12" customHeight="1" x14ac:dyDescent="0.25">
      <c r="B4" s="105" t="s">
        <v>34</v>
      </c>
      <c r="C4" s="106" t="s">
        <v>74</v>
      </c>
      <c r="D4" s="106" t="s">
        <v>25</v>
      </c>
      <c r="E4" s="106" t="s">
        <v>25</v>
      </c>
      <c r="F4" s="106" t="s">
        <v>78</v>
      </c>
      <c r="G4" s="106" t="s">
        <v>36</v>
      </c>
      <c r="H4" s="106" t="s">
        <v>69</v>
      </c>
      <c r="I4" s="106" t="s">
        <v>25</v>
      </c>
      <c r="J4" s="106">
        <v>0</v>
      </c>
      <c r="K4" s="106">
        <v>0</v>
      </c>
      <c r="L4" s="106">
        <v>0</v>
      </c>
      <c r="M4" s="106">
        <v>0</v>
      </c>
      <c r="N4" s="106">
        <v>0</v>
      </c>
      <c r="O4" s="106">
        <v>0</v>
      </c>
      <c r="P4" s="106">
        <v>0</v>
      </c>
      <c r="Q4" s="106">
        <v>0</v>
      </c>
      <c r="R4" s="106">
        <v>0</v>
      </c>
      <c r="S4" s="106">
        <v>0</v>
      </c>
      <c r="T4" s="106">
        <v>0</v>
      </c>
      <c r="U4" s="106">
        <v>0</v>
      </c>
      <c r="V4" s="106">
        <v>0</v>
      </c>
      <c r="W4" s="106">
        <v>0</v>
      </c>
      <c r="X4" s="106">
        <v>0</v>
      </c>
      <c r="Y4" s="106">
        <v>0</v>
      </c>
      <c r="Z4" s="106">
        <v>0</v>
      </c>
      <c r="AA4" s="106">
        <v>0</v>
      </c>
      <c r="AB4" s="106">
        <v>0</v>
      </c>
      <c r="AC4" s="106">
        <v>0</v>
      </c>
      <c r="AD4" s="106">
        <v>0</v>
      </c>
      <c r="AE4" s="106">
        <v>0</v>
      </c>
      <c r="AF4" s="106">
        <v>0</v>
      </c>
      <c r="AG4" s="106">
        <v>0</v>
      </c>
      <c r="AH4" s="106">
        <v>0</v>
      </c>
      <c r="AI4" s="106">
        <v>0</v>
      </c>
      <c r="AJ4" s="106">
        <v>0</v>
      </c>
      <c r="AK4" s="106">
        <v>0</v>
      </c>
      <c r="AL4" s="106">
        <v>0</v>
      </c>
      <c r="AM4" s="106">
        <v>0</v>
      </c>
      <c r="AN4" s="106">
        <v>0</v>
      </c>
      <c r="AO4" s="106">
        <v>0</v>
      </c>
      <c r="AP4" s="106">
        <v>0</v>
      </c>
      <c r="AQ4" s="107">
        <v>0</v>
      </c>
    </row>
    <row r="5" spans="2:43" ht="12" customHeight="1" x14ac:dyDescent="0.25">
      <c r="B5" s="105" t="s">
        <v>34</v>
      </c>
      <c r="C5" s="106" t="s">
        <v>74</v>
      </c>
      <c r="D5" s="106" t="s">
        <v>25</v>
      </c>
      <c r="E5" s="106" t="s">
        <v>25</v>
      </c>
      <c r="F5" s="106" t="s">
        <v>78</v>
      </c>
      <c r="G5" s="106" t="s">
        <v>36</v>
      </c>
      <c r="H5" s="106" t="s">
        <v>75</v>
      </c>
      <c r="I5" s="106" t="s">
        <v>25</v>
      </c>
      <c r="J5" s="106">
        <v>0</v>
      </c>
      <c r="K5" s="106">
        <v>0</v>
      </c>
      <c r="L5" s="106">
        <v>0</v>
      </c>
      <c r="M5" s="106">
        <v>0</v>
      </c>
      <c r="N5" s="106">
        <v>0</v>
      </c>
      <c r="O5" s="106">
        <v>0</v>
      </c>
      <c r="P5" s="106">
        <v>0</v>
      </c>
      <c r="Q5" s="106">
        <v>0</v>
      </c>
      <c r="R5" s="106">
        <v>0</v>
      </c>
      <c r="S5" s="106">
        <v>0</v>
      </c>
      <c r="T5" s="106">
        <v>0</v>
      </c>
      <c r="U5" s="106">
        <v>0</v>
      </c>
      <c r="V5" s="106">
        <v>0</v>
      </c>
      <c r="W5" s="106">
        <v>0</v>
      </c>
      <c r="X5" s="106">
        <v>0</v>
      </c>
      <c r="Y5" s="106">
        <v>0</v>
      </c>
      <c r="Z5" s="106">
        <v>0</v>
      </c>
      <c r="AA5" s="106">
        <v>0</v>
      </c>
      <c r="AB5" s="106">
        <v>0</v>
      </c>
      <c r="AC5" s="106">
        <v>0</v>
      </c>
      <c r="AD5" s="106">
        <v>0</v>
      </c>
      <c r="AE5" s="106">
        <v>0</v>
      </c>
      <c r="AF5" s="106">
        <v>0</v>
      </c>
      <c r="AG5" s="106">
        <v>0</v>
      </c>
      <c r="AH5" s="106">
        <v>0</v>
      </c>
      <c r="AI5" s="106">
        <v>0</v>
      </c>
      <c r="AJ5" s="106">
        <v>0</v>
      </c>
      <c r="AK5" s="106">
        <v>0</v>
      </c>
      <c r="AL5" s="106">
        <v>0</v>
      </c>
      <c r="AM5" s="106">
        <v>0</v>
      </c>
      <c r="AN5" s="106">
        <v>0</v>
      </c>
      <c r="AO5" s="106">
        <v>0</v>
      </c>
      <c r="AP5" s="106">
        <v>0</v>
      </c>
      <c r="AQ5" s="107">
        <v>0</v>
      </c>
    </row>
    <row r="6" spans="2:43" ht="12" customHeight="1" x14ac:dyDescent="0.25">
      <c r="B6" s="105" t="s">
        <v>34</v>
      </c>
      <c r="C6" s="106" t="s">
        <v>74</v>
      </c>
      <c r="D6" s="106" t="s">
        <v>25</v>
      </c>
      <c r="E6" s="106" t="s">
        <v>25</v>
      </c>
      <c r="F6" s="106" t="s">
        <v>78</v>
      </c>
      <c r="G6" s="106" t="s">
        <v>37</v>
      </c>
      <c r="H6" s="106" t="s">
        <v>69</v>
      </c>
      <c r="I6" s="106" t="s">
        <v>25</v>
      </c>
      <c r="J6" s="106">
        <v>0</v>
      </c>
      <c r="K6" s="106">
        <v>0</v>
      </c>
      <c r="L6" s="106">
        <v>0</v>
      </c>
      <c r="M6" s="106">
        <v>0</v>
      </c>
      <c r="N6" s="106">
        <v>0</v>
      </c>
      <c r="O6" s="106">
        <v>0</v>
      </c>
      <c r="P6" s="106">
        <v>0</v>
      </c>
      <c r="Q6" s="106">
        <v>0</v>
      </c>
      <c r="R6" s="106">
        <v>0</v>
      </c>
      <c r="S6" s="106">
        <v>0</v>
      </c>
      <c r="T6" s="106">
        <v>0</v>
      </c>
      <c r="U6" s="106">
        <v>0</v>
      </c>
      <c r="V6" s="106">
        <v>0</v>
      </c>
      <c r="W6" s="106">
        <v>0</v>
      </c>
      <c r="X6" s="106">
        <v>0</v>
      </c>
      <c r="Y6" s="106">
        <v>0</v>
      </c>
      <c r="Z6" s="106">
        <v>0</v>
      </c>
      <c r="AA6" s="106">
        <v>0</v>
      </c>
      <c r="AB6" s="106">
        <v>0</v>
      </c>
      <c r="AC6" s="106">
        <v>0</v>
      </c>
      <c r="AD6" s="106">
        <v>0</v>
      </c>
      <c r="AE6" s="106">
        <v>0</v>
      </c>
      <c r="AF6" s="106">
        <v>0</v>
      </c>
      <c r="AG6" s="106">
        <v>0</v>
      </c>
      <c r="AH6" s="106">
        <v>0</v>
      </c>
      <c r="AI6" s="106">
        <v>0</v>
      </c>
      <c r="AJ6" s="106">
        <v>0</v>
      </c>
      <c r="AK6" s="106">
        <v>0</v>
      </c>
      <c r="AL6" s="106">
        <v>0</v>
      </c>
      <c r="AM6" s="106">
        <v>0</v>
      </c>
      <c r="AN6" s="106">
        <v>0</v>
      </c>
      <c r="AO6" s="106">
        <v>0</v>
      </c>
      <c r="AP6" s="106">
        <v>0</v>
      </c>
      <c r="AQ6" s="107">
        <v>0</v>
      </c>
    </row>
    <row r="7" spans="2:43" ht="12" customHeight="1" x14ac:dyDescent="0.25">
      <c r="B7" s="105" t="s">
        <v>34</v>
      </c>
      <c r="C7" s="106" t="s">
        <v>74</v>
      </c>
      <c r="D7" s="106" t="s">
        <v>25</v>
      </c>
      <c r="E7" s="106" t="s">
        <v>25</v>
      </c>
      <c r="F7" s="106" t="s">
        <v>78</v>
      </c>
      <c r="G7" s="106" t="s">
        <v>37</v>
      </c>
      <c r="H7" s="106" t="s">
        <v>75</v>
      </c>
      <c r="I7" s="106" t="s">
        <v>25</v>
      </c>
      <c r="J7" s="106">
        <v>0</v>
      </c>
      <c r="K7" s="106">
        <v>0</v>
      </c>
      <c r="L7" s="106">
        <v>0</v>
      </c>
      <c r="M7" s="106">
        <v>0</v>
      </c>
      <c r="N7" s="106">
        <v>0</v>
      </c>
      <c r="O7" s="106">
        <v>0</v>
      </c>
      <c r="P7" s="106">
        <v>0</v>
      </c>
      <c r="Q7" s="106">
        <v>0</v>
      </c>
      <c r="R7" s="106">
        <v>0</v>
      </c>
      <c r="S7" s="106">
        <v>0</v>
      </c>
      <c r="T7" s="106">
        <v>0</v>
      </c>
      <c r="U7" s="106">
        <v>0</v>
      </c>
      <c r="V7" s="106">
        <v>0</v>
      </c>
      <c r="W7" s="106">
        <v>0</v>
      </c>
      <c r="X7" s="106">
        <v>0</v>
      </c>
      <c r="Y7" s="106">
        <v>0</v>
      </c>
      <c r="Z7" s="106">
        <v>0</v>
      </c>
      <c r="AA7" s="106">
        <v>0</v>
      </c>
      <c r="AB7" s="106">
        <v>0</v>
      </c>
      <c r="AC7" s="106">
        <v>0</v>
      </c>
      <c r="AD7" s="106">
        <v>0</v>
      </c>
      <c r="AE7" s="106">
        <v>0</v>
      </c>
      <c r="AF7" s="106">
        <v>0</v>
      </c>
      <c r="AG7" s="106">
        <v>0</v>
      </c>
      <c r="AH7" s="106">
        <v>0</v>
      </c>
      <c r="AI7" s="106">
        <v>0</v>
      </c>
      <c r="AJ7" s="106">
        <v>0</v>
      </c>
      <c r="AK7" s="106">
        <v>0</v>
      </c>
      <c r="AL7" s="106">
        <v>0</v>
      </c>
      <c r="AM7" s="106">
        <v>0</v>
      </c>
      <c r="AN7" s="106">
        <v>0</v>
      </c>
      <c r="AO7" s="106">
        <v>0</v>
      </c>
      <c r="AP7" s="106">
        <v>0</v>
      </c>
      <c r="AQ7" s="107">
        <v>0</v>
      </c>
    </row>
    <row r="8" spans="2:43" ht="12" customHeight="1" x14ac:dyDescent="0.25">
      <c r="B8" s="105" t="s">
        <v>34</v>
      </c>
      <c r="C8" s="106" t="s">
        <v>74</v>
      </c>
      <c r="D8" s="106" t="s">
        <v>25</v>
      </c>
      <c r="E8" s="106" t="s">
        <v>25</v>
      </c>
      <c r="F8" s="106" t="s">
        <v>25</v>
      </c>
      <c r="G8" s="106" t="s">
        <v>36</v>
      </c>
      <c r="H8" s="106" t="s">
        <v>69</v>
      </c>
      <c r="I8" s="106" t="s">
        <v>25</v>
      </c>
      <c r="J8" s="106">
        <v>0</v>
      </c>
      <c r="K8" s="106">
        <v>0</v>
      </c>
      <c r="L8" s="106">
        <v>0</v>
      </c>
      <c r="M8" s="106">
        <v>0</v>
      </c>
      <c r="N8" s="106">
        <v>0</v>
      </c>
      <c r="O8" s="106">
        <v>0</v>
      </c>
      <c r="P8" s="106">
        <v>0</v>
      </c>
      <c r="Q8" s="106">
        <v>0</v>
      </c>
      <c r="R8" s="106">
        <v>0</v>
      </c>
      <c r="S8" s="106">
        <v>0</v>
      </c>
      <c r="T8" s="106">
        <v>0</v>
      </c>
      <c r="U8" s="106">
        <v>0</v>
      </c>
      <c r="V8" s="106">
        <v>0</v>
      </c>
      <c r="W8" s="106">
        <v>0</v>
      </c>
      <c r="X8" s="106">
        <v>0</v>
      </c>
      <c r="Y8" s="106">
        <v>0</v>
      </c>
      <c r="Z8" s="106">
        <v>0</v>
      </c>
      <c r="AA8" s="106">
        <v>0</v>
      </c>
      <c r="AB8" s="106">
        <v>0</v>
      </c>
      <c r="AC8" s="106">
        <v>0</v>
      </c>
      <c r="AD8" s="106">
        <v>0</v>
      </c>
      <c r="AE8" s="106">
        <v>0</v>
      </c>
      <c r="AF8" s="106">
        <v>0</v>
      </c>
      <c r="AG8" s="106">
        <v>0</v>
      </c>
      <c r="AH8" s="106">
        <v>0</v>
      </c>
      <c r="AI8" s="106">
        <v>0</v>
      </c>
      <c r="AJ8" s="106">
        <v>0</v>
      </c>
      <c r="AK8" s="106">
        <v>0</v>
      </c>
      <c r="AL8" s="106">
        <v>0</v>
      </c>
      <c r="AM8" s="106">
        <v>0</v>
      </c>
      <c r="AN8" s="106">
        <v>0</v>
      </c>
      <c r="AO8" s="106">
        <v>0</v>
      </c>
      <c r="AP8" s="106">
        <v>0</v>
      </c>
      <c r="AQ8" s="107">
        <v>0</v>
      </c>
    </row>
    <row r="9" spans="2:43" ht="12" customHeight="1" x14ac:dyDescent="0.25">
      <c r="B9" s="105" t="s">
        <v>34</v>
      </c>
      <c r="C9" s="106" t="s">
        <v>74</v>
      </c>
      <c r="D9" s="106" t="s">
        <v>25</v>
      </c>
      <c r="E9" s="106" t="s">
        <v>25</v>
      </c>
      <c r="F9" s="106" t="s">
        <v>25</v>
      </c>
      <c r="G9" s="106" t="s">
        <v>36</v>
      </c>
      <c r="H9" s="106" t="s">
        <v>75</v>
      </c>
      <c r="I9" s="106" t="s">
        <v>25</v>
      </c>
      <c r="J9" s="106">
        <v>0</v>
      </c>
      <c r="K9" s="106">
        <v>0</v>
      </c>
      <c r="L9" s="106">
        <v>0</v>
      </c>
      <c r="M9" s="106">
        <v>0</v>
      </c>
      <c r="N9" s="106">
        <v>0</v>
      </c>
      <c r="O9" s="106">
        <v>0</v>
      </c>
      <c r="P9" s="106">
        <v>0</v>
      </c>
      <c r="Q9" s="106">
        <v>0</v>
      </c>
      <c r="R9" s="106">
        <v>0</v>
      </c>
      <c r="S9" s="106">
        <v>0</v>
      </c>
      <c r="T9" s="106">
        <v>0</v>
      </c>
      <c r="U9" s="106">
        <v>0</v>
      </c>
      <c r="V9" s="106">
        <v>0</v>
      </c>
      <c r="W9" s="106">
        <v>0</v>
      </c>
      <c r="X9" s="106">
        <v>0</v>
      </c>
      <c r="Y9" s="106">
        <v>0</v>
      </c>
      <c r="Z9" s="106">
        <v>0</v>
      </c>
      <c r="AA9" s="106">
        <v>0</v>
      </c>
      <c r="AB9" s="106">
        <v>0</v>
      </c>
      <c r="AC9" s="106">
        <v>0</v>
      </c>
      <c r="AD9" s="106">
        <v>0</v>
      </c>
      <c r="AE9" s="106">
        <v>0</v>
      </c>
      <c r="AF9" s="106">
        <v>0</v>
      </c>
      <c r="AG9" s="106">
        <v>0</v>
      </c>
      <c r="AH9" s="106">
        <v>0</v>
      </c>
      <c r="AI9" s="106">
        <v>0</v>
      </c>
      <c r="AJ9" s="106">
        <v>0</v>
      </c>
      <c r="AK9" s="106">
        <v>0</v>
      </c>
      <c r="AL9" s="106">
        <v>0</v>
      </c>
      <c r="AM9" s="106">
        <v>0</v>
      </c>
      <c r="AN9" s="106">
        <v>0</v>
      </c>
      <c r="AO9" s="106">
        <v>0</v>
      </c>
      <c r="AP9" s="106">
        <v>0</v>
      </c>
      <c r="AQ9" s="107">
        <v>0</v>
      </c>
    </row>
    <row r="10" spans="2:43" ht="12" customHeight="1" x14ac:dyDescent="0.25">
      <c r="B10" s="105" t="s">
        <v>34</v>
      </c>
      <c r="C10" s="106" t="s">
        <v>74</v>
      </c>
      <c r="D10" s="106" t="s">
        <v>25</v>
      </c>
      <c r="E10" s="106" t="s">
        <v>25</v>
      </c>
      <c r="F10" s="106" t="s">
        <v>25</v>
      </c>
      <c r="G10" s="106" t="s">
        <v>37</v>
      </c>
      <c r="H10" s="106" t="s">
        <v>69</v>
      </c>
      <c r="I10" s="106" t="s">
        <v>25</v>
      </c>
      <c r="J10" s="106">
        <v>0</v>
      </c>
      <c r="K10" s="106">
        <v>0</v>
      </c>
      <c r="L10" s="106">
        <v>0</v>
      </c>
      <c r="M10" s="106">
        <v>0</v>
      </c>
      <c r="N10" s="106">
        <v>0</v>
      </c>
      <c r="O10" s="106">
        <v>0</v>
      </c>
      <c r="P10" s="106">
        <v>0</v>
      </c>
      <c r="Q10" s="106">
        <v>0</v>
      </c>
      <c r="R10" s="106">
        <v>0</v>
      </c>
      <c r="S10" s="106">
        <v>0</v>
      </c>
      <c r="T10" s="106">
        <v>0</v>
      </c>
      <c r="U10" s="106">
        <v>0</v>
      </c>
      <c r="V10" s="106">
        <v>0</v>
      </c>
      <c r="W10" s="106">
        <v>0</v>
      </c>
      <c r="X10" s="106">
        <v>0</v>
      </c>
      <c r="Y10" s="106">
        <v>0</v>
      </c>
      <c r="Z10" s="106">
        <v>0</v>
      </c>
      <c r="AA10" s="106">
        <v>0</v>
      </c>
      <c r="AB10" s="106">
        <v>0</v>
      </c>
      <c r="AC10" s="106">
        <v>0</v>
      </c>
      <c r="AD10" s="106">
        <v>0</v>
      </c>
      <c r="AE10" s="106">
        <v>0</v>
      </c>
      <c r="AF10" s="106">
        <v>0</v>
      </c>
      <c r="AG10" s="106">
        <v>0</v>
      </c>
      <c r="AH10" s="106">
        <v>0</v>
      </c>
      <c r="AI10" s="106">
        <v>0</v>
      </c>
      <c r="AJ10" s="106">
        <v>0</v>
      </c>
      <c r="AK10" s="106">
        <v>0</v>
      </c>
      <c r="AL10" s="106">
        <v>0</v>
      </c>
      <c r="AM10" s="106">
        <v>0</v>
      </c>
      <c r="AN10" s="106">
        <v>0</v>
      </c>
      <c r="AO10" s="106">
        <v>0</v>
      </c>
      <c r="AP10" s="106">
        <v>0</v>
      </c>
      <c r="AQ10" s="107">
        <v>0</v>
      </c>
    </row>
    <row r="11" spans="2:43" ht="12" customHeight="1" x14ac:dyDescent="0.25">
      <c r="B11" s="105" t="s">
        <v>34</v>
      </c>
      <c r="C11" s="106" t="s">
        <v>74</v>
      </c>
      <c r="D11" s="106" t="s">
        <v>25</v>
      </c>
      <c r="E11" s="106" t="s">
        <v>25</v>
      </c>
      <c r="F11" s="106" t="s">
        <v>25</v>
      </c>
      <c r="G11" s="106" t="s">
        <v>37</v>
      </c>
      <c r="H11" s="106" t="s">
        <v>75</v>
      </c>
      <c r="I11" s="106" t="s">
        <v>25</v>
      </c>
      <c r="J11" s="106">
        <v>0</v>
      </c>
      <c r="K11" s="106">
        <v>0</v>
      </c>
      <c r="L11" s="106">
        <v>0</v>
      </c>
      <c r="M11" s="106">
        <v>0</v>
      </c>
      <c r="N11" s="106">
        <v>0</v>
      </c>
      <c r="O11" s="106">
        <v>0</v>
      </c>
      <c r="P11" s="106">
        <v>0</v>
      </c>
      <c r="Q11" s="106">
        <v>0</v>
      </c>
      <c r="R11" s="106">
        <v>0</v>
      </c>
      <c r="S11" s="106">
        <v>0</v>
      </c>
      <c r="T11" s="106">
        <v>0</v>
      </c>
      <c r="U11" s="106">
        <v>0</v>
      </c>
      <c r="V11" s="106">
        <v>0</v>
      </c>
      <c r="W11" s="106">
        <v>0</v>
      </c>
      <c r="X11" s="106">
        <v>0</v>
      </c>
      <c r="Y11" s="106">
        <v>0</v>
      </c>
      <c r="Z11" s="106">
        <v>0</v>
      </c>
      <c r="AA11" s="106">
        <v>0</v>
      </c>
      <c r="AB11" s="106">
        <v>0</v>
      </c>
      <c r="AC11" s="106">
        <v>0</v>
      </c>
      <c r="AD11" s="106">
        <v>0</v>
      </c>
      <c r="AE11" s="106">
        <v>0</v>
      </c>
      <c r="AF11" s="106">
        <v>0</v>
      </c>
      <c r="AG11" s="106">
        <v>0</v>
      </c>
      <c r="AH11" s="106">
        <v>0</v>
      </c>
      <c r="AI11" s="106">
        <v>0</v>
      </c>
      <c r="AJ11" s="106">
        <v>0</v>
      </c>
      <c r="AK11" s="106">
        <v>0</v>
      </c>
      <c r="AL11" s="106">
        <v>0</v>
      </c>
      <c r="AM11" s="106">
        <v>0</v>
      </c>
      <c r="AN11" s="106">
        <v>0</v>
      </c>
      <c r="AO11" s="106">
        <v>0</v>
      </c>
      <c r="AP11" s="106">
        <v>0</v>
      </c>
      <c r="AQ11" s="107">
        <v>0</v>
      </c>
    </row>
    <row r="12" spans="2:43" ht="12" customHeight="1" x14ac:dyDescent="0.25">
      <c r="B12" s="105" t="s">
        <v>34</v>
      </c>
      <c r="C12" s="106" t="s">
        <v>23</v>
      </c>
      <c r="D12" s="106" t="s">
        <v>25</v>
      </c>
      <c r="E12" s="106" t="s">
        <v>25</v>
      </c>
      <c r="F12" s="106" t="s">
        <v>25</v>
      </c>
      <c r="G12" s="106" t="s">
        <v>25</v>
      </c>
      <c r="H12" s="106" t="s">
        <v>69</v>
      </c>
      <c r="I12" s="106" t="s">
        <v>25</v>
      </c>
      <c r="J12" s="106">
        <v>0</v>
      </c>
      <c r="K12" s="106">
        <v>0</v>
      </c>
      <c r="L12" s="106">
        <v>0</v>
      </c>
      <c r="M12" s="106">
        <v>0</v>
      </c>
      <c r="N12" s="106">
        <v>0</v>
      </c>
      <c r="O12" s="106">
        <v>0</v>
      </c>
      <c r="P12" s="106">
        <v>0</v>
      </c>
      <c r="Q12" s="106">
        <v>0</v>
      </c>
      <c r="R12" s="106">
        <v>0</v>
      </c>
      <c r="S12" s="106">
        <v>0</v>
      </c>
      <c r="T12" s="106">
        <v>0</v>
      </c>
      <c r="U12" s="106">
        <v>0</v>
      </c>
      <c r="V12" s="106">
        <v>0</v>
      </c>
      <c r="W12" s="106">
        <v>0</v>
      </c>
      <c r="X12" s="106">
        <v>0</v>
      </c>
      <c r="Y12" s="106">
        <v>0</v>
      </c>
      <c r="Z12" s="106">
        <v>0</v>
      </c>
      <c r="AA12" s="106">
        <v>0</v>
      </c>
      <c r="AB12" s="106">
        <v>0</v>
      </c>
      <c r="AC12" s="106">
        <v>0</v>
      </c>
      <c r="AD12" s="106">
        <v>0</v>
      </c>
      <c r="AE12" s="106">
        <v>0</v>
      </c>
      <c r="AF12" s="106">
        <v>0</v>
      </c>
      <c r="AG12" s="106">
        <v>0</v>
      </c>
      <c r="AH12" s="106">
        <v>0</v>
      </c>
      <c r="AI12" s="106">
        <v>0</v>
      </c>
      <c r="AJ12" s="106">
        <v>0</v>
      </c>
      <c r="AK12" s="106">
        <v>0</v>
      </c>
      <c r="AL12" s="106">
        <v>0</v>
      </c>
      <c r="AM12" s="106">
        <v>0</v>
      </c>
      <c r="AN12" s="106">
        <v>0</v>
      </c>
      <c r="AO12" s="106">
        <v>0</v>
      </c>
      <c r="AP12" s="106">
        <v>0</v>
      </c>
      <c r="AQ12" s="107">
        <v>0</v>
      </c>
    </row>
    <row r="13" spans="2:43" ht="12" customHeight="1" x14ac:dyDescent="0.25">
      <c r="B13" s="105" t="s">
        <v>34</v>
      </c>
      <c r="C13" s="106" t="s">
        <v>79</v>
      </c>
      <c r="D13" s="106" t="s">
        <v>25</v>
      </c>
      <c r="E13" s="106" t="s">
        <v>25</v>
      </c>
      <c r="F13" s="106" t="s">
        <v>25</v>
      </c>
      <c r="G13" s="106" t="s">
        <v>25</v>
      </c>
      <c r="H13" s="106" t="s">
        <v>75</v>
      </c>
      <c r="I13" s="106" t="s">
        <v>25</v>
      </c>
      <c r="J13" s="106">
        <v>0</v>
      </c>
      <c r="K13" s="106">
        <v>0</v>
      </c>
      <c r="L13" s="106">
        <v>0</v>
      </c>
      <c r="M13" s="106">
        <v>0</v>
      </c>
      <c r="N13" s="106">
        <v>0</v>
      </c>
      <c r="O13" s="106">
        <v>0</v>
      </c>
      <c r="P13" s="106">
        <v>0</v>
      </c>
      <c r="Q13" s="106">
        <v>0</v>
      </c>
      <c r="R13" s="106">
        <v>0</v>
      </c>
      <c r="S13" s="106">
        <v>0</v>
      </c>
      <c r="T13" s="106">
        <v>0</v>
      </c>
      <c r="U13" s="106">
        <v>0</v>
      </c>
      <c r="V13" s="106">
        <v>0</v>
      </c>
      <c r="W13" s="106">
        <v>0</v>
      </c>
      <c r="X13" s="106">
        <v>0</v>
      </c>
      <c r="Y13" s="106">
        <v>0</v>
      </c>
      <c r="Z13" s="106">
        <v>0</v>
      </c>
      <c r="AA13" s="106">
        <v>0</v>
      </c>
      <c r="AB13" s="106">
        <v>0</v>
      </c>
      <c r="AC13" s="106">
        <v>0</v>
      </c>
      <c r="AD13" s="106">
        <v>0</v>
      </c>
      <c r="AE13" s="106">
        <v>0</v>
      </c>
      <c r="AF13" s="106">
        <v>0</v>
      </c>
      <c r="AG13" s="106">
        <v>0</v>
      </c>
      <c r="AH13" s="106">
        <v>0</v>
      </c>
      <c r="AI13" s="106">
        <v>0</v>
      </c>
      <c r="AJ13" s="106">
        <v>0</v>
      </c>
      <c r="AK13" s="106">
        <v>0</v>
      </c>
      <c r="AL13" s="106">
        <v>0</v>
      </c>
      <c r="AM13" s="106">
        <v>0</v>
      </c>
      <c r="AN13" s="106">
        <v>0</v>
      </c>
      <c r="AO13" s="106">
        <v>0</v>
      </c>
      <c r="AP13" s="106">
        <v>0</v>
      </c>
      <c r="AQ13" s="107">
        <v>0</v>
      </c>
    </row>
    <row r="14" spans="2:43" ht="12" customHeight="1" x14ac:dyDescent="0.25">
      <c r="B14" s="105" t="s">
        <v>34</v>
      </c>
      <c r="C14" s="106" t="s">
        <v>35</v>
      </c>
      <c r="D14" s="106" t="s">
        <v>25</v>
      </c>
      <c r="E14" s="106" t="s">
        <v>25</v>
      </c>
      <c r="F14" s="106" t="s">
        <v>78</v>
      </c>
      <c r="G14" s="106" t="s">
        <v>36</v>
      </c>
      <c r="H14" s="106" t="s">
        <v>69</v>
      </c>
      <c r="I14" s="106" t="s">
        <v>25</v>
      </c>
      <c r="J14" s="106">
        <v>0</v>
      </c>
      <c r="K14" s="106">
        <v>0</v>
      </c>
      <c r="L14" s="106">
        <v>0</v>
      </c>
      <c r="M14" s="106">
        <v>0</v>
      </c>
      <c r="N14" s="106">
        <v>0</v>
      </c>
      <c r="O14" s="106">
        <v>0</v>
      </c>
      <c r="P14" s="106">
        <v>0</v>
      </c>
      <c r="Q14" s="106">
        <v>0</v>
      </c>
      <c r="R14" s="106">
        <v>0</v>
      </c>
      <c r="S14" s="106">
        <v>0</v>
      </c>
      <c r="T14" s="106">
        <v>0</v>
      </c>
      <c r="U14" s="106">
        <v>0</v>
      </c>
      <c r="V14" s="106">
        <v>0</v>
      </c>
      <c r="W14" s="106">
        <v>0</v>
      </c>
      <c r="X14" s="106">
        <v>0</v>
      </c>
      <c r="Y14" s="106">
        <v>0</v>
      </c>
      <c r="Z14" s="106">
        <v>0</v>
      </c>
      <c r="AA14" s="106">
        <v>0</v>
      </c>
      <c r="AB14" s="106">
        <v>0</v>
      </c>
      <c r="AC14" s="106">
        <v>0</v>
      </c>
      <c r="AD14" s="106">
        <v>0</v>
      </c>
      <c r="AE14" s="106">
        <v>0</v>
      </c>
      <c r="AF14" s="106">
        <v>0</v>
      </c>
      <c r="AG14" s="106">
        <v>0</v>
      </c>
      <c r="AH14" s="106">
        <v>0</v>
      </c>
      <c r="AI14" s="106">
        <v>0</v>
      </c>
      <c r="AJ14" s="106">
        <v>0</v>
      </c>
      <c r="AK14" s="106">
        <v>0</v>
      </c>
      <c r="AL14" s="106">
        <v>0</v>
      </c>
      <c r="AM14" s="106">
        <v>0</v>
      </c>
      <c r="AN14" s="106">
        <v>0</v>
      </c>
      <c r="AO14" s="106">
        <v>0</v>
      </c>
      <c r="AP14" s="106">
        <v>0</v>
      </c>
      <c r="AQ14" s="107">
        <v>0</v>
      </c>
    </row>
    <row r="15" spans="2:43" ht="12" customHeight="1" x14ac:dyDescent="0.25">
      <c r="B15" s="105" t="s">
        <v>34</v>
      </c>
      <c r="C15" s="106" t="s">
        <v>35</v>
      </c>
      <c r="D15" s="106" t="s">
        <v>25</v>
      </c>
      <c r="E15" s="106" t="s">
        <v>25</v>
      </c>
      <c r="F15" s="106" t="s">
        <v>78</v>
      </c>
      <c r="G15" s="106" t="s">
        <v>25</v>
      </c>
      <c r="H15" s="106" t="s">
        <v>75</v>
      </c>
      <c r="I15" s="106" t="s">
        <v>25</v>
      </c>
      <c r="J15" s="106">
        <v>0</v>
      </c>
      <c r="K15" s="106">
        <v>0</v>
      </c>
      <c r="L15" s="106">
        <v>0</v>
      </c>
      <c r="M15" s="106">
        <v>0</v>
      </c>
      <c r="N15" s="106">
        <v>0</v>
      </c>
      <c r="O15" s="106">
        <v>0</v>
      </c>
      <c r="P15" s="106">
        <v>0</v>
      </c>
      <c r="Q15" s="106">
        <v>0</v>
      </c>
      <c r="R15" s="106">
        <v>0</v>
      </c>
      <c r="S15" s="106">
        <v>0</v>
      </c>
      <c r="T15" s="106">
        <v>0</v>
      </c>
      <c r="U15" s="106">
        <v>0</v>
      </c>
      <c r="V15" s="106">
        <v>0</v>
      </c>
      <c r="W15" s="106">
        <v>0</v>
      </c>
      <c r="X15" s="106">
        <v>0</v>
      </c>
      <c r="Y15" s="106">
        <v>0</v>
      </c>
      <c r="Z15" s="106">
        <v>0</v>
      </c>
      <c r="AA15" s="106">
        <v>0</v>
      </c>
      <c r="AB15" s="106">
        <v>0</v>
      </c>
      <c r="AC15" s="106">
        <v>0</v>
      </c>
      <c r="AD15" s="106">
        <v>0</v>
      </c>
      <c r="AE15" s="106">
        <v>0</v>
      </c>
      <c r="AF15" s="106">
        <v>0</v>
      </c>
      <c r="AG15" s="106">
        <v>0</v>
      </c>
      <c r="AH15" s="106">
        <v>0</v>
      </c>
      <c r="AI15" s="106">
        <v>0</v>
      </c>
      <c r="AJ15" s="106">
        <v>0</v>
      </c>
      <c r="AK15" s="106">
        <v>0</v>
      </c>
      <c r="AL15" s="106">
        <v>0</v>
      </c>
      <c r="AM15" s="106">
        <v>0</v>
      </c>
      <c r="AN15" s="106">
        <v>0</v>
      </c>
      <c r="AO15" s="106">
        <v>0</v>
      </c>
      <c r="AP15" s="106">
        <v>0</v>
      </c>
      <c r="AQ15" s="107">
        <v>0</v>
      </c>
    </row>
    <row r="16" spans="2:43" ht="12" customHeight="1" x14ac:dyDescent="0.25">
      <c r="B16" s="105" t="s">
        <v>34</v>
      </c>
      <c r="C16" s="106" t="s">
        <v>35</v>
      </c>
      <c r="D16" s="106" t="s">
        <v>25</v>
      </c>
      <c r="E16" s="106" t="s">
        <v>25</v>
      </c>
      <c r="F16" s="106" t="s">
        <v>78</v>
      </c>
      <c r="G16" s="106" t="s">
        <v>37</v>
      </c>
      <c r="H16" s="106" t="s">
        <v>69</v>
      </c>
      <c r="I16" s="106" t="s">
        <v>25</v>
      </c>
      <c r="J16" s="106">
        <v>0</v>
      </c>
      <c r="K16" s="106">
        <v>0</v>
      </c>
      <c r="L16" s="106">
        <v>0</v>
      </c>
      <c r="M16" s="106">
        <v>0</v>
      </c>
      <c r="N16" s="106">
        <v>0</v>
      </c>
      <c r="O16" s="106">
        <v>0</v>
      </c>
      <c r="P16" s="106">
        <v>0</v>
      </c>
      <c r="Q16" s="106">
        <v>0</v>
      </c>
      <c r="R16" s="106">
        <v>0</v>
      </c>
      <c r="S16" s="106">
        <v>0</v>
      </c>
      <c r="T16" s="106">
        <v>0</v>
      </c>
      <c r="U16" s="106">
        <v>0</v>
      </c>
      <c r="V16" s="106">
        <v>0</v>
      </c>
      <c r="W16" s="106">
        <v>0</v>
      </c>
      <c r="X16" s="106">
        <v>0</v>
      </c>
      <c r="Y16" s="106">
        <v>0</v>
      </c>
      <c r="Z16" s="106">
        <v>0</v>
      </c>
      <c r="AA16" s="106">
        <v>0</v>
      </c>
      <c r="AB16" s="106">
        <v>0</v>
      </c>
      <c r="AC16" s="106">
        <v>0</v>
      </c>
      <c r="AD16" s="106">
        <v>0</v>
      </c>
      <c r="AE16" s="106">
        <v>0</v>
      </c>
      <c r="AF16" s="106">
        <v>0</v>
      </c>
      <c r="AG16" s="106">
        <v>0</v>
      </c>
      <c r="AH16" s="106">
        <v>0</v>
      </c>
      <c r="AI16" s="106">
        <v>0</v>
      </c>
      <c r="AJ16" s="106">
        <v>0</v>
      </c>
      <c r="AK16" s="106">
        <v>0</v>
      </c>
      <c r="AL16" s="106">
        <v>0</v>
      </c>
      <c r="AM16" s="106">
        <v>0</v>
      </c>
      <c r="AN16" s="106">
        <v>0</v>
      </c>
      <c r="AO16" s="106">
        <v>0</v>
      </c>
      <c r="AP16" s="106">
        <v>0</v>
      </c>
      <c r="AQ16" s="107">
        <v>0</v>
      </c>
    </row>
    <row r="17" spans="2:43" ht="12" customHeight="1" x14ac:dyDescent="0.25">
      <c r="B17" s="105" t="s">
        <v>34</v>
      </c>
      <c r="C17" s="106" t="s">
        <v>35</v>
      </c>
      <c r="D17" s="106" t="s">
        <v>25</v>
      </c>
      <c r="E17" s="106" t="s">
        <v>25</v>
      </c>
      <c r="F17" s="106" t="s">
        <v>25</v>
      </c>
      <c r="G17" s="106" t="s">
        <v>36</v>
      </c>
      <c r="H17" s="106" t="s">
        <v>69</v>
      </c>
      <c r="I17" s="106" t="s">
        <v>25</v>
      </c>
      <c r="J17" s="106">
        <v>0</v>
      </c>
      <c r="K17" s="106">
        <v>0</v>
      </c>
      <c r="L17" s="106">
        <v>0</v>
      </c>
      <c r="M17" s="106">
        <v>0</v>
      </c>
      <c r="N17" s="106">
        <v>0</v>
      </c>
      <c r="O17" s="106">
        <v>0</v>
      </c>
      <c r="P17" s="106">
        <v>0</v>
      </c>
      <c r="Q17" s="106">
        <v>0</v>
      </c>
      <c r="R17" s="106">
        <v>0</v>
      </c>
      <c r="S17" s="106">
        <v>0</v>
      </c>
      <c r="T17" s="106">
        <v>0</v>
      </c>
      <c r="U17" s="106">
        <v>0</v>
      </c>
      <c r="V17" s="106">
        <v>0</v>
      </c>
      <c r="W17" s="106">
        <v>0</v>
      </c>
      <c r="X17" s="106">
        <v>0</v>
      </c>
      <c r="Y17" s="106">
        <v>0</v>
      </c>
      <c r="Z17" s="106">
        <v>0</v>
      </c>
      <c r="AA17" s="106">
        <v>0</v>
      </c>
      <c r="AB17" s="106">
        <v>0</v>
      </c>
      <c r="AC17" s="106">
        <v>0</v>
      </c>
      <c r="AD17" s="106">
        <v>0</v>
      </c>
      <c r="AE17" s="106">
        <v>0</v>
      </c>
      <c r="AF17" s="106">
        <v>0</v>
      </c>
      <c r="AG17" s="106">
        <v>0</v>
      </c>
      <c r="AH17" s="106">
        <v>0</v>
      </c>
      <c r="AI17" s="106">
        <v>0</v>
      </c>
      <c r="AJ17" s="106">
        <v>0</v>
      </c>
      <c r="AK17" s="106">
        <v>0</v>
      </c>
      <c r="AL17" s="106">
        <v>0</v>
      </c>
      <c r="AM17" s="106">
        <v>0</v>
      </c>
      <c r="AN17" s="106">
        <v>0</v>
      </c>
      <c r="AO17" s="106">
        <v>0</v>
      </c>
      <c r="AP17" s="106">
        <v>0</v>
      </c>
      <c r="AQ17" s="107">
        <v>0</v>
      </c>
    </row>
    <row r="18" spans="2:43" ht="12" customHeight="1" x14ac:dyDescent="0.25">
      <c r="B18" s="105" t="s">
        <v>34</v>
      </c>
      <c r="C18" s="106" t="s">
        <v>35</v>
      </c>
      <c r="D18" s="106" t="s">
        <v>25</v>
      </c>
      <c r="E18" s="106" t="s">
        <v>25</v>
      </c>
      <c r="F18" s="106" t="s">
        <v>25</v>
      </c>
      <c r="G18" s="106" t="s">
        <v>25</v>
      </c>
      <c r="H18" s="106" t="s">
        <v>75</v>
      </c>
      <c r="I18" s="106" t="s">
        <v>25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6">
        <v>0</v>
      </c>
      <c r="AG18" s="106">
        <v>0</v>
      </c>
      <c r="AH18" s="106">
        <v>0</v>
      </c>
      <c r="AI18" s="106">
        <v>0</v>
      </c>
      <c r="AJ18" s="106">
        <v>0</v>
      </c>
      <c r="AK18" s="106">
        <v>0</v>
      </c>
      <c r="AL18" s="106">
        <v>0</v>
      </c>
      <c r="AM18" s="106">
        <v>0</v>
      </c>
      <c r="AN18" s="106">
        <v>0</v>
      </c>
      <c r="AO18" s="106">
        <v>0</v>
      </c>
      <c r="AP18" s="106">
        <v>0</v>
      </c>
      <c r="AQ18" s="107">
        <v>0</v>
      </c>
    </row>
    <row r="19" spans="2:43" ht="12" customHeight="1" x14ac:dyDescent="0.25">
      <c r="B19" s="105" t="s">
        <v>34</v>
      </c>
      <c r="C19" s="106" t="s">
        <v>35</v>
      </c>
      <c r="D19" s="106" t="s">
        <v>25</v>
      </c>
      <c r="E19" s="106" t="s">
        <v>25</v>
      </c>
      <c r="F19" s="106" t="s">
        <v>25</v>
      </c>
      <c r="G19" s="106" t="s">
        <v>37</v>
      </c>
      <c r="H19" s="106" t="s">
        <v>69</v>
      </c>
      <c r="I19" s="106" t="s">
        <v>25</v>
      </c>
      <c r="J19" s="106">
        <v>0</v>
      </c>
      <c r="K19" s="106">
        <v>0</v>
      </c>
      <c r="L19" s="106">
        <v>0</v>
      </c>
      <c r="M19" s="106">
        <v>0</v>
      </c>
      <c r="N19" s="106">
        <v>0</v>
      </c>
      <c r="O19" s="106">
        <v>0</v>
      </c>
      <c r="P19" s="106">
        <v>0</v>
      </c>
      <c r="Q19" s="106">
        <v>0</v>
      </c>
      <c r="R19" s="106">
        <v>0</v>
      </c>
      <c r="S19" s="106">
        <v>0</v>
      </c>
      <c r="T19" s="106">
        <v>0</v>
      </c>
      <c r="U19" s="106">
        <v>0</v>
      </c>
      <c r="V19" s="106">
        <v>0</v>
      </c>
      <c r="W19" s="106">
        <v>0</v>
      </c>
      <c r="X19" s="106">
        <v>0</v>
      </c>
      <c r="Y19" s="106">
        <v>0</v>
      </c>
      <c r="Z19" s="106">
        <v>0</v>
      </c>
      <c r="AA19" s="106">
        <v>0</v>
      </c>
      <c r="AB19" s="106">
        <v>0</v>
      </c>
      <c r="AC19" s="106">
        <v>0</v>
      </c>
      <c r="AD19" s="106">
        <v>0</v>
      </c>
      <c r="AE19" s="106">
        <v>0</v>
      </c>
      <c r="AF19" s="106">
        <v>0</v>
      </c>
      <c r="AG19" s="106">
        <v>0</v>
      </c>
      <c r="AH19" s="106">
        <v>0</v>
      </c>
      <c r="AI19" s="106">
        <v>0</v>
      </c>
      <c r="AJ19" s="106">
        <v>0</v>
      </c>
      <c r="AK19" s="106">
        <v>0</v>
      </c>
      <c r="AL19" s="106">
        <v>0</v>
      </c>
      <c r="AM19" s="106">
        <v>0</v>
      </c>
      <c r="AN19" s="106">
        <v>0</v>
      </c>
      <c r="AO19" s="106">
        <v>0</v>
      </c>
      <c r="AP19" s="106">
        <v>0</v>
      </c>
      <c r="AQ19" s="107">
        <v>0</v>
      </c>
    </row>
    <row r="20" spans="2:43" ht="12" customHeight="1" x14ac:dyDescent="0.25">
      <c r="B20" s="105" t="s">
        <v>80</v>
      </c>
      <c r="C20" s="106" t="s">
        <v>79</v>
      </c>
      <c r="D20" s="106" t="s">
        <v>25</v>
      </c>
      <c r="E20" s="106" t="s">
        <v>25</v>
      </c>
      <c r="F20" s="106" t="s">
        <v>81</v>
      </c>
      <c r="G20" s="106" t="s">
        <v>25</v>
      </c>
      <c r="H20" s="106" t="s">
        <v>75</v>
      </c>
      <c r="I20" s="106" t="s">
        <v>25</v>
      </c>
      <c r="J20" s="106">
        <v>0</v>
      </c>
      <c r="K20" s="106">
        <v>0</v>
      </c>
      <c r="L20" s="106">
        <v>0</v>
      </c>
      <c r="M20" s="106">
        <v>0</v>
      </c>
      <c r="N20" s="106">
        <v>0</v>
      </c>
      <c r="O20" s="106">
        <v>0</v>
      </c>
      <c r="P20" s="106">
        <v>0</v>
      </c>
      <c r="Q20" s="106">
        <v>0</v>
      </c>
      <c r="R20" s="106">
        <v>0</v>
      </c>
      <c r="S20" s="106">
        <v>0</v>
      </c>
      <c r="T20" s="106">
        <v>0</v>
      </c>
      <c r="U20" s="106">
        <v>0</v>
      </c>
      <c r="V20" s="106">
        <v>0</v>
      </c>
      <c r="W20" s="106">
        <v>0</v>
      </c>
      <c r="X20" s="106">
        <v>0</v>
      </c>
      <c r="Y20" s="106">
        <v>0</v>
      </c>
      <c r="Z20" s="106">
        <v>0</v>
      </c>
      <c r="AA20" s="106">
        <v>0</v>
      </c>
      <c r="AB20" s="106">
        <v>0</v>
      </c>
      <c r="AC20" s="106">
        <v>0</v>
      </c>
      <c r="AD20" s="106">
        <v>0</v>
      </c>
      <c r="AE20" s="106">
        <v>0</v>
      </c>
      <c r="AF20" s="106">
        <v>0</v>
      </c>
      <c r="AG20" s="106">
        <v>0</v>
      </c>
      <c r="AH20" s="106">
        <v>0</v>
      </c>
      <c r="AI20" s="106">
        <v>0</v>
      </c>
      <c r="AJ20" s="106">
        <v>0</v>
      </c>
      <c r="AK20" s="106">
        <v>0</v>
      </c>
      <c r="AL20" s="106">
        <v>0</v>
      </c>
      <c r="AM20" s="106">
        <v>0</v>
      </c>
      <c r="AN20" s="106">
        <v>0</v>
      </c>
      <c r="AO20" s="106">
        <v>0</v>
      </c>
      <c r="AP20" s="106">
        <v>0</v>
      </c>
      <c r="AQ20" s="107">
        <v>0</v>
      </c>
    </row>
    <row r="21" spans="2:43" ht="12" customHeight="1" x14ac:dyDescent="0.25">
      <c r="B21" s="105" t="s">
        <v>80</v>
      </c>
      <c r="C21" s="106" t="s">
        <v>79</v>
      </c>
      <c r="D21" s="106" t="s">
        <v>25</v>
      </c>
      <c r="E21" s="106" t="s">
        <v>25</v>
      </c>
      <c r="F21" s="106" t="s">
        <v>82</v>
      </c>
      <c r="G21" s="106" t="s">
        <v>25</v>
      </c>
      <c r="H21" s="106" t="s">
        <v>75</v>
      </c>
      <c r="I21" s="106" t="s">
        <v>25</v>
      </c>
      <c r="J21" s="106">
        <v>0</v>
      </c>
      <c r="K21" s="106">
        <v>0</v>
      </c>
      <c r="L21" s="106">
        <v>0</v>
      </c>
      <c r="M21" s="106">
        <v>0</v>
      </c>
      <c r="N21" s="106">
        <v>0</v>
      </c>
      <c r="O21" s="106">
        <v>0</v>
      </c>
      <c r="P21" s="106">
        <v>0</v>
      </c>
      <c r="Q21" s="106">
        <v>0</v>
      </c>
      <c r="R21" s="106">
        <v>0</v>
      </c>
      <c r="S21" s="106">
        <v>0</v>
      </c>
      <c r="T21" s="106">
        <v>0</v>
      </c>
      <c r="U21" s="106">
        <v>0</v>
      </c>
      <c r="V21" s="106">
        <v>0</v>
      </c>
      <c r="W21" s="106">
        <v>0</v>
      </c>
      <c r="X21" s="106">
        <v>0</v>
      </c>
      <c r="Y21" s="106">
        <v>0</v>
      </c>
      <c r="Z21" s="106">
        <v>0</v>
      </c>
      <c r="AA21" s="106">
        <v>0</v>
      </c>
      <c r="AB21" s="106">
        <v>0</v>
      </c>
      <c r="AC21" s="106">
        <v>0</v>
      </c>
      <c r="AD21" s="106">
        <v>0</v>
      </c>
      <c r="AE21" s="106">
        <v>0</v>
      </c>
      <c r="AF21" s="106">
        <v>0</v>
      </c>
      <c r="AG21" s="106">
        <v>0</v>
      </c>
      <c r="AH21" s="106">
        <v>0</v>
      </c>
      <c r="AI21" s="106">
        <v>0</v>
      </c>
      <c r="AJ21" s="106">
        <v>0</v>
      </c>
      <c r="AK21" s="106">
        <v>0</v>
      </c>
      <c r="AL21" s="106">
        <v>0</v>
      </c>
      <c r="AM21" s="106">
        <v>0</v>
      </c>
      <c r="AN21" s="106">
        <v>0</v>
      </c>
      <c r="AO21" s="106">
        <v>0</v>
      </c>
      <c r="AP21" s="106">
        <v>0</v>
      </c>
      <c r="AQ21" s="107">
        <v>0</v>
      </c>
    </row>
    <row r="22" spans="2:43" ht="12" customHeight="1" x14ac:dyDescent="0.25">
      <c r="B22" s="105" t="s">
        <v>22</v>
      </c>
      <c r="C22" s="106" t="s">
        <v>39</v>
      </c>
      <c r="D22" s="106" t="s">
        <v>24</v>
      </c>
      <c r="E22" s="106" t="s">
        <v>24</v>
      </c>
      <c r="F22" s="106" t="s">
        <v>25</v>
      </c>
      <c r="G22" s="106" t="s">
        <v>36</v>
      </c>
      <c r="H22" s="106" t="s">
        <v>69</v>
      </c>
      <c r="I22" s="106" t="s">
        <v>25</v>
      </c>
      <c r="J22" s="106">
        <v>0</v>
      </c>
      <c r="K22" s="106">
        <v>0</v>
      </c>
      <c r="L22" s="106">
        <v>0</v>
      </c>
      <c r="M22" s="106">
        <v>0</v>
      </c>
      <c r="N22" s="106">
        <v>0</v>
      </c>
      <c r="O22" s="106">
        <v>0</v>
      </c>
      <c r="P22" s="106">
        <v>0</v>
      </c>
      <c r="Q22" s="106">
        <v>0</v>
      </c>
      <c r="R22" s="106">
        <v>0</v>
      </c>
      <c r="S22" s="106">
        <v>0</v>
      </c>
      <c r="T22" s="106">
        <v>0</v>
      </c>
      <c r="U22" s="106">
        <v>0</v>
      </c>
      <c r="V22" s="106">
        <v>0</v>
      </c>
      <c r="W22" s="106">
        <v>0</v>
      </c>
      <c r="X22" s="106">
        <v>0</v>
      </c>
      <c r="Y22" s="106">
        <v>0</v>
      </c>
      <c r="Z22" s="106">
        <v>0</v>
      </c>
      <c r="AA22" s="106">
        <v>0</v>
      </c>
      <c r="AB22" s="106">
        <v>0</v>
      </c>
      <c r="AC22" s="106">
        <v>0</v>
      </c>
      <c r="AD22" s="106">
        <v>0</v>
      </c>
      <c r="AE22" s="106">
        <v>0</v>
      </c>
      <c r="AF22" s="106">
        <v>0</v>
      </c>
      <c r="AG22" s="106">
        <v>0</v>
      </c>
      <c r="AH22" s="106">
        <v>0</v>
      </c>
      <c r="AI22" s="106">
        <v>0</v>
      </c>
      <c r="AJ22" s="106">
        <v>0</v>
      </c>
      <c r="AK22" s="106">
        <v>0</v>
      </c>
      <c r="AL22" s="106">
        <v>0</v>
      </c>
      <c r="AM22" s="106">
        <v>0</v>
      </c>
      <c r="AN22" s="106">
        <v>0</v>
      </c>
      <c r="AO22" s="106">
        <v>0</v>
      </c>
      <c r="AP22" s="106">
        <v>0</v>
      </c>
      <c r="AQ22" s="107">
        <v>0</v>
      </c>
    </row>
    <row r="23" spans="2:43" ht="12" customHeight="1" x14ac:dyDescent="0.25">
      <c r="B23" s="105" t="s">
        <v>22</v>
      </c>
      <c r="C23" s="106" t="s">
        <v>39</v>
      </c>
      <c r="D23" s="106" t="s">
        <v>24</v>
      </c>
      <c r="E23" s="106" t="s">
        <v>24</v>
      </c>
      <c r="F23" s="106" t="s">
        <v>25</v>
      </c>
      <c r="G23" s="106" t="s">
        <v>40</v>
      </c>
      <c r="H23" s="106" t="s">
        <v>69</v>
      </c>
      <c r="I23" s="106" t="s">
        <v>25</v>
      </c>
      <c r="J23" s="106">
        <v>0</v>
      </c>
      <c r="K23" s="106">
        <v>0</v>
      </c>
      <c r="L23" s="106">
        <v>0</v>
      </c>
      <c r="M23" s="106">
        <v>0</v>
      </c>
      <c r="N23" s="106">
        <v>0</v>
      </c>
      <c r="O23" s="106">
        <v>0</v>
      </c>
      <c r="P23" s="106">
        <v>0</v>
      </c>
      <c r="Q23" s="106">
        <v>0</v>
      </c>
      <c r="R23" s="106">
        <v>0</v>
      </c>
      <c r="S23" s="106">
        <v>0</v>
      </c>
      <c r="T23" s="106">
        <v>0</v>
      </c>
      <c r="U23" s="106">
        <v>0</v>
      </c>
      <c r="V23" s="106">
        <v>0</v>
      </c>
      <c r="W23" s="106">
        <v>0</v>
      </c>
      <c r="X23" s="106">
        <v>0</v>
      </c>
      <c r="Y23" s="106">
        <v>0</v>
      </c>
      <c r="Z23" s="106">
        <v>0</v>
      </c>
      <c r="AA23" s="106">
        <v>0</v>
      </c>
      <c r="AB23" s="106">
        <v>0</v>
      </c>
      <c r="AC23" s="106">
        <v>0</v>
      </c>
      <c r="AD23" s="106">
        <v>0</v>
      </c>
      <c r="AE23" s="106">
        <v>0</v>
      </c>
      <c r="AF23" s="106">
        <v>0</v>
      </c>
      <c r="AG23" s="106">
        <v>0</v>
      </c>
      <c r="AH23" s="106">
        <v>0</v>
      </c>
      <c r="AI23" s="106">
        <v>0</v>
      </c>
      <c r="AJ23" s="106">
        <v>0</v>
      </c>
      <c r="AK23" s="106">
        <v>0</v>
      </c>
      <c r="AL23" s="106">
        <v>0</v>
      </c>
      <c r="AM23" s="106">
        <v>0</v>
      </c>
      <c r="AN23" s="106">
        <v>0</v>
      </c>
      <c r="AO23" s="106">
        <v>0</v>
      </c>
      <c r="AP23" s="106">
        <v>0</v>
      </c>
      <c r="AQ23" s="107">
        <v>0</v>
      </c>
    </row>
    <row r="24" spans="2:43" ht="12" customHeight="1" x14ac:dyDescent="0.25">
      <c r="B24" s="105" t="s">
        <v>22</v>
      </c>
      <c r="C24" s="106" t="s">
        <v>39</v>
      </c>
      <c r="D24" s="106" t="s">
        <v>24</v>
      </c>
      <c r="E24" s="106" t="s">
        <v>24</v>
      </c>
      <c r="F24" s="106" t="s">
        <v>25</v>
      </c>
      <c r="G24" s="106" t="s">
        <v>37</v>
      </c>
      <c r="H24" s="106" t="s">
        <v>69</v>
      </c>
      <c r="I24" s="106" t="s">
        <v>25</v>
      </c>
      <c r="J24" s="106">
        <v>0</v>
      </c>
      <c r="K24" s="106">
        <v>0</v>
      </c>
      <c r="L24" s="106">
        <v>0</v>
      </c>
      <c r="M24" s="106">
        <v>0</v>
      </c>
      <c r="N24" s="106">
        <v>0</v>
      </c>
      <c r="O24" s="106">
        <v>0</v>
      </c>
      <c r="P24" s="106">
        <v>0</v>
      </c>
      <c r="Q24" s="106">
        <v>0</v>
      </c>
      <c r="R24" s="106">
        <v>0</v>
      </c>
      <c r="S24" s="106">
        <v>0</v>
      </c>
      <c r="T24" s="106">
        <v>0</v>
      </c>
      <c r="U24" s="106">
        <v>0</v>
      </c>
      <c r="V24" s="106">
        <v>0</v>
      </c>
      <c r="W24" s="106">
        <v>0</v>
      </c>
      <c r="X24" s="106">
        <v>0</v>
      </c>
      <c r="Y24" s="106">
        <v>0</v>
      </c>
      <c r="Z24" s="106">
        <v>0</v>
      </c>
      <c r="AA24" s="106">
        <v>0</v>
      </c>
      <c r="AB24" s="106">
        <v>0</v>
      </c>
      <c r="AC24" s="106">
        <v>0</v>
      </c>
      <c r="AD24" s="106">
        <v>0</v>
      </c>
      <c r="AE24" s="106">
        <v>0</v>
      </c>
      <c r="AF24" s="106">
        <v>0</v>
      </c>
      <c r="AG24" s="106">
        <v>0</v>
      </c>
      <c r="AH24" s="106">
        <v>0</v>
      </c>
      <c r="AI24" s="106">
        <v>0</v>
      </c>
      <c r="AJ24" s="106">
        <v>0</v>
      </c>
      <c r="AK24" s="106">
        <v>0</v>
      </c>
      <c r="AL24" s="106">
        <v>0</v>
      </c>
      <c r="AM24" s="106">
        <v>0</v>
      </c>
      <c r="AN24" s="106">
        <v>0</v>
      </c>
      <c r="AO24" s="106">
        <v>0</v>
      </c>
      <c r="AP24" s="106">
        <v>0</v>
      </c>
      <c r="AQ24" s="107">
        <v>0</v>
      </c>
    </row>
    <row r="25" spans="2:43" ht="12" customHeight="1" x14ac:dyDescent="0.25">
      <c r="B25" s="105" t="s">
        <v>22</v>
      </c>
      <c r="C25" s="106" t="s">
        <v>23</v>
      </c>
      <c r="D25" s="106" t="s">
        <v>24</v>
      </c>
      <c r="E25" s="106" t="s">
        <v>1182</v>
      </c>
      <c r="F25" s="106" t="s">
        <v>25</v>
      </c>
      <c r="G25" s="106" t="s">
        <v>25</v>
      </c>
      <c r="H25" s="106" t="s">
        <v>69</v>
      </c>
      <c r="I25" s="106" t="s">
        <v>25</v>
      </c>
      <c r="J25" s="106">
        <v>0</v>
      </c>
      <c r="K25" s="106">
        <v>0</v>
      </c>
      <c r="L25" s="106">
        <v>0</v>
      </c>
      <c r="M25" s="106">
        <v>0</v>
      </c>
      <c r="N25" s="106">
        <v>0</v>
      </c>
      <c r="O25" s="106">
        <v>0</v>
      </c>
      <c r="P25" s="106">
        <v>0</v>
      </c>
      <c r="Q25" s="106">
        <v>0</v>
      </c>
      <c r="R25" s="106">
        <v>0</v>
      </c>
      <c r="S25" s="106">
        <v>0</v>
      </c>
      <c r="T25" s="106">
        <v>0</v>
      </c>
      <c r="U25" s="106">
        <v>0</v>
      </c>
      <c r="V25" s="106">
        <v>0</v>
      </c>
      <c r="W25" s="106">
        <v>0</v>
      </c>
      <c r="X25" s="106">
        <v>0</v>
      </c>
      <c r="Y25" s="106">
        <v>0</v>
      </c>
      <c r="Z25" s="106">
        <v>0</v>
      </c>
      <c r="AA25" s="106">
        <v>0</v>
      </c>
      <c r="AB25" s="106">
        <v>0</v>
      </c>
      <c r="AC25" s="106">
        <v>0</v>
      </c>
      <c r="AD25" s="106">
        <v>0</v>
      </c>
      <c r="AE25" s="106">
        <v>0</v>
      </c>
      <c r="AF25" s="106">
        <v>0</v>
      </c>
      <c r="AG25" s="106">
        <v>0</v>
      </c>
      <c r="AH25" s="106">
        <v>0</v>
      </c>
      <c r="AI25" s="106">
        <v>0</v>
      </c>
      <c r="AJ25" s="106">
        <v>0</v>
      </c>
      <c r="AK25" s="106">
        <v>0</v>
      </c>
      <c r="AL25" s="106">
        <v>0</v>
      </c>
      <c r="AM25" s="106">
        <v>0</v>
      </c>
      <c r="AN25" s="106">
        <v>0</v>
      </c>
      <c r="AO25" s="106">
        <v>0</v>
      </c>
      <c r="AP25" s="106">
        <v>0</v>
      </c>
      <c r="AQ25" s="107">
        <v>0</v>
      </c>
    </row>
    <row r="26" spans="2:43" ht="12" customHeight="1" x14ac:dyDescent="0.25">
      <c r="B26" s="105" t="s">
        <v>22</v>
      </c>
      <c r="C26" s="106" t="s">
        <v>23</v>
      </c>
      <c r="D26" s="106" t="s">
        <v>24</v>
      </c>
      <c r="E26" s="106" t="s">
        <v>24</v>
      </c>
      <c r="F26" s="106" t="s">
        <v>25</v>
      </c>
      <c r="G26" s="106" t="s">
        <v>25</v>
      </c>
      <c r="H26" s="106" t="s">
        <v>69</v>
      </c>
      <c r="I26" s="106" t="s">
        <v>25</v>
      </c>
      <c r="J26" s="106">
        <v>0</v>
      </c>
      <c r="K26" s="106">
        <v>0</v>
      </c>
      <c r="L26" s="106">
        <v>0</v>
      </c>
      <c r="M26" s="106">
        <v>0</v>
      </c>
      <c r="N26" s="106">
        <v>0</v>
      </c>
      <c r="O26" s="106">
        <v>0</v>
      </c>
      <c r="P26" s="106">
        <v>0</v>
      </c>
      <c r="Q26" s="106">
        <v>0</v>
      </c>
      <c r="R26" s="106">
        <v>0</v>
      </c>
      <c r="S26" s="106">
        <v>0</v>
      </c>
      <c r="T26" s="106">
        <v>0</v>
      </c>
      <c r="U26" s="106">
        <v>0</v>
      </c>
      <c r="V26" s="106">
        <v>0</v>
      </c>
      <c r="W26" s="106">
        <v>0</v>
      </c>
      <c r="X26" s="106">
        <v>0</v>
      </c>
      <c r="Y26" s="106">
        <v>0</v>
      </c>
      <c r="Z26" s="106">
        <v>0</v>
      </c>
      <c r="AA26" s="106">
        <v>0</v>
      </c>
      <c r="AB26" s="106">
        <v>0</v>
      </c>
      <c r="AC26" s="106">
        <v>0</v>
      </c>
      <c r="AD26" s="106">
        <v>0</v>
      </c>
      <c r="AE26" s="106">
        <v>0</v>
      </c>
      <c r="AF26" s="106">
        <v>0</v>
      </c>
      <c r="AG26" s="106">
        <v>0</v>
      </c>
      <c r="AH26" s="106">
        <v>0</v>
      </c>
      <c r="AI26" s="106">
        <v>0</v>
      </c>
      <c r="AJ26" s="106">
        <v>0</v>
      </c>
      <c r="AK26" s="106">
        <v>0</v>
      </c>
      <c r="AL26" s="106">
        <v>0</v>
      </c>
      <c r="AM26" s="106">
        <v>0</v>
      </c>
      <c r="AN26" s="106">
        <v>0</v>
      </c>
      <c r="AO26" s="106">
        <v>0</v>
      </c>
      <c r="AP26" s="106">
        <v>0</v>
      </c>
      <c r="AQ26" s="107">
        <v>0</v>
      </c>
    </row>
    <row r="27" spans="2:43" ht="12" customHeight="1" x14ac:dyDescent="0.25">
      <c r="B27" s="105" t="s">
        <v>22</v>
      </c>
      <c r="C27" s="106" t="s">
        <v>85</v>
      </c>
      <c r="D27" s="106" t="s">
        <v>24</v>
      </c>
      <c r="E27" s="106" t="s">
        <v>1182</v>
      </c>
      <c r="F27" s="106" t="s">
        <v>25</v>
      </c>
      <c r="G27" s="106" t="s">
        <v>25</v>
      </c>
      <c r="H27" s="106" t="s">
        <v>69</v>
      </c>
      <c r="I27" s="106" t="s">
        <v>25</v>
      </c>
      <c r="J27" s="106">
        <v>0</v>
      </c>
      <c r="K27" s="106">
        <v>0</v>
      </c>
      <c r="L27" s="106">
        <v>0</v>
      </c>
      <c r="M27" s="106">
        <v>0</v>
      </c>
      <c r="N27" s="106">
        <v>0</v>
      </c>
      <c r="O27" s="106">
        <v>0</v>
      </c>
      <c r="P27" s="106">
        <v>0</v>
      </c>
      <c r="Q27" s="106">
        <v>0</v>
      </c>
      <c r="R27" s="106">
        <v>0</v>
      </c>
      <c r="S27" s="106">
        <v>0</v>
      </c>
      <c r="T27" s="106">
        <v>0</v>
      </c>
      <c r="U27" s="106">
        <v>0</v>
      </c>
      <c r="V27" s="106">
        <v>0</v>
      </c>
      <c r="W27" s="106">
        <v>0</v>
      </c>
      <c r="X27" s="106">
        <v>0</v>
      </c>
      <c r="Y27" s="106">
        <v>0</v>
      </c>
      <c r="Z27" s="106">
        <v>0</v>
      </c>
      <c r="AA27" s="106">
        <v>0</v>
      </c>
      <c r="AB27" s="106">
        <v>0</v>
      </c>
      <c r="AC27" s="106">
        <v>0</v>
      </c>
      <c r="AD27" s="106">
        <v>0</v>
      </c>
      <c r="AE27" s="106">
        <v>0</v>
      </c>
      <c r="AF27" s="106">
        <v>0</v>
      </c>
      <c r="AG27" s="106">
        <v>0</v>
      </c>
      <c r="AH27" s="106">
        <v>0</v>
      </c>
      <c r="AI27" s="106">
        <v>0</v>
      </c>
      <c r="AJ27" s="106">
        <v>0</v>
      </c>
      <c r="AK27" s="106">
        <v>0</v>
      </c>
      <c r="AL27" s="106">
        <v>0</v>
      </c>
      <c r="AM27" s="106">
        <v>0</v>
      </c>
      <c r="AN27" s="106">
        <v>0</v>
      </c>
      <c r="AO27" s="106">
        <v>0</v>
      </c>
      <c r="AP27" s="106">
        <v>0</v>
      </c>
      <c r="AQ27" s="107">
        <v>0</v>
      </c>
    </row>
    <row r="28" spans="2:43" ht="12" customHeight="1" x14ac:dyDescent="0.25">
      <c r="B28" s="105" t="s">
        <v>22</v>
      </c>
      <c r="C28" s="106" t="s">
        <v>85</v>
      </c>
      <c r="D28" s="106" t="s">
        <v>24</v>
      </c>
      <c r="E28" s="106" t="s">
        <v>24</v>
      </c>
      <c r="F28" s="106" t="s">
        <v>25</v>
      </c>
      <c r="G28" s="106" t="s">
        <v>25</v>
      </c>
      <c r="H28" s="106" t="s">
        <v>69</v>
      </c>
      <c r="I28" s="106" t="s">
        <v>25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6">
        <v>0</v>
      </c>
      <c r="AG28" s="106">
        <v>0</v>
      </c>
      <c r="AH28" s="106">
        <v>0</v>
      </c>
      <c r="AI28" s="106">
        <v>0</v>
      </c>
      <c r="AJ28" s="106">
        <v>0</v>
      </c>
      <c r="AK28" s="106">
        <v>0</v>
      </c>
      <c r="AL28" s="106">
        <v>0</v>
      </c>
      <c r="AM28" s="106">
        <v>0</v>
      </c>
      <c r="AN28" s="106">
        <v>0</v>
      </c>
      <c r="AO28" s="106">
        <v>0</v>
      </c>
      <c r="AP28" s="106">
        <v>0</v>
      </c>
      <c r="AQ28" s="107">
        <v>0</v>
      </c>
    </row>
    <row r="29" spans="2:43" ht="12" customHeight="1" x14ac:dyDescent="0.25">
      <c r="B29" s="105" t="s">
        <v>41</v>
      </c>
      <c r="C29" s="106" t="s">
        <v>39</v>
      </c>
      <c r="D29" s="106" t="s">
        <v>42</v>
      </c>
      <c r="E29" s="106" t="s">
        <v>86</v>
      </c>
      <c r="F29" s="106" t="s">
        <v>25</v>
      </c>
      <c r="G29" s="106" t="s">
        <v>36</v>
      </c>
      <c r="H29" s="106" t="s">
        <v>69</v>
      </c>
      <c r="I29" s="106" t="s">
        <v>25</v>
      </c>
      <c r="J29" s="106">
        <v>0</v>
      </c>
      <c r="K29" s="106">
        <v>0</v>
      </c>
      <c r="L29" s="106">
        <v>0</v>
      </c>
      <c r="M29" s="106">
        <v>0</v>
      </c>
      <c r="N29" s="106">
        <v>0</v>
      </c>
      <c r="O29" s="106">
        <v>0</v>
      </c>
      <c r="P29" s="106">
        <v>0</v>
      </c>
      <c r="Q29" s="106">
        <v>0</v>
      </c>
      <c r="R29" s="106">
        <v>0</v>
      </c>
      <c r="S29" s="106">
        <v>0</v>
      </c>
      <c r="T29" s="106">
        <v>0</v>
      </c>
      <c r="U29" s="106">
        <v>0</v>
      </c>
      <c r="V29" s="106">
        <v>0</v>
      </c>
      <c r="W29" s="106">
        <v>0</v>
      </c>
      <c r="X29" s="106">
        <v>0</v>
      </c>
      <c r="Y29" s="106">
        <v>0</v>
      </c>
      <c r="Z29" s="106">
        <v>0</v>
      </c>
      <c r="AA29" s="106">
        <v>0</v>
      </c>
      <c r="AB29" s="106">
        <v>0</v>
      </c>
      <c r="AC29" s="106">
        <v>0</v>
      </c>
      <c r="AD29" s="106">
        <v>0</v>
      </c>
      <c r="AE29" s="106">
        <v>0</v>
      </c>
      <c r="AF29" s="106">
        <v>0</v>
      </c>
      <c r="AG29" s="106">
        <v>0</v>
      </c>
      <c r="AH29" s="106">
        <v>0</v>
      </c>
      <c r="AI29" s="106">
        <v>0</v>
      </c>
      <c r="AJ29" s="106">
        <v>0</v>
      </c>
      <c r="AK29" s="106">
        <v>0</v>
      </c>
      <c r="AL29" s="106">
        <v>0</v>
      </c>
      <c r="AM29" s="106">
        <v>0</v>
      </c>
      <c r="AN29" s="106">
        <v>0</v>
      </c>
      <c r="AO29" s="106">
        <v>0</v>
      </c>
      <c r="AP29" s="106">
        <v>0</v>
      </c>
      <c r="AQ29" s="107">
        <v>0</v>
      </c>
    </row>
    <row r="30" spans="2:43" ht="12" customHeight="1" x14ac:dyDescent="0.25">
      <c r="B30" s="105" t="s">
        <v>41</v>
      </c>
      <c r="C30" s="106" t="s">
        <v>39</v>
      </c>
      <c r="D30" s="106" t="s">
        <v>42</v>
      </c>
      <c r="E30" s="106" t="s">
        <v>86</v>
      </c>
      <c r="F30" s="106" t="s">
        <v>25</v>
      </c>
      <c r="G30" s="106" t="s">
        <v>40</v>
      </c>
      <c r="H30" s="106" t="s">
        <v>69</v>
      </c>
      <c r="I30" s="106" t="s">
        <v>25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6">
        <v>0</v>
      </c>
      <c r="AG30" s="106">
        <v>0</v>
      </c>
      <c r="AH30" s="106">
        <v>0</v>
      </c>
      <c r="AI30" s="106">
        <v>0</v>
      </c>
      <c r="AJ30" s="106">
        <v>0</v>
      </c>
      <c r="AK30" s="106">
        <v>0</v>
      </c>
      <c r="AL30" s="106">
        <v>0</v>
      </c>
      <c r="AM30" s="106">
        <v>0</v>
      </c>
      <c r="AN30" s="106">
        <v>0</v>
      </c>
      <c r="AO30" s="106">
        <v>0</v>
      </c>
      <c r="AP30" s="106">
        <v>0</v>
      </c>
      <c r="AQ30" s="107">
        <v>0</v>
      </c>
    </row>
    <row r="31" spans="2:43" ht="12" customHeight="1" x14ac:dyDescent="0.25">
      <c r="B31" s="105" t="s">
        <v>41</v>
      </c>
      <c r="C31" s="106" t="s">
        <v>39</v>
      </c>
      <c r="D31" s="106" t="s">
        <v>42</v>
      </c>
      <c r="E31" s="106" t="s">
        <v>86</v>
      </c>
      <c r="F31" s="106" t="s">
        <v>25</v>
      </c>
      <c r="G31" s="106" t="s">
        <v>37</v>
      </c>
      <c r="H31" s="106" t="s">
        <v>69</v>
      </c>
      <c r="I31" s="106" t="s">
        <v>25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6">
        <v>0</v>
      </c>
      <c r="AG31" s="106">
        <v>0</v>
      </c>
      <c r="AH31" s="106">
        <v>0</v>
      </c>
      <c r="AI31" s="106">
        <v>0</v>
      </c>
      <c r="AJ31" s="106">
        <v>0</v>
      </c>
      <c r="AK31" s="106">
        <v>0</v>
      </c>
      <c r="AL31" s="106">
        <v>0</v>
      </c>
      <c r="AM31" s="106">
        <v>0</v>
      </c>
      <c r="AN31" s="106">
        <v>0</v>
      </c>
      <c r="AO31" s="106">
        <v>0</v>
      </c>
      <c r="AP31" s="106">
        <v>0</v>
      </c>
      <c r="AQ31" s="107">
        <v>0</v>
      </c>
    </row>
    <row r="32" spans="2:43" ht="12" customHeight="1" x14ac:dyDescent="0.25">
      <c r="B32" s="105" t="s">
        <v>41</v>
      </c>
      <c r="C32" s="106" t="s">
        <v>39</v>
      </c>
      <c r="D32" s="106" t="s">
        <v>42</v>
      </c>
      <c r="E32" s="106" t="s">
        <v>25</v>
      </c>
      <c r="F32" s="106" t="s">
        <v>25</v>
      </c>
      <c r="G32" s="106" t="s">
        <v>36</v>
      </c>
      <c r="H32" s="106" t="s">
        <v>69</v>
      </c>
      <c r="I32" s="106" t="s">
        <v>25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6">
        <v>0</v>
      </c>
      <c r="AG32" s="106">
        <v>0</v>
      </c>
      <c r="AH32" s="106">
        <v>0</v>
      </c>
      <c r="AI32" s="106">
        <v>0</v>
      </c>
      <c r="AJ32" s="106">
        <v>0</v>
      </c>
      <c r="AK32" s="106">
        <v>0</v>
      </c>
      <c r="AL32" s="106">
        <v>0</v>
      </c>
      <c r="AM32" s="106">
        <v>0</v>
      </c>
      <c r="AN32" s="106">
        <v>0</v>
      </c>
      <c r="AO32" s="106">
        <v>0</v>
      </c>
      <c r="AP32" s="106">
        <v>0</v>
      </c>
      <c r="AQ32" s="107">
        <v>0</v>
      </c>
    </row>
    <row r="33" spans="2:43" ht="12" customHeight="1" x14ac:dyDescent="0.25">
      <c r="B33" s="105" t="s">
        <v>41</v>
      </c>
      <c r="C33" s="106" t="s">
        <v>39</v>
      </c>
      <c r="D33" s="106" t="s">
        <v>42</v>
      </c>
      <c r="E33" s="106" t="s">
        <v>25</v>
      </c>
      <c r="F33" s="106" t="s">
        <v>25</v>
      </c>
      <c r="G33" s="106" t="s">
        <v>40</v>
      </c>
      <c r="H33" s="106" t="s">
        <v>69</v>
      </c>
      <c r="I33" s="106" t="s">
        <v>25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6">
        <v>0</v>
      </c>
      <c r="AG33" s="106">
        <v>0</v>
      </c>
      <c r="AH33" s="106">
        <v>0</v>
      </c>
      <c r="AI33" s="106">
        <v>0</v>
      </c>
      <c r="AJ33" s="106">
        <v>0</v>
      </c>
      <c r="AK33" s="106">
        <v>0</v>
      </c>
      <c r="AL33" s="106">
        <v>0</v>
      </c>
      <c r="AM33" s="106">
        <v>0</v>
      </c>
      <c r="AN33" s="106">
        <v>0</v>
      </c>
      <c r="AO33" s="106">
        <v>0</v>
      </c>
      <c r="AP33" s="106">
        <v>0</v>
      </c>
      <c r="AQ33" s="107">
        <v>0</v>
      </c>
    </row>
    <row r="34" spans="2:43" ht="12" customHeight="1" x14ac:dyDescent="0.25">
      <c r="B34" s="105" t="s">
        <v>41</v>
      </c>
      <c r="C34" s="106" t="s">
        <v>39</v>
      </c>
      <c r="D34" s="106" t="s">
        <v>42</v>
      </c>
      <c r="E34" s="106" t="s">
        <v>25</v>
      </c>
      <c r="F34" s="106" t="s">
        <v>25</v>
      </c>
      <c r="G34" s="106" t="s">
        <v>37</v>
      </c>
      <c r="H34" s="106" t="s">
        <v>69</v>
      </c>
      <c r="I34" s="106" t="s">
        <v>25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6">
        <v>0</v>
      </c>
      <c r="AG34" s="106">
        <v>0</v>
      </c>
      <c r="AH34" s="106">
        <v>0</v>
      </c>
      <c r="AI34" s="106">
        <v>0</v>
      </c>
      <c r="AJ34" s="106">
        <v>0</v>
      </c>
      <c r="AK34" s="106">
        <v>0</v>
      </c>
      <c r="AL34" s="106">
        <v>0</v>
      </c>
      <c r="AM34" s="106">
        <v>0</v>
      </c>
      <c r="AN34" s="106">
        <v>0</v>
      </c>
      <c r="AO34" s="106">
        <v>0</v>
      </c>
      <c r="AP34" s="106">
        <v>0</v>
      </c>
      <c r="AQ34" s="107">
        <v>0</v>
      </c>
    </row>
    <row r="35" spans="2:43" ht="12" customHeight="1" x14ac:dyDescent="0.25">
      <c r="B35" s="105" t="s">
        <v>41</v>
      </c>
      <c r="C35" s="106" t="s">
        <v>39</v>
      </c>
      <c r="D35" s="106" t="s">
        <v>42</v>
      </c>
      <c r="E35" s="106" t="s">
        <v>87</v>
      </c>
      <c r="F35" s="106" t="s">
        <v>25</v>
      </c>
      <c r="G35" s="106" t="s">
        <v>36</v>
      </c>
      <c r="H35" s="106" t="s">
        <v>69</v>
      </c>
      <c r="I35" s="106" t="s">
        <v>25</v>
      </c>
      <c r="J35" s="106">
        <v>0</v>
      </c>
      <c r="K35" s="106">
        <v>0</v>
      </c>
      <c r="L35" s="106">
        <v>0</v>
      </c>
      <c r="M35" s="106">
        <v>0</v>
      </c>
      <c r="N35" s="106">
        <v>0</v>
      </c>
      <c r="O35" s="106">
        <v>0</v>
      </c>
      <c r="P35" s="106">
        <v>0</v>
      </c>
      <c r="Q35" s="106">
        <v>0</v>
      </c>
      <c r="R35" s="106">
        <v>0</v>
      </c>
      <c r="S35" s="106">
        <v>0</v>
      </c>
      <c r="T35" s="106">
        <v>0</v>
      </c>
      <c r="U35" s="106">
        <v>0</v>
      </c>
      <c r="V35" s="106">
        <v>0</v>
      </c>
      <c r="W35" s="106">
        <v>0</v>
      </c>
      <c r="X35" s="106">
        <v>0</v>
      </c>
      <c r="Y35" s="106">
        <v>0</v>
      </c>
      <c r="Z35" s="106">
        <v>0</v>
      </c>
      <c r="AA35" s="106">
        <v>0</v>
      </c>
      <c r="AB35" s="106">
        <v>0</v>
      </c>
      <c r="AC35" s="106">
        <v>0</v>
      </c>
      <c r="AD35" s="106">
        <v>0</v>
      </c>
      <c r="AE35" s="106">
        <v>0</v>
      </c>
      <c r="AF35" s="106">
        <v>0</v>
      </c>
      <c r="AG35" s="106">
        <v>0</v>
      </c>
      <c r="AH35" s="106">
        <v>0</v>
      </c>
      <c r="AI35" s="106">
        <v>0</v>
      </c>
      <c r="AJ35" s="106">
        <v>0</v>
      </c>
      <c r="AK35" s="106">
        <v>0</v>
      </c>
      <c r="AL35" s="106">
        <v>0</v>
      </c>
      <c r="AM35" s="106">
        <v>0</v>
      </c>
      <c r="AN35" s="106">
        <v>0</v>
      </c>
      <c r="AO35" s="106">
        <v>0</v>
      </c>
      <c r="AP35" s="106">
        <v>0</v>
      </c>
      <c r="AQ35" s="107">
        <v>0</v>
      </c>
    </row>
    <row r="36" spans="2:43" ht="12" customHeight="1" x14ac:dyDescent="0.25">
      <c r="B36" s="105" t="s">
        <v>41</v>
      </c>
      <c r="C36" s="106" t="s">
        <v>39</v>
      </c>
      <c r="D36" s="106" t="s">
        <v>42</v>
      </c>
      <c r="E36" s="106" t="s">
        <v>87</v>
      </c>
      <c r="F36" s="106" t="s">
        <v>25</v>
      </c>
      <c r="G36" s="106" t="s">
        <v>40</v>
      </c>
      <c r="H36" s="106" t="s">
        <v>69</v>
      </c>
      <c r="I36" s="106" t="s">
        <v>25</v>
      </c>
      <c r="J36" s="106">
        <v>0</v>
      </c>
      <c r="K36" s="106">
        <v>0</v>
      </c>
      <c r="L36" s="106">
        <v>0</v>
      </c>
      <c r="M36" s="106">
        <v>0</v>
      </c>
      <c r="N36" s="106">
        <v>0</v>
      </c>
      <c r="O36" s="106">
        <v>0</v>
      </c>
      <c r="P36" s="106">
        <v>0</v>
      </c>
      <c r="Q36" s="106">
        <v>0</v>
      </c>
      <c r="R36" s="106">
        <v>0</v>
      </c>
      <c r="S36" s="106">
        <v>0</v>
      </c>
      <c r="T36" s="106">
        <v>0</v>
      </c>
      <c r="U36" s="106">
        <v>0</v>
      </c>
      <c r="V36" s="106">
        <v>0</v>
      </c>
      <c r="W36" s="106">
        <v>0</v>
      </c>
      <c r="X36" s="106">
        <v>0</v>
      </c>
      <c r="Y36" s="106">
        <v>0</v>
      </c>
      <c r="Z36" s="106">
        <v>0</v>
      </c>
      <c r="AA36" s="106">
        <v>0</v>
      </c>
      <c r="AB36" s="106">
        <v>0</v>
      </c>
      <c r="AC36" s="106">
        <v>0</v>
      </c>
      <c r="AD36" s="106">
        <v>0</v>
      </c>
      <c r="AE36" s="106">
        <v>0</v>
      </c>
      <c r="AF36" s="106">
        <v>0</v>
      </c>
      <c r="AG36" s="106">
        <v>0</v>
      </c>
      <c r="AH36" s="106">
        <v>0</v>
      </c>
      <c r="AI36" s="106">
        <v>0</v>
      </c>
      <c r="AJ36" s="106">
        <v>0</v>
      </c>
      <c r="AK36" s="106">
        <v>0</v>
      </c>
      <c r="AL36" s="106">
        <v>0</v>
      </c>
      <c r="AM36" s="106">
        <v>0</v>
      </c>
      <c r="AN36" s="106">
        <v>0</v>
      </c>
      <c r="AO36" s="106">
        <v>0</v>
      </c>
      <c r="AP36" s="106">
        <v>0</v>
      </c>
      <c r="AQ36" s="107">
        <v>0</v>
      </c>
    </row>
    <row r="37" spans="2:43" ht="12" customHeight="1" x14ac:dyDescent="0.25">
      <c r="B37" s="105" t="s">
        <v>41</v>
      </c>
      <c r="C37" s="106" t="s">
        <v>39</v>
      </c>
      <c r="D37" s="106" t="s">
        <v>42</v>
      </c>
      <c r="E37" s="106" t="s">
        <v>87</v>
      </c>
      <c r="F37" s="106" t="s">
        <v>25</v>
      </c>
      <c r="G37" s="106" t="s">
        <v>37</v>
      </c>
      <c r="H37" s="106" t="s">
        <v>69</v>
      </c>
      <c r="I37" s="106" t="s">
        <v>25</v>
      </c>
      <c r="J37" s="106">
        <v>0</v>
      </c>
      <c r="K37" s="106">
        <v>0</v>
      </c>
      <c r="L37" s="106">
        <v>0</v>
      </c>
      <c r="M37" s="106">
        <v>0</v>
      </c>
      <c r="N37" s="106">
        <v>0</v>
      </c>
      <c r="O37" s="106">
        <v>0</v>
      </c>
      <c r="P37" s="106">
        <v>0</v>
      </c>
      <c r="Q37" s="106">
        <v>0</v>
      </c>
      <c r="R37" s="106">
        <v>0</v>
      </c>
      <c r="S37" s="106">
        <v>0</v>
      </c>
      <c r="T37" s="106">
        <v>0</v>
      </c>
      <c r="U37" s="106">
        <v>0</v>
      </c>
      <c r="V37" s="106">
        <v>0</v>
      </c>
      <c r="W37" s="106">
        <v>0</v>
      </c>
      <c r="X37" s="106">
        <v>0</v>
      </c>
      <c r="Y37" s="106">
        <v>0</v>
      </c>
      <c r="Z37" s="106">
        <v>0</v>
      </c>
      <c r="AA37" s="106">
        <v>0</v>
      </c>
      <c r="AB37" s="106">
        <v>0</v>
      </c>
      <c r="AC37" s="106">
        <v>0</v>
      </c>
      <c r="AD37" s="106">
        <v>0</v>
      </c>
      <c r="AE37" s="106">
        <v>0</v>
      </c>
      <c r="AF37" s="106">
        <v>0</v>
      </c>
      <c r="AG37" s="106">
        <v>0</v>
      </c>
      <c r="AH37" s="106">
        <v>0</v>
      </c>
      <c r="AI37" s="106">
        <v>0</v>
      </c>
      <c r="AJ37" s="106">
        <v>0</v>
      </c>
      <c r="AK37" s="106">
        <v>0</v>
      </c>
      <c r="AL37" s="106">
        <v>0</v>
      </c>
      <c r="AM37" s="106">
        <v>0</v>
      </c>
      <c r="AN37" s="106">
        <v>0</v>
      </c>
      <c r="AO37" s="106">
        <v>0</v>
      </c>
      <c r="AP37" s="106">
        <v>0</v>
      </c>
      <c r="AQ37" s="107">
        <v>0</v>
      </c>
    </row>
    <row r="38" spans="2:43" ht="12" customHeight="1" x14ac:dyDescent="0.25">
      <c r="B38" s="105" t="s">
        <v>41</v>
      </c>
      <c r="C38" s="106" t="s">
        <v>23</v>
      </c>
      <c r="D38" s="106" t="s">
        <v>42</v>
      </c>
      <c r="E38" s="106" t="s">
        <v>86</v>
      </c>
      <c r="F38" s="106" t="s">
        <v>25</v>
      </c>
      <c r="G38" s="106" t="s">
        <v>25</v>
      </c>
      <c r="H38" s="106" t="s">
        <v>69</v>
      </c>
      <c r="I38" s="106" t="s">
        <v>25</v>
      </c>
      <c r="J38" s="106">
        <v>0</v>
      </c>
      <c r="K38" s="106">
        <v>0</v>
      </c>
      <c r="L38" s="106">
        <v>0</v>
      </c>
      <c r="M38" s="106">
        <v>0</v>
      </c>
      <c r="N38" s="106">
        <v>0</v>
      </c>
      <c r="O38" s="106">
        <v>0</v>
      </c>
      <c r="P38" s="106">
        <v>0</v>
      </c>
      <c r="Q38" s="106">
        <v>0</v>
      </c>
      <c r="R38" s="106">
        <v>0</v>
      </c>
      <c r="S38" s="106">
        <v>0</v>
      </c>
      <c r="T38" s="106">
        <v>0</v>
      </c>
      <c r="U38" s="106">
        <v>0</v>
      </c>
      <c r="V38" s="106">
        <v>0</v>
      </c>
      <c r="W38" s="106">
        <v>0</v>
      </c>
      <c r="X38" s="106">
        <v>0</v>
      </c>
      <c r="Y38" s="106">
        <v>0</v>
      </c>
      <c r="Z38" s="106">
        <v>0</v>
      </c>
      <c r="AA38" s="106">
        <v>0</v>
      </c>
      <c r="AB38" s="106">
        <v>0</v>
      </c>
      <c r="AC38" s="106">
        <v>0</v>
      </c>
      <c r="AD38" s="106">
        <v>0</v>
      </c>
      <c r="AE38" s="106">
        <v>0</v>
      </c>
      <c r="AF38" s="106">
        <v>0</v>
      </c>
      <c r="AG38" s="106">
        <v>0</v>
      </c>
      <c r="AH38" s="106">
        <v>0</v>
      </c>
      <c r="AI38" s="106">
        <v>0</v>
      </c>
      <c r="AJ38" s="106">
        <v>0</v>
      </c>
      <c r="AK38" s="106">
        <v>0</v>
      </c>
      <c r="AL38" s="106">
        <v>0</v>
      </c>
      <c r="AM38" s="106">
        <v>0</v>
      </c>
      <c r="AN38" s="106">
        <v>0</v>
      </c>
      <c r="AO38" s="106">
        <v>0</v>
      </c>
      <c r="AP38" s="106">
        <v>0</v>
      </c>
      <c r="AQ38" s="107">
        <v>0</v>
      </c>
    </row>
    <row r="39" spans="2:43" ht="12" customHeight="1" x14ac:dyDescent="0.25">
      <c r="B39" s="105" t="s">
        <v>41</v>
      </c>
      <c r="C39" s="106" t="s">
        <v>23</v>
      </c>
      <c r="D39" s="106" t="s">
        <v>42</v>
      </c>
      <c r="E39" s="106" t="s">
        <v>25</v>
      </c>
      <c r="F39" s="106" t="s">
        <v>25</v>
      </c>
      <c r="G39" s="106" t="s">
        <v>25</v>
      </c>
      <c r="H39" s="106" t="s">
        <v>69</v>
      </c>
      <c r="I39" s="106" t="s">
        <v>25</v>
      </c>
      <c r="J39" s="106">
        <v>0</v>
      </c>
      <c r="K39" s="106">
        <v>0</v>
      </c>
      <c r="L39" s="106">
        <v>0</v>
      </c>
      <c r="M39" s="106">
        <v>0</v>
      </c>
      <c r="N39" s="106">
        <v>0</v>
      </c>
      <c r="O39" s="106">
        <v>0</v>
      </c>
      <c r="P39" s="106">
        <v>0</v>
      </c>
      <c r="Q39" s="106">
        <v>0</v>
      </c>
      <c r="R39" s="106">
        <v>0</v>
      </c>
      <c r="S39" s="106">
        <v>0</v>
      </c>
      <c r="T39" s="106">
        <v>0</v>
      </c>
      <c r="U39" s="106">
        <v>0</v>
      </c>
      <c r="V39" s="106">
        <v>0</v>
      </c>
      <c r="W39" s="106">
        <v>0</v>
      </c>
      <c r="X39" s="106">
        <v>0</v>
      </c>
      <c r="Y39" s="106">
        <v>0</v>
      </c>
      <c r="Z39" s="106">
        <v>0</v>
      </c>
      <c r="AA39" s="106">
        <v>0</v>
      </c>
      <c r="AB39" s="106">
        <v>0</v>
      </c>
      <c r="AC39" s="106">
        <v>0</v>
      </c>
      <c r="AD39" s="106">
        <v>0</v>
      </c>
      <c r="AE39" s="106">
        <v>0</v>
      </c>
      <c r="AF39" s="106">
        <v>0</v>
      </c>
      <c r="AG39" s="106">
        <v>0</v>
      </c>
      <c r="AH39" s="106">
        <v>0</v>
      </c>
      <c r="AI39" s="106">
        <v>0</v>
      </c>
      <c r="AJ39" s="106">
        <v>0</v>
      </c>
      <c r="AK39" s="106">
        <v>0</v>
      </c>
      <c r="AL39" s="106">
        <v>0</v>
      </c>
      <c r="AM39" s="106">
        <v>0</v>
      </c>
      <c r="AN39" s="106">
        <v>0</v>
      </c>
      <c r="AO39" s="106">
        <v>0</v>
      </c>
      <c r="AP39" s="106">
        <v>0</v>
      </c>
      <c r="AQ39" s="107">
        <v>0</v>
      </c>
    </row>
    <row r="40" spans="2:43" ht="12" customHeight="1" x14ac:dyDescent="0.25">
      <c r="B40" s="105" t="s">
        <v>41</v>
      </c>
      <c r="C40" s="106" t="s">
        <v>23</v>
      </c>
      <c r="D40" s="106" t="s">
        <v>42</v>
      </c>
      <c r="E40" s="106" t="s">
        <v>87</v>
      </c>
      <c r="F40" s="106" t="s">
        <v>25</v>
      </c>
      <c r="G40" s="106" t="s">
        <v>25</v>
      </c>
      <c r="H40" s="106" t="s">
        <v>69</v>
      </c>
      <c r="I40" s="106" t="s">
        <v>25</v>
      </c>
      <c r="J40" s="106">
        <v>0</v>
      </c>
      <c r="K40" s="106">
        <v>0</v>
      </c>
      <c r="L40" s="106">
        <v>0</v>
      </c>
      <c r="M40" s="106">
        <v>0</v>
      </c>
      <c r="N40" s="106">
        <v>0</v>
      </c>
      <c r="O40" s="106">
        <v>0</v>
      </c>
      <c r="P40" s="106">
        <v>0</v>
      </c>
      <c r="Q40" s="106">
        <v>0</v>
      </c>
      <c r="R40" s="106">
        <v>0</v>
      </c>
      <c r="S40" s="106">
        <v>0</v>
      </c>
      <c r="T40" s="106">
        <v>0</v>
      </c>
      <c r="U40" s="106">
        <v>0</v>
      </c>
      <c r="V40" s="106">
        <v>0</v>
      </c>
      <c r="W40" s="106">
        <v>0</v>
      </c>
      <c r="X40" s="106">
        <v>0</v>
      </c>
      <c r="Y40" s="106">
        <v>0</v>
      </c>
      <c r="Z40" s="106">
        <v>0</v>
      </c>
      <c r="AA40" s="106">
        <v>0</v>
      </c>
      <c r="AB40" s="106">
        <v>0</v>
      </c>
      <c r="AC40" s="106">
        <v>0</v>
      </c>
      <c r="AD40" s="106">
        <v>0</v>
      </c>
      <c r="AE40" s="106">
        <v>0</v>
      </c>
      <c r="AF40" s="106">
        <v>0</v>
      </c>
      <c r="AG40" s="106">
        <v>0</v>
      </c>
      <c r="AH40" s="106">
        <v>0</v>
      </c>
      <c r="AI40" s="106">
        <v>0</v>
      </c>
      <c r="AJ40" s="106">
        <v>0</v>
      </c>
      <c r="AK40" s="106">
        <v>0</v>
      </c>
      <c r="AL40" s="106">
        <v>0</v>
      </c>
      <c r="AM40" s="106">
        <v>0</v>
      </c>
      <c r="AN40" s="106">
        <v>0</v>
      </c>
      <c r="AO40" s="106">
        <v>0</v>
      </c>
      <c r="AP40" s="106">
        <v>0</v>
      </c>
      <c r="AQ40" s="107">
        <v>0</v>
      </c>
    </row>
    <row r="41" spans="2:43" ht="12" customHeight="1" x14ac:dyDescent="0.25">
      <c r="B41" s="105" t="s">
        <v>41</v>
      </c>
      <c r="C41" s="106" t="s">
        <v>85</v>
      </c>
      <c r="D41" s="106" t="s">
        <v>42</v>
      </c>
      <c r="E41" s="106" t="s">
        <v>86</v>
      </c>
      <c r="F41" s="106" t="s">
        <v>25</v>
      </c>
      <c r="G41" s="106" t="s">
        <v>25</v>
      </c>
      <c r="H41" s="106" t="s">
        <v>69</v>
      </c>
      <c r="I41" s="106" t="s">
        <v>25</v>
      </c>
      <c r="J41" s="106">
        <v>0</v>
      </c>
      <c r="K41" s="106">
        <v>0</v>
      </c>
      <c r="L41" s="106">
        <v>0</v>
      </c>
      <c r="M41" s="106">
        <v>0</v>
      </c>
      <c r="N41" s="106">
        <v>0</v>
      </c>
      <c r="O41" s="106">
        <v>0</v>
      </c>
      <c r="P41" s="106">
        <v>0</v>
      </c>
      <c r="Q41" s="106">
        <v>0</v>
      </c>
      <c r="R41" s="106">
        <v>0</v>
      </c>
      <c r="S41" s="106">
        <v>0</v>
      </c>
      <c r="T41" s="106">
        <v>0</v>
      </c>
      <c r="U41" s="106">
        <v>0</v>
      </c>
      <c r="V41" s="106">
        <v>0</v>
      </c>
      <c r="W41" s="106">
        <v>0</v>
      </c>
      <c r="X41" s="106">
        <v>0</v>
      </c>
      <c r="Y41" s="106">
        <v>0</v>
      </c>
      <c r="Z41" s="106">
        <v>0</v>
      </c>
      <c r="AA41" s="106">
        <v>0</v>
      </c>
      <c r="AB41" s="106">
        <v>0</v>
      </c>
      <c r="AC41" s="106">
        <v>0</v>
      </c>
      <c r="AD41" s="106">
        <v>0</v>
      </c>
      <c r="AE41" s="106">
        <v>0</v>
      </c>
      <c r="AF41" s="106">
        <v>0</v>
      </c>
      <c r="AG41" s="106">
        <v>0</v>
      </c>
      <c r="AH41" s="106">
        <v>0</v>
      </c>
      <c r="AI41" s="106">
        <v>0</v>
      </c>
      <c r="AJ41" s="106">
        <v>0</v>
      </c>
      <c r="AK41" s="106">
        <v>0</v>
      </c>
      <c r="AL41" s="106">
        <v>0</v>
      </c>
      <c r="AM41" s="106">
        <v>0</v>
      </c>
      <c r="AN41" s="106">
        <v>0</v>
      </c>
      <c r="AO41" s="106">
        <v>0</v>
      </c>
      <c r="AP41" s="106">
        <v>0</v>
      </c>
      <c r="AQ41" s="107">
        <v>0</v>
      </c>
    </row>
    <row r="42" spans="2:43" ht="12" customHeight="1" x14ac:dyDescent="0.25">
      <c r="B42" s="105" t="s">
        <v>41</v>
      </c>
      <c r="C42" s="106" t="s">
        <v>85</v>
      </c>
      <c r="D42" s="106" t="s">
        <v>42</v>
      </c>
      <c r="E42" s="106" t="s">
        <v>25</v>
      </c>
      <c r="F42" s="106" t="s">
        <v>25</v>
      </c>
      <c r="G42" s="106" t="s">
        <v>25</v>
      </c>
      <c r="H42" s="106" t="s">
        <v>69</v>
      </c>
      <c r="I42" s="106" t="s">
        <v>25</v>
      </c>
      <c r="J42" s="106">
        <v>0</v>
      </c>
      <c r="K42" s="106">
        <v>0</v>
      </c>
      <c r="L42" s="106">
        <v>0</v>
      </c>
      <c r="M42" s="106">
        <v>0</v>
      </c>
      <c r="N42" s="106">
        <v>0</v>
      </c>
      <c r="O42" s="106">
        <v>0</v>
      </c>
      <c r="P42" s="106">
        <v>0</v>
      </c>
      <c r="Q42" s="106">
        <v>0</v>
      </c>
      <c r="R42" s="106">
        <v>0</v>
      </c>
      <c r="S42" s="106">
        <v>0</v>
      </c>
      <c r="T42" s="106">
        <v>0</v>
      </c>
      <c r="U42" s="106">
        <v>0</v>
      </c>
      <c r="V42" s="106">
        <v>0</v>
      </c>
      <c r="W42" s="106">
        <v>0</v>
      </c>
      <c r="X42" s="106">
        <v>0</v>
      </c>
      <c r="Y42" s="106">
        <v>0</v>
      </c>
      <c r="Z42" s="106">
        <v>0</v>
      </c>
      <c r="AA42" s="106">
        <v>0</v>
      </c>
      <c r="AB42" s="106">
        <v>0</v>
      </c>
      <c r="AC42" s="106">
        <v>0</v>
      </c>
      <c r="AD42" s="106">
        <v>0</v>
      </c>
      <c r="AE42" s="106">
        <v>0</v>
      </c>
      <c r="AF42" s="106">
        <v>0</v>
      </c>
      <c r="AG42" s="106">
        <v>0</v>
      </c>
      <c r="AH42" s="106">
        <v>0</v>
      </c>
      <c r="AI42" s="106">
        <v>0</v>
      </c>
      <c r="AJ42" s="106">
        <v>0</v>
      </c>
      <c r="AK42" s="106">
        <v>0</v>
      </c>
      <c r="AL42" s="106">
        <v>0</v>
      </c>
      <c r="AM42" s="106">
        <v>0</v>
      </c>
      <c r="AN42" s="106">
        <v>0</v>
      </c>
      <c r="AO42" s="106">
        <v>0</v>
      </c>
      <c r="AP42" s="106">
        <v>0</v>
      </c>
      <c r="AQ42" s="107">
        <v>0</v>
      </c>
    </row>
    <row r="43" spans="2:43" ht="12" customHeight="1" x14ac:dyDescent="0.25">
      <c r="B43" s="105" t="s">
        <v>41</v>
      </c>
      <c r="C43" s="106" t="s">
        <v>85</v>
      </c>
      <c r="D43" s="106" t="s">
        <v>42</v>
      </c>
      <c r="E43" s="106" t="s">
        <v>87</v>
      </c>
      <c r="F43" s="106" t="s">
        <v>25</v>
      </c>
      <c r="G43" s="106" t="s">
        <v>25</v>
      </c>
      <c r="H43" s="106" t="s">
        <v>69</v>
      </c>
      <c r="I43" s="106" t="s">
        <v>25</v>
      </c>
      <c r="J43" s="106">
        <v>0</v>
      </c>
      <c r="K43" s="106">
        <v>0</v>
      </c>
      <c r="L43" s="106">
        <v>0</v>
      </c>
      <c r="M43" s="106">
        <v>0</v>
      </c>
      <c r="N43" s="106">
        <v>0</v>
      </c>
      <c r="O43" s="106">
        <v>0</v>
      </c>
      <c r="P43" s="106">
        <v>0</v>
      </c>
      <c r="Q43" s="106">
        <v>0</v>
      </c>
      <c r="R43" s="106">
        <v>0</v>
      </c>
      <c r="S43" s="106">
        <v>0</v>
      </c>
      <c r="T43" s="106">
        <v>0</v>
      </c>
      <c r="U43" s="106">
        <v>0</v>
      </c>
      <c r="V43" s="106">
        <v>0</v>
      </c>
      <c r="W43" s="106">
        <v>0</v>
      </c>
      <c r="X43" s="106">
        <v>0</v>
      </c>
      <c r="Y43" s="106">
        <v>0</v>
      </c>
      <c r="Z43" s="106">
        <v>0</v>
      </c>
      <c r="AA43" s="106">
        <v>0</v>
      </c>
      <c r="AB43" s="106">
        <v>0</v>
      </c>
      <c r="AC43" s="106">
        <v>0</v>
      </c>
      <c r="AD43" s="106">
        <v>0</v>
      </c>
      <c r="AE43" s="106">
        <v>0</v>
      </c>
      <c r="AF43" s="106">
        <v>0</v>
      </c>
      <c r="AG43" s="106">
        <v>0</v>
      </c>
      <c r="AH43" s="106">
        <v>0</v>
      </c>
      <c r="AI43" s="106">
        <v>0</v>
      </c>
      <c r="AJ43" s="106">
        <v>0</v>
      </c>
      <c r="AK43" s="106">
        <v>0</v>
      </c>
      <c r="AL43" s="106">
        <v>0</v>
      </c>
      <c r="AM43" s="106">
        <v>0</v>
      </c>
      <c r="AN43" s="106">
        <v>0</v>
      </c>
      <c r="AO43" s="106">
        <v>0</v>
      </c>
      <c r="AP43" s="106">
        <v>0</v>
      </c>
      <c r="AQ43" s="107">
        <v>0</v>
      </c>
    </row>
    <row r="44" spans="2:43" ht="12" customHeight="1" x14ac:dyDescent="0.25">
      <c r="B44" s="105" t="s">
        <v>32</v>
      </c>
      <c r="C44" s="106" t="s">
        <v>39</v>
      </c>
      <c r="D44" s="106" t="s">
        <v>25</v>
      </c>
      <c r="E44" s="106" t="s">
        <v>25</v>
      </c>
      <c r="F44" s="106" t="s">
        <v>25</v>
      </c>
      <c r="G44" s="106" t="s">
        <v>36</v>
      </c>
      <c r="H44" s="106" t="s">
        <v>69</v>
      </c>
      <c r="I44" s="106" t="s">
        <v>25</v>
      </c>
      <c r="J44" s="106">
        <v>0</v>
      </c>
      <c r="K44" s="106">
        <v>0</v>
      </c>
      <c r="L44" s="106">
        <v>0</v>
      </c>
      <c r="M44" s="106">
        <v>0</v>
      </c>
      <c r="N44" s="106">
        <v>0</v>
      </c>
      <c r="O44" s="106">
        <v>0</v>
      </c>
      <c r="P44" s="106">
        <v>0</v>
      </c>
      <c r="Q44" s="106">
        <v>0</v>
      </c>
      <c r="R44" s="106">
        <v>0</v>
      </c>
      <c r="S44" s="106">
        <v>0</v>
      </c>
      <c r="T44" s="106">
        <v>0</v>
      </c>
      <c r="U44" s="106">
        <v>0</v>
      </c>
      <c r="V44" s="106">
        <v>0</v>
      </c>
      <c r="W44" s="106">
        <v>0</v>
      </c>
      <c r="X44" s="106">
        <v>0</v>
      </c>
      <c r="Y44" s="106">
        <v>0</v>
      </c>
      <c r="Z44" s="106">
        <v>0</v>
      </c>
      <c r="AA44" s="106">
        <v>0</v>
      </c>
      <c r="AB44" s="106">
        <v>0</v>
      </c>
      <c r="AC44" s="106">
        <v>0</v>
      </c>
      <c r="AD44" s="106">
        <v>0</v>
      </c>
      <c r="AE44" s="106">
        <v>0</v>
      </c>
      <c r="AF44" s="106">
        <v>0</v>
      </c>
      <c r="AG44" s="106">
        <v>0</v>
      </c>
      <c r="AH44" s="106">
        <v>0</v>
      </c>
      <c r="AI44" s="106">
        <v>0</v>
      </c>
      <c r="AJ44" s="106">
        <v>0</v>
      </c>
      <c r="AK44" s="106">
        <v>0</v>
      </c>
      <c r="AL44" s="106">
        <v>0</v>
      </c>
      <c r="AM44" s="106">
        <v>0</v>
      </c>
      <c r="AN44" s="106">
        <v>0</v>
      </c>
      <c r="AO44" s="106">
        <v>0</v>
      </c>
      <c r="AP44" s="106">
        <v>0</v>
      </c>
      <c r="AQ44" s="107">
        <v>0</v>
      </c>
    </row>
    <row r="45" spans="2:43" ht="12" customHeight="1" x14ac:dyDescent="0.25">
      <c r="B45" s="105" t="s">
        <v>32</v>
      </c>
      <c r="C45" s="106" t="s">
        <v>39</v>
      </c>
      <c r="D45" s="106" t="s">
        <v>25</v>
      </c>
      <c r="E45" s="106" t="s">
        <v>25</v>
      </c>
      <c r="F45" s="106" t="s">
        <v>25</v>
      </c>
      <c r="G45" s="106" t="s">
        <v>40</v>
      </c>
      <c r="H45" s="106" t="s">
        <v>69</v>
      </c>
      <c r="I45" s="106" t="s">
        <v>25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6">
        <v>0</v>
      </c>
      <c r="AG45" s="106">
        <v>0</v>
      </c>
      <c r="AH45" s="106">
        <v>0</v>
      </c>
      <c r="AI45" s="106">
        <v>0</v>
      </c>
      <c r="AJ45" s="106">
        <v>0</v>
      </c>
      <c r="AK45" s="106">
        <v>0</v>
      </c>
      <c r="AL45" s="106">
        <v>0</v>
      </c>
      <c r="AM45" s="106">
        <v>0</v>
      </c>
      <c r="AN45" s="106">
        <v>0</v>
      </c>
      <c r="AO45" s="106">
        <v>0</v>
      </c>
      <c r="AP45" s="106">
        <v>0</v>
      </c>
      <c r="AQ45" s="107">
        <v>0</v>
      </c>
    </row>
    <row r="46" spans="2:43" ht="12" customHeight="1" x14ac:dyDescent="0.25">
      <c r="B46" s="105" t="s">
        <v>32</v>
      </c>
      <c r="C46" s="106" t="s">
        <v>39</v>
      </c>
      <c r="D46" s="106" t="s">
        <v>25</v>
      </c>
      <c r="E46" s="106" t="s">
        <v>25</v>
      </c>
      <c r="F46" s="106" t="s">
        <v>25</v>
      </c>
      <c r="G46" s="106" t="s">
        <v>37</v>
      </c>
      <c r="H46" s="106" t="s">
        <v>69</v>
      </c>
      <c r="I46" s="106" t="s">
        <v>25</v>
      </c>
      <c r="J46" s="106">
        <v>0</v>
      </c>
      <c r="K46" s="106">
        <v>0</v>
      </c>
      <c r="L46" s="106">
        <v>0</v>
      </c>
      <c r="M46" s="106">
        <v>0</v>
      </c>
      <c r="N46" s="106">
        <v>0</v>
      </c>
      <c r="O46" s="106">
        <v>0</v>
      </c>
      <c r="P46" s="106">
        <v>0</v>
      </c>
      <c r="Q46" s="106">
        <v>0</v>
      </c>
      <c r="R46" s="106">
        <v>0</v>
      </c>
      <c r="S46" s="106">
        <v>0</v>
      </c>
      <c r="T46" s="106">
        <v>0</v>
      </c>
      <c r="U46" s="106">
        <v>0</v>
      </c>
      <c r="V46" s="106">
        <v>0</v>
      </c>
      <c r="W46" s="106">
        <v>0</v>
      </c>
      <c r="X46" s="106">
        <v>0</v>
      </c>
      <c r="Y46" s="106">
        <v>0</v>
      </c>
      <c r="Z46" s="106">
        <v>0</v>
      </c>
      <c r="AA46" s="106">
        <v>0</v>
      </c>
      <c r="AB46" s="106">
        <v>0</v>
      </c>
      <c r="AC46" s="106">
        <v>0</v>
      </c>
      <c r="AD46" s="106">
        <v>0</v>
      </c>
      <c r="AE46" s="106">
        <v>0</v>
      </c>
      <c r="AF46" s="106">
        <v>0</v>
      </c>
      <c r="AG46" s="106">
        <v>0</v>
      </c>
      <c r="AH46" s="106">
        <v>0</v>
      </c>
      <c r="AI46" s="106">
        <v>0</v>
      </c>
      <c r="AJ46" s="106">
        <v>0</v>
      </c>
      <c r="AK46" s="106">
        <v>0</v>
      </c>
      <c r="AL46" s="106">
        <v>0</v>
      </c>
      <c r="AM46" s="106">
        <v>0</v>
      </c>
      <c r="AN46" s="106">
        <v>0</v>
      </c>
      <c r="AO46" s="106">
        <v>0</v>
      </c>
      <c r="AP46" s="106">
        <v>0</v>
      </c>
      <c r="AQ46" s="107">
        <v>0</v>
      </c>
    </row>
    <row r="47" spans="2:43" ht="12" customHeight="1" x14ac:dyDescent="0.25">
      <c r="B47" s="105" t="s">
        <v>32</v>
      </c>
      <c r="C47" s="106" t="s">
        <v>23</v>
      </c>
      <c r="D47" s="106" t="s">
        <v>25</v>
      </c>
      <c r="E47" s="106" t="s">
        <v>25</v>
      </c>
      <c r="F47" s="106" t="s">
        <v>25</v>
      </c>
      <c r="G47" s="106" t="s">
        <v>25</v>
      </c>
      <c r="H47" s="106" t="s">
        <v>69</v>
      </c>
      <c r="I47" s="106" t="s">
        <v>25</v>
      </c>
      <c r="J47" s="106">
        <v>0</v>
      </c>
      <c r="K47" s="106">
        <v>0</v>
      </c>
      <c r="L47" s="106">
        <v>0</v>
      </c>
      <c r="M47" s="106">
        <v>0</v>
      </c>
      <c r="N47" s="106">
        <v>0</v>
      </c>
      <c r="O47" s="106">
        <v>0</v>
      </c>
      <c r="P47" s="106">
        <v>0</v>
      </c>
      <c r="Q47" s="106">
        <v>0</v>
      </c>
      <c r="R47" s="106">
        <v>0</v>
      </c>
      <c r="S47" s="106">
        <v>0</v>
      </c>
      <c r="T47" s="106">
        <v>0</v>
      </c>
      <c r="U47" s="106">
        <v>0</v>
      </c>
      <c r="V47" s="106">
        <v>0</v>
      </c>
      <c r="W47" s="106">
        <v>0</v>
      </c>
      <c r="X47" s="106">
        <v>0</v>
      </c>
      <c r="Y47" s="106">
        <v>0</v>
      </c>
      <c r="Z47" s="106">
        <v>0</v>
      </c>
      <c r="AA47" s="106">
        <v>0</v>
      </c>
      <c r="AB47" s="106">
        <v>0</v>
      </c>
      <c r="AC47" s="106">
        <v>0</v>
      </c>
      <c r="AD47" s="106">
        <v>0</v>
      </c>
      <c r="AE47" s="106">
        <v>0</v>
      </c>
      <c r="AF47" s="106">
        <v>0</v>
      </c>
      <c r="AG47" s="106">
        <v>0</v>
      </c>
      <c r="AH47" s="106">
        <v>0</v>
      </c>
      <c r="AI47" s="106">
        <v>0</v>
      </c>
      <c r="AJ47" s="106">
        <v>0</v>
      </c>
      <c r="AK47" s="106">
        <v>0</v>
      </c>
      <c r="AL47" s="106">
        <v>0</v>
      </c>
      <c r="AM47" s="106">
        <v>0</v>
      </c>
      <c r="AN47" s="106">
        <v>0</v>
      </c>
      <c r="AO47" s="106">
        <v>0</v>
      </c>
      <c r="AP47" s="106">
        <v>0</v>
      </c>
      <c r="AQ47" s="107">
        <v>0</v>
      </c>
    </row>
    <row r="48" spans="2:43" ht="12" customHeight="1" x14ac:dyDescent="0.25">
      <c r="B48" s="105" t="s">
        <v>32</v>
      </c>
      <c r="C48" s="106" t="s">
        <v>85</v>
      </c>
      <c r="D48" s="106" t="s">
        <v>25</v>
      </c>
      <c r="E48" s="106" t="s">
        <v>25</v>
      </c>
      <c r="F48" s="106" t="s">
        <v>25</v>
      </c>
      <c r="G48" s="106" t="s">
        <v>25</v>
      </c>
      <c r="H48" s="106" t="s">
        <v>69</v>
      </c>
      <c r="I48" s="106" t="s">
        <v>25</v>
      </c>
      <c r="J48" s="106">
        <v>0</v>
      </c>
      <c r="K48" s="106">
        <v>0</v>
      </c>
      <c r="L48" s="106">
        <v>0</v>
      </c>
      <c r="M48" s="106">
        <v>0</v>
      </c>
      <c r="N48" s="106">
        <v>0</v>
      </c>
      <c r="O48" s="106">
        <v>0</v>
      </c>
      <c r="P48" s="106">
        <v>0</v>
      </c>
      <c r="Q48" s="106">
        <v>0</v>
      </c>
      <c r="R48" s="106">
        <v>0</v>
      </c>
      <c r="S48" s="106">
        <v>0</v>
      </c>
      <c r="T48" s="106">
        <v>0</v>
      </c>
      <c r="U48" s="106">
        <v>0</v>
      </c>
      <c r="V48" s="106">
        <v>0</v>
      </c>
      <c r="W48" s="106">
        <v>0</v>
      </c>
      <c r="X48" s="106">
        <v>0</v>
      </c>
      <c r="Y48" s="106">
        <v>0</v>
      </c>
      <c r="Z48" s="106">
        <v>0</v>
      </c>
      <c r="AA48" s="106">
        <v>0</v>
      </c>
      <c r="AB48" s="106">
        <v>0</v>
      </c>
      <c r="AC48" s="106">
        <v>0</v>
      </c>
      <c r="AD48" s="106">
        <v>0</v>
      </c>
      <c r="AE48" s="106">
        <v>0</v>
      </c>
      <c r="AF48" s="106">
        <v>0</v>
      </c>
      <c r="AG48" s="106">
        <v>0</v>
      </c>
      <c r="AH48" s="106">
        <v>0</v>
      </c>
      <c r="AI48" s="106">
        <v>0</v>
      </c>
      <c r="AJ48" s="106">
        <v>0</v>
      </c>
      <c r="AK48" s="106">
        <v>0</v>
      </c>
      <c r="AL48" s="106">
        <v>0</v>
      </c>
      <c r="AM48" s="106">
        <v>0</v>
      </c>
      <c r="AN48" s="106">
        <v>0</v>
      </c>
      <c r="AO48" s="106">
        <v>0</v>
      </c>
      <c r="AP48" s="106">
        <v>0</v>
      </c>
      <c r="AQ48" s="107">
        <v>0</v>
      </c>
    </row>
    <row r="49" spans="2:43" ht="12" customHeight="1" x14ac:dyDescent="0.25">
      <c r="B49" s="105" t="s">
        <v>44</v>
      </c>
      <c r="C49" s="106" t="s">
        <v>23</v>
      </c>
      <c r="D49" s="106" t="s">
        <v>45</v>
      </c>
      <c r="E49" s="106" t="s">
        <v>46</v>
      </c>
      <c r="F49" s="106" t="s">
        <v>25</v>
      </c>
      <c r="G49" s="106" t="s">
        <v>25</v>
      </c>
      <c r="H49" s="106" t="s">
        <v>69</v>
      </c>
      <c r="I49" s="106" t="s">
        <v>25</v>
      </c>
      <c r="J49" s="106">
        <v>0</v>
      </c>
      <c r="K49" s="106">
        <v>0</v>
      </c>
      <c r="L49" s="106">
        <v>0</v>
      </c>
      <c r="M49" s="106">
        <v>0</v>
      </c>
      <c r="N49" s="106">
        <v>0</v>
      </c>
      <c r="O49" s="106">
        <v>0</v>
      </c>
      <c r="P49" s="106">
        <v>0</v>
      </c>
      <c r="Q49" s="106">
        <v>0</v>
      </c>
      <c r="R49" s="106">
        <v>0</v>
      </c>
      <c r="S49" s="106">
        <v>0</v>
      </c>
      <c r="T49" s="106">
        <v>0</v>
      </c>
      <c r="U49" s="106">
        <v>0</v>
      </c>
      <c r="V49" s="106">
        <v>0</v>
      </c>
      <c r="W49" s="106">
        <v>0</v>
      </c>
      <c r="X49" s="106">
        <v>0</v>
      </c>
      <c r="Y49" s="106">
        <v>0</v>
      </c>
      <c r="Z49" s="106">
        <v>0</v>
      </c>
      <c r="AA49" s="106">
        <v>0</v>
      </c>
      <c r="AB49" s="106">
        <v>0</v>
      </c>
      <c r="AC49" s="106">
        <v>0</v>
      </c>
      <c r="AD49" s="106">
        <v>0</v>
      </c>
      <c r="AE49" s="106">
        <v>0</v>
      </c>
      <c r="AF49" s="106">
        <v>0</v>
      </c>
      <c r="AG49" s="106">
        <v>0</v>
      </c>
      <c r="AH49" s="106">
        <v>0</v>
      </c>
      <c r="AI49" s="106">
        <v>0</v>
      </c>
      <c r="AJ49" s="106">
        <v>0</v>
      </c>
      <c r="AK49" s="106">
        <v>0</v>
      </c>
      <c r="AL49" s="106">
        <v>0</v>
      </c>
      <c r="AM49" s="106">
        <v>0</v>
      </c>
      <c r="AN49" s="106">
        <v>0</v>
      </c>
      <c r="AO49" s="106">
        <v>0</v>
      </c>
      <c r="AP49" s="106">
        <v>0</v>
      </c>
      <c r="AQ49" s="107">
        <v>0</v>
      </c>
    </row>
    <row r="50" spans="2:43" ht="12" customHeight="1" x14ac:dyDescent="0.25">
      <c r="B50" s="108" t="s">
        <v>44</v>
      </c>
      <c r="C50" s="109" t="s">
        <v>23</v>
      </c>
      <c r="D50" s="109" t="s">
        <v>45</v>
      </c>
      <c r="E50" s="109" t="s">
        <v>88</v>
      </c>
      <c r="F50" s="109" t="s">
        <v>25</v>
      </c>
      <c r="G50" s="109" t="s">
        <v>25</v>
      </c>
      <c r="H50" s="109" t="s">
        <v>69</v>
      </c>
      <c r="I50" s="109" t="s">
        <v>25</v>
      </c>
      <c r="J50" s="109">
        <v>0</v>
      </c>
      <c r="K50" s="109">
        <v>0</v>
      </c>
      <c r="L50" s="109">
        <v>0</v>
      </c>
      <c r="M50" s="109">
        <v>0</v>
      </c>
      <c r="N50" s="109">
        <v>0</v>
      </c>
      <c r="O50" s="109">
        <v>0</v>
      </c>
      <c r="P50" s="109">
        <v>0</v>
      </c>
      <c r="Q50" s="109">
        <v>0</v>
      </c>
      <c r="R50" s="109">
        <v>0</v>
      </c>
      <c r="S50" s="109">
        <v>0</v>
      </c>
      <c r="T50" s="109">
        <v>0</v>
      </c>
      <c r="U50" s="109">
        <v>0</v>
      </c>
      <c r="V50" s="109">
        <v>0</v>
      </c>
      <c r="W50" s="109">
        <v>0</v>
      </c>
      <c r="X50" s="109">
        <v>0</v>
      </c>
      <c r="Y50" s="109">
        <v>0</v>
      </c>
      <c r="Z50" s="109">
        <v>0</v>
      </c>
      <c r="AA50" s="109">
        <v>0</v>
      </c>
      <c r="AB50" s="109">
        <v>0</v>
      </c>
      <c r="AC50" s="109">
        <v>0</v>
      </c>
      <c r="AD50" s="109">
        <v>0</v>
      </c>
      <c r="AE50" s="109">
        <v>0</v>
      </c>
      <c r="AF50" s="109">
        <v>0</v>
      </c>
      <c r="AG50" s="109">
        <v>0</v>
      </c>
      <c r="AH50" s="109">
        <v>0</v>
      </c>
      <c r="AI50" s="109">
        <v>0</v>
      </c>
      <c r="AJ50" s="109">
        <v>0</v>
      </c>
      <c r="AK50" s="109">
        <v>0</v>
      </c>
      <c r="AL50" s="109">
        <v>0</v>
      </c>
      <c r="AM50" s="109">
        <v>0</v>
      </c>
      <c r="AN50" s="109">
        <v>0</v>
      </c>
      <c r="AO50" s="109">
        <v>0</v>
      </c>
      <c r="AP50" s="109">
        <v>0</v>
      </c>
      <c r="AQ50" s="110">
        <v>0</v>
      </c>
    </row>
  </sheetData>
  <mergeCells count="8">
    <mergeCell ref="L1:AG1"/>
    <mergeCell ref="AH1:AQ1"/>
    <mergeCell ref="L2:S2"/>
    <mergeCell ref="T2:Z2"/>
    <mergeCell ref="AB2:AC2"/>
    <mergeCell ref="AD2:AG2"/>
    <mergeCell ref="AH2:AK2"/>
    <mergeCell ref="AM2:AP2"/>
  </mergeCells>
  <phoneticPr fontId="9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30</vt:i4>
      </vt:variant>
    </vt:vector>
  </HeadingPairs>
  <TitlesOfParts>
    <vt:vector size="30" baseType="lpstr">
      <vt:lpstr>Mercado_Receita</vt:lpstr>
      <vt:lpstr>EVENTOS</vt:lpstr>
      <vt:lpstr>TAR FIN</vt:lpstr>
      <vt:lpstr>MERCADO TUSD</vt:lpstr>
      <vt:lpstr>MERCADO TE</vt:lpstr>
      <vt:lpstr>CUSTOS</vt:lpstr>
      <vt:lpstr>TRANSICAO</vt:lpstr>
      <vt:lpstr>TR TUSD</vt:lpstr>
      <vt:lpstr>TUSD BE</vt:lpstr>
      <vt:lpstr>TUSD BF</vt:lpstr>
      <vt:lpstr>TUSD CVA</vt:lpstr>
      <vt:lpstr>TR TE</vt:lpstr>
      <vt:lpstr>TE BE</vt:lpstr>
      <vt:lpstr>TE BF</vt:lpstr>
      <vt:lpstr>TE CVA</vt:lpstr>
      <vt:lpstr>EFEITO</vt:lpstr>
      <vt:lpstr>SUBSIDIO</vt:lpstr>
      <vt:lpstr>TabDinEfeito</vt:lpstr>
      <vt:lpstr>TabDinSubsidio</vt:lpstr>
      <vt:lpstr>TABELAS REH</vt:lpstr>
      <vt:lpstr>CONSISTENCIA</vt:lpstr>
      <vt:lpstr>TUSD</vt:lpstr>
      <vt:lpstr>TE</vt:lpstr>
      <vt:lpstr>RESUMO TUSD</vt:lpstr>
      <vt:lpstr>RESUMO TE</vt:lpstr>
      <vt:lpstr>Descontos</vt:lpstr>
      <vt:lpstr>ERD</vt:lpstr>
      <vt:lpstr>TA - Aplicação</vt:lpstr>
      <vt:lpstr>TA - BE</vt:lpstr>
      <vt:lpstr>TA - CVA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2022-05-12T18:52:50Z</dcterms:created>
  <dcterms:modified xsi:type="dcterms:W3CDTF">2022-05-30T21:35:23Z</dcterms:modified>
</cp:coreProperties>
</file>